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codeName="ThisWorkbook"/>
  <mc:AlternateContent xmlns:mc="http://schemas.openxmlformats.org/markup-compatibility/2006">
    <mc:Choice Requires="x15">
      <x15ac:absPath xmlns:x15ac="http://schemas.microsoft.com/office/spreadsheetml/2010/11/ac" url="D:\PTT\Project\Alocation-model(Excel)\Documentation\01_Information\เอกสารจาก User\คุณเตย ตาม Email วันที่ 24052021\Input\Reference Price\"/>
    </mc:Choice>
  </mc:AlternateContent>
  <xr:revisionPtr revIDLastSave="0" documentId="13_ncr:1_{1C9A0FDD-21DD-44BD-AFCF-75C8236FD783}" xr6:coauthVersionLast="47" xr6:coauthVersionMax="47" xr10:uidLastSave="{00000000-0000-0000-0000-000000000000}"/>
  <bookViews>
    <workbookView xWindow="-110" yWindow="-110" windowWidth="19420" windowHeight="10420" tabRatio="910" firstSheet="39" activeTab="44" xr2:uid="{00000000-000D-0000-FFFF-FFFF00000000}"/>
  </bookViews>
  <sheets>
    <sheet name="11 Jan 16" sheetId="9" state="hidden" r:id="rId1"/>
    <sheet name="25 Jan 16" sheetId="10" state="hidden" r:id="rId2"/>
    <sheet name="15 Feb 16" sheetId="13" state="hidden" r:id="rId3"/>
    <sheet name="29 Feb 16" sheetId="14" state="hidden" r:id="rId4"/>
    <sheet name="15 Mar 16" sheetId="12" state="hidden" r:id="rId5"/>
    <sheet name="29 Mar 16" sheetId="15" state="hidden" r:id="rId6"/>
    <sheet name="25 Apr 16" sheetId="17" state="hidden" r:id="rId7"/>
    <sheet name="17 May 16" sheetId="16" state="hidden" r:id="rId8"/>
    <sheet name="30 May 16" sheetId="18" state="hidden" r:id="rId9"/>
    <sheet name="14 Jun 16" sheetId="21" state="hidden" r:id="rId10"/>
    <sheet name="27 Jun 16" sheetId="22" state="hidden" r:id="rId11"/>
    <sheet name="12 Jul 16" sheetId="23" state="hidden" r:id="rId12"/>
    <sheet name="25 Jul 16" sheetId="24" state="hidden" r:id="rId13"/>
    <sheet name="29 Aug 16" sheetId="25" state="hidden" r:id="rId14"/>
    <sheet name="12 Sep 16" sheetId="26" state="hidden" r:id="rId15"/>
    <sheet name="LPG-CP Price Forecast_Jan20" sheetId="51" r:id="rId16"/>
    <sheet name="LPG-CP Price Forecast_Feb20" sheetId="52" r:id="rId17"/>
    <sheet name="LPG-CP Price Forecast_Mar20" sheetId="53" r:id="rId18"/>
    <sheet name="LPG Forecast_Apr20 (ครั้งที่ 1)" sheetId="54" r:id="rId19"/>
    <sheet name="LPG Forecast_Apr20 (ครั้งที่ 2)" sheetId="55" r:id="rId20"/>
    <sheet name="LPG Forecast_may20 (ครั้งที 1)" sheetId="56" r:id="rId21"/>
    <sheet name="LPG Forecast_may20 (ครั้งที 2)" sheetId="57" r:id="rId22"/>
    <sheet name="LPG Forecast 27052020" sheetId="58" r:id="rId23"/>
    <sheet name="LPG Forecast 11062020" sheetId="59" r:id="rId24"/>
    <sheet name="LPG Forecast 24062020" sheetId="60" r:id="rId25"/>
    <sheet name="LPG Forecast 16072020" sheetId="61" r:id="rId26"/>
    <sheet name="LPG Forecast 24072020" sheetId="62" r:id="rId27"/>
    <sheet name="LPG Forecast 14082020" sheetId="63" r:id="rId28"/>
    <sheet name="LPG Forecast 25082020" sheetId="64" r:id="rId29"/>
    <sheet name="LPG Forecast 17092020" sheetId="65" r:id="rId30"/>
    <sheet name="LPG Forecast 29092020" sheetId="66" r:id="rId31"/>
    <sheet name="LPG Forecast 15102020" sheetId="67" r:id="rId32"/>
    <sheet name="LPG Forecast 27102020" sheetId="68" r:id="rId33"/>
    <sheet name="LPG Forecast 12112020" sheetId="69" r:id="rId34"/>
    <sheet name="LPG Forecast 30112020" sheetId="70" r:id="rId35"/>
    <sheet name="LPG Forecast 18122020" sheetId="71" r:id="rId36"/>
    <sheet name="LPG Forecast 25122020" sheetId="73" r:id="rId37"/>
    <sheet name="LPG Forecast 15012021 " sheetId="72" r:id="rId38"/>
    <sheet name="LPG Forecast 27012021" sheetId="74" r:id="rId39"/>
    <sheet name="LPG Forecast 11022021" sheetId="76" r:id="rId40"/>
    <sheet name="LPG Forecast 24022021" sheetId="75" r:id="rId41"/>
    <sheet name="LPG Forecast 17032021" sheetId="77" r:id="rId42"/>
    <sheet name="LPG Forecast 30032021" sheetId="78" r:id="rId43"/>
    <sheet name="LPG Forecast 22042021" sheetId="79" r:id="rId44"/>
    <sheet name="LPG Forecast 13052021" sheetId="80" r:id="rId45"/>
  </sheets>
  <externalReferences>
    <externalReference r:id="rId46"/>
  </externalReferences>
  <definedNames>
    <definedName name="_xlnm.Print_Area" localSheetId="39">'LPG Forecast 11022021'!$AJ$1:$AZ$17</definedName>
    <definedName name="_xlnm.Print_Area" localSheetId="23">'LPG Forecast 11062020'!$AJ$1:$AZ$22</definedName>
    <definedName name="_xlnm.Print_Area" localSheetId="33">'LPG Forecast 12112020'!$AJ$1:$AZ$22</definedName>
    <definedName name="_xlnm.Print_Area" localSheetId="44">'LPG Forecast 13052021'!$AJ$1:$AZ$17</definedName>
    <definedName name="_xlnm.Print_Area" localSheetId="27">'LPG Forecast 14082020'!$AJ$1:$AZ$22</definedName>
    <definedName name="_xlnm.Print_Area" localSheetId="37">'LPG Forecast 15012021 '!$AJ$1:$AZ$17</definedName>
    <definedName name="_xlnm.Print_Area" localSheetId="31">'LPG Forecast 15102020'!$AJ$1:$AZ$22</definedName>
    <definedName name="_xlnm.Print_Area" localSheetId="25">'LPG Forecast 16072020'!$AJ$1:$AZ$22</definedName>
    <definedName name="_xlnm.Print_Area" localSheetId="41">'LPG Forecast 17032021'!$AJ$1:$AZ$17</definedName>
    <definedName name="_xlnm.Print_Area" localSheetId="29">'LPG Forecast 17092020'!$AJ$1:$AZ$22</definedName>
    <definedName name="_xlnm.Print_Area" localSheetId="35">'LPG Forecast 18122020'!$AJ$1:$AZ$23</definedName>
    <definedName name="_xlnm.Print_Area" localSheetId="43">'LPG Forecast 22042021'!$AJ$1:$AZ$17</definedName>
    <definedName name="_xlnm.Print_Area" localSheetId="40">'LPG Forecast 24022021'!$AJ$1:$AZ$17</definedName>
    <definedName name="_xlnm.Print_Area" localSheetId="24">'LPG Forecast 24062020'!$AJ$1:$AZ$22</definedName>
    <definedName name="_xlnm.Print_Area" localSheetId="26">'LPG Forecast 24072020'!$AJ$1:$AZ$22</definedName>
    <definedName name="_xlnm.Print_Area" localSheetId="28">'LPG Forecast 25082020'!$AJ$1:$AZ$22</definedName>
    <definedName name="_xlnm.Print_Area" localSheetId="36">'LPG Forecast 25122020'!$AJ$1:$AZ$23</definedName>
    <definedName name="_xlnm.Print_Area" localSheetId="38">'LPG Forecast 27012021'!$AJ$1:$AZ$17</definedName>
    <definedName name="_xlnm.Print_Area" localSheetId="22">'LPG Forecast 27052020'!$AJ$1:$AZ$23</definedName>
    <definedName name="_xlnm.Print_Area" localSheetId="32">'LPG Forecast 27102020'!$AJ$1:$AZ$23</definedName>
    <definedName name="_xlnm.Print_Area" localSheetId="30">'LPG Forecast 29092020'!$AJ$1:$AZ$22</definedName>
    <definedName name="_xlnm.Print_Area" localSheetId="42">'LPG Forecast 30032021'!$AJ$1:$AZ$17</definedName>
    <definedName name="_xlnm.Print_Area" localSheetId="34">'LPG Forecast 30112020'!$AJ$1:$AZ$22</definedName>
    <definedName name="_xlnm.Print_Area" localSheetId="18">'LPG Forecast_Apr20 (ครั้งที่ 1)'!$AJ$1:$AZ$22</definedName>
    <definedName name="_xlnm.Print_Area" localSheetId="19">'LPG Forecast_Apr20 (ครั้งที่ 2)'!$AJ$1:$AZ$22</definedName>
    <definedName name="_xlnm.Print_Area" localSheetId="20">'LPG Forecast_may20 (ครั้งที 1)'!$AJ$1:$AZ$22</definedName>
    <definedName name="_xlnm.Print_Area" localSheetId="21">'LPG Forecast_may20 (ครั้งที 2)'!$AJ$1:$AZ$23</definedName>
    <definedName name="_xlnm.Print_Area" localSheetId="16">'LPG-CP Price Forecast_Feb20'!$AJ$1:$AZ$21</definedName>
    <definedName name="_xlnm.Print_Area" localSheetId="15">'LPG-CP Price Forecast_Jan20'!$AJ$1:$AZ$21</definedName>
    <definedName name="_xlnm.Print_Area" localSheetId="17">'LPG-CP Price Forecast_Mar20'!$AJ$1:$AZ$22</definedName>
    <definedName name="_xlnm.Print_Titles" localSheetId="39">'LPG Forecast 11022021'!$A:$A</definedName>
    <definedName name="_xlnm.Print_Titles" localSheetId="23">'LPG Forecast 11062020'!$A:$A</definedName>
    <definedName name="_xlnm.Print_Titles" localSheetId="33">'LPG Forecast 12112020'!$A:$A</definedName>
    <definedName name="_xlnm.Print_Titles" localSheetId="44">'LPG Forecast 13052021'!$A:$A</definedName>
    <definedName name="_xlnm.Print_Titles" localSheetId="27">'LPG Forecast 14082020'!$A:$A</definedName>
    <definedName name="_xlnm.Print_Titles" localSheetId="37">'LPG Forecast 15012021 '!$A:$A</definedName>
    <definedName name="_xlnm.Print_Titles" localSheetId="31">'LPG Forecast 15102020'!$A:$A</definedName>
    <definedName name="_xlnm.Print_Titles" localSheetId="25">'LPG Forecast 16072020'!$A:$A</definedName>
    <definedName name="_xlnm.Print_Titles" localSheetId="41">'LPG Forecast 17032021'!$A:$A</definedName>
    <definedName name="_xlnm.Print_Titles" localSheetId="29">'LPG Forecast 17092020'!$A:$A</definedName>
    <definedName name="_xlnm.Print_Titles" localSheetId="35">'LPG Forecast 18122020'!$A:$A</definedName>
    <definedName name="_xlnm.Print_Titles" localSheetId="43">'LPG Forecast 22042021'!$A:$A</definedName>
    <definedName name="_xlnm.Print_Titles" localSheetId="40">'LPG Forecast 24022021'!$A:$A</definedName>
    <definedName name="_xlnm.Print_Titles" localSheetId="24">'LPG Forecast 24062020'!$A:$A</definedName>
    <definedName name="_xlnm.Print_Titles" localSheetId="26">'LPG Forecast 24072020'!$A:$A</definedName>
    <definedName name="_xlnm.Print_Titles" localSheetId="28">'LPG Forecast 25082020'!$A:$A</definedName>
    <definedName name="_xlnm.Print_Titles" localSheetId="36">'LPG Forecast 25122020'!$A:$A</definedName>
    <definedName name="_xlnm.Print_Titles" localSheetId="38">'LPG Forecast 27012021'!$A:$A</definedName>
    <definedName name="_xlnm.Print_Titles" localSheetId="22">'LPG Forecast 27052020'!$A:$A</definedName>
    <definedName name="_xlnm.Print_Titles" localSheetId="32">'LPG Forecast 27102020'!$A:$A</definedName>
    <definedName name="_xlnm.Print_Titles" localSheetId="30">'LPG Forecast 29092020'!$A:$A</definedName>
    <definedName name="_xlnm.Print_Titles" localSheetId="42">'LPG Forecast 30032021'!$A:$A</definedName>
    <definedName name="_xlnm.Print_Titles" localSheetId="34">'LPG Forecast 30112020'!$A:$A</definedName>
    <definedName name="_xlnm.Print_Titles" localSheetId="18">'LPG Forecast_Apr20 (ครั้งที่ 1)'!$A:$A</definedName>
    <definedName name="_xlnm.Print_Titles" localSheetId="19">'LPG Forecast_Apr20 (ครั้งที่ 2)'!$A:$A</definedName>
    <definedName name="_xlnm.Print_Titles" localSheetId="20">'LPG Forecast_may20 (ครั้งที 1)'!$A:$A</definedName>
    <definedName name="_xlnm.Print_Titles" localSheetId="21">'LPG Forecast_may20 (ครั้งที 2)'!$A:$A</definedName>
    <definedName name="_xlnm.Print_Titles" localSheetId="16">'LPG-CP Price Forecast_Feb20'!$A:$A</definedName>
    <definedName name="_xlnm.Print_Titles" localSheetId="15">'LPG-CP Price Forecast_Jan20'!$A:$A</definedName>
    <definedName name="_xlnm.Print_Titles" localSheetId="17">'LPG-CP Price Forecast_Mar20'!$A:$A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M7" i="80" l="1"/>
  <c r="CM10" i="80" s="1"/>
  <c r="AU14" i="80"/>
  <c r="AT14" i="80"/>
  <c r="AS14" i="80"/>
  <c r="AR14" i="80"/>
  <c r="AQ14" i="80"/>
  <c r="AP14" i="80"/>
  <c r="AO14" i="80"/>
  <c r="AN14" i="80"/>
  <c r="AM14" i="80"/>
  <c r="AL14" i="80"/>
  <c r="AK14" i="80"/>
  <c r="AJ14" i="80"/>
  <c r="AD14" i="80"/>
  <c r="AC14" i="80"/>
  <c r="AB14" i="80"/>
  <c r="AH14" i="80" s="1"/>
  <c r="AA14" i="80"/>
  <c r="Z14" i="80"/>
  <c r="Y14" i="80"/>
  <c r="AG14" i="80" s="1"/>
  <c r="X14" i="80"/>
  <c r="W14" i="80"/>
  <c r="AF14" i="80" s="1"/>
  <c r="V14" i="80"/>
  <c r="U14" i="80"/>
  <c r="T14" i="80"/>
  <c r="S14" i="80"/>
  <c r="M14" i="80"/>
  <c r="L14" i="80"/>
  <c r="K14" i="80"/>
  <c r="Q14" i="80" s="1"/>
  <c r="J14" i="80"/>
  <c r="I14" i="80"/>
  <c r="H14" i="80"/>
  <c r="G14" i="80"/>
  <c r="F14" i="80"/>
  <c r="E14" i="80"/>
  <c r="D14" i="80"/>
  <c r="C14" i="80"/>
  <c r="B14" i="80"/>
  <c r="R14" i="80" s="1"/>
  <c r="CD13" i="80"/>
  <c r="BZ13" i="80"/>
  <c r="BY13" i="80"/>
  <c r="BN13" i="80"/>
  <c r="BF13" i="80"/>
  <c r="BE13" i="80"/>
  <c r="BD13" i="80"/>
  <c r="AX13" i="80"/>
  <c r="AT13" i="80"/>
  <c r="AS13" i="80"/>
  <c r="AD13" i="80"/>
  <c r="AC13" i="80"/>
  <c r="AB13" i="80"/>
  <c r="AA13" i="80"/>
  <c r="Z13" i="80"/>
  <c r="Y13" i="80"/>
  <c r="X13" i="80"/>
  <c r="W13" i="80"/>
  <c r="V13" i="80"/>
  <c r="U13" i="80"/>
  <c r="T13" i="80"/>
  <c r="S13" i="80"/>
  <c r="M13" i="80"/>
  <c r="L13" i="80"/>
  <c r="K13" i="80"/>
  <c r="J13" i="80"/>
  <c r="I13" i="80"/>
  <c r="H13" i="80"/>
  <c r="G13" i="80"/>
  <c r="F13" i="80"/>
  <c r="E13" i="80"/>
  <c r="O13" i="80" s="1"/>
  <c r="D13" i="80"/>
  <c r="C13" i="80"/>
  <c r="B13" i="80"/>
  <c r="CD12" i="80"/>
  <c r="CC12" i="80"/>
  <c r="CB12" i="80"/>
  <c r="CA12" i="80"/>
  <c r="BZ12" i="80"/>
  <c r="BY12" i="80"/>
  <c r="BX12" i="80"/>
  <c r="BW12" i="80"/>
  <c r="BV12" i="80"/>
  <c r="BU12" i="80"/>
  <c r="BT12" i="80"/>
  <c r="CL10" i="80"/>
  <c r="CD10" i="80"/>
  <c r="CC10" i="80"/>
  <c r="CB10" i="80"/>
  <c r="BV10" i="80"/>
  <c r="BM10" i="80"/>
  <c r="BE10" i="80"/>
  <c r="AW10" i="80"/>
  <c r="CL7" i="80"/>
  <c r="CL13" i="80" s="1"/>
  <c r="CK7" i="80"/>
  <c r="CK13" i="80" s="1"/>
  <c r="CJ7" i="80"/>
  <c r="CJ13" i="80" s="1"/>
  <c r="CI7" i="80"/>
  <c r="CI13" i="80" s="1"/>
  <c r="CH7" i="80"/>
  <c r="CH13" i="80" s="1"/>
  <c r="CG7" i="80"/>
  <c r="CG13" i="80" s="1"/>
  <c r="CF7" i="80"/>
  <c r="CF10" i="80" s="1"/>
  <c r="CE7" i="80"/>
  <c r="CE13" i="80" s="1"/>
  <c r="CD7" i="80"/>
  <c r="CC7" i="80"/>
  <c r="CC13" i="80" s="1"/>
  <c r="CB7" i="80"/>
  <c r="CB13" i="80" s="1"/>
  <c r="CA7" i="80"/>
  <c r="CA13" i="80" s="1"/>
  <c r="BZ7" i="80"/>
  <c r="BZ10" i="80" s="1"/>
  <c r="BY7" i="80"/>
  <c r="BY10" i="80" s="1"/>
  <c r="BX7" i="80"/>
  <c r="BX13" i="80" s="1"/>
  <c r="BW7" i="80"/>
  <c r="BW13" i="80" s="1"/>
  <c r="BV7" i="80"/>
  <c r="BV13" i="80" s="1"/>
  <c r="BU7" i="80"/>
  <c r="BU13" i="80" s="1"/>
  <c r="BT7" i="80"/>
  <c r="BT13" i="80" s="1"/>
  <c r="BS7" i="80"/>
  <c r="BS13" i="80" s="1"/>
  <c r="BR7" i="80"/>
  <c r="BR13" i="80" s="1"/>
  <c r="BQ7" i="80"/>
  <c r="BQ13" i="80" s="1"/>
  <c r="BP7" i="80"/>
  <c r="BP13" i="80" s="1"/>
  <c r="BO7" i="80"/>
  <c r="BO13" i="80" s="1"/>
  <c r="BN7" i="80"/>
  <c r="BM7" i="80"/>
  <c r="BM13" i="80" s="1"/>
  <c r="BL7" i="80"/>
  <c r="BL13" i="80" s="1"/>
  <c r="BK7" i="80"/>
  <c r="BK13" i="80" s="1"/>
  <c r="BJ7" i="80"/>
  <c r="BJ13" i="80" s="1"/>
  <c r="BI7" i="80"/>
  <c r="BI13" i="80" s="1"/>
  <c r="BH7" i="80"/>
  <c r="BH13" i="80" s="1"/>
  <c r="BG7" i="80"/>
  <c r="BG13" i="80" s="1"/>
  <c r="BF7" i="80"/>
  <c r="BE7" i="80"/>
  <c r="BD7" i="80"/>
  <c r="BC7" i="80"/>
  <c r="BC13" i="80" s="1"/>
  <c r="BB7" i="80"/>
  <c r="BB13" i="80" s="1"/>
  <c r="BA7" i="80"/>
  <c r="BA13" i="80" s="1"/>
  <c r="AZ7" i="80"/>
  <c r="AZ13" i="80" s="1"/>
  <c r="AY7" i="80"/>
  <c r="AY13" i="80" s="1"/>
  <c r="AX7" i="80"/>
  <c r="AW7" i="80"/>
  <c r="AW13" i="80" s="1"/>
  <c r="AV7" i="80"/>
  <c r="AV13" i="80" s="1"/>
  <c r="AU7" i="80"/>
  <c r="AU13" i="80" s="1"/>
  <c r="AT7" i="80"/>
  <c r="AS7" i="80"/>
  <c r="AR7" i="80"/>
  <c r="AR13" i="80" s="1"/>
  <c r="AQ7" i="80"/>
  <c r="AQ13" i="80" s="1"/>
  <c r="AP7" i="80"/>
  <c r="AP13" i="80" s="1"/>
  <c r="AO7" i="80"/>
  <c r="AO13" i="80" s="1"/>
  <c r="AN7" i="80"/>
  <c r="AN13" i="80" s="1"/>
  <c r="AM7" i="80"/>
  <c r="AM13" i="80" s="1"/>
  <c r="AL7" i="80"/>
  <c r="AL13" i="80" s="1"/>
  <c r="AK7" i="80"/>
  <c r="AK13" i="80" s="1"/>
  <c r="AJ7" i="80"/>
  <c r="AJ13" i="80" s="1"/>
  <c r="AI7" i="80"/>
  <c r="AH7" i="80"/>
  <c r="AG7" i="80"/>
  <c r="AF7" i="80"/>
  <c r="AE7" i="80"/>
  <c r="R7" i="80"/>
  <c r="Q7" i="80"/>
  <c r="P7" i="80"/>
  <c r="O7" i="80"/>
  <c r="N7" i="80"/>
  <c r="CH6" i="80"/>
  <c r="BU6" i="80"/>
  <c r="BU10" i="80" s="1"/>
  <c r="BT6" i="80"/>
  <c r="BS6" i="80"/>
  <c r="BS10" i="80" s="1"/>
  <c r="BP6" i="80"/>
  <c r="BP10" i="80" s="1"/>
  <c r="BO6" i="80"/>
  <c r="BO10" i="80" s="1"/>
  <c r="BN6" i="80"/>
  <c r="BM6" i="80"/>
  <c r="BL6" i="80"/>
  <c r="BL10" i="80" s="1"/>
  <c r="BK6" i="80"/>
  <c r="BK10" i="80" s="1"/>
  <c r="BJ6" i="80"/>
  <c r="BI6" i="80"/>
  <c r="BI10" i="80" s="1"/>
  <c r="BH6" i="80"/>
  <c r="BH10" i="80" s="1"/>
  <c r="BG6" i="80"/>
  <c r="BG10" i="80" s="1"/>
  <c r="BF6" i="80"/>
  <c r="BE6" i="80"/>
  <c r="BD6" i="80"/>
  <c r="BD10" i="80" s="1"/>
  <c r="BC6" i="80"/>
  <c r="BC10" i="80" s="1"/>
  <c r="BB6" i="80"/>
  <c r="BA6" i="80"/>
  <c r="BA10" i="80" s="1"/>
  <c r="AZ6" i="80"/>
  <c r="AZ10" i="80" s="1"/>
  <c r="AY6" i="80"/>
  <c r="AY10" i="80" s="1"/>
  <c r="AX6" i="80"/>
  <c r="AW6" i="80"/>
  <c r="AI5" i="80"/>
  <c r="AH5" i="80"/>
  <c r="AG5" i="80"/>
  <c r="AF5" i="80"/>
  <c r="AE5" i="80"/>
  <c r="R5" i="80"/>
  <c r="Q5" i="80"/>
  <c r="P5" i="80"/>
  <c r="O5" i="80"/>
  <c r="N5" i="80"/>
  <c r="AI4" i="80"/>
  <c r="AH4" i="80"/>
  <c r="AG4" i="80"/>
  <c r="AF4" i="80"/>
  <c r="AE4" i="80"/>
  <c r="R4" i="80"/>
  <c r="Q4" i="80"/>
  <c r="P4" i="80"/>
  <c r="O4" i="80"/>
  <c r="N4" i="80"/>
  <c r="O14" i="80" l="1"/>
  <c r="R13" i="80"/>
  <c r="CH10" i="80"/>
  <c r="P14" i="80"/>
  <c r="CG10" i="80"/>
  <c r="BX10" i="80"/>
  <c r="AI13" i="80"/>
  <c r="CF13" i="80"/>
  <c r="AH13" i="80"/>
  <c r="AX10" i="80"/>
  <c r="BF10" i="80"/>
  <c r="BN10" i="80"/>
  <c r="AV10" i="80"/>
  <c r="P13" i="80"/>
  <c r="BQ10" i="80"/>
  <c r="AF13" i="80"/>
  <c r="BB10" i="80"/>
  <c r="BJ10" i="80"/>
  <c r="BT10" i="80"/>
  <c r="BR10" i="80"/>
  <c r="Q13" i="80"/>
  <c r="AG13" i="80"/>
  <c r="AI14" i="80"/>
  <c r="CK10" i="80"/>
  <c r="CM13" i="80"/>
  <c r="CJ10" i="80"/>
  <c r="AE14" i="80"/>
  <c r="N13" i="80"/>
  <c r="BW10" i="80"/>
  <c r="CA10" i="80"/>
  <c r="CE10" i="80"/>
  <c r="CI10" i="80"/>
  <c r="AE13" i="80"/>
  <c r="N14" i="80"/>
  <c r="CH6" i="79"/>
  <c r="CL7" i="79"/>
  <c r="CL10" i="79" s="1"/>
  <c r="AU14" i="79"/>
  <c r="AT14" i="79"/>
  <c r="AS14" i="79"/>
  <c r="AR14" i="79"/>
  <c r="AQ14" i="79"/>
  <c r="AP14" i="79"/>
  <c r="AO14" i="79"/>
  <c r="AN14" i="79"/>
  <c r="AM14" i="79"/>
  <c r="AL14" i="79"/>
  <c r="AK14" i="79"/>
  <c r="AJ14" i="79"/>
  <c r="AD14" i="79"/>
  <c r="AC14" i="79"/>
  <c r="AB14" i="79"/>
  <c r="AA14" i="79"/>
  <c r="Z14" i="79"/>
  <c r="Y14" i="79"/>
  <c r="AG14" i="79" s="1"/>
  <c r="X14" i="79"/>
  <c r="W14" i="79"/>
  <c r="V14" i="79"/>
  <c r="U14" i="79"/>
  <c r="T14" i="79"/>
  <c r="S14" i="79"/>
  <c r="M14" i="79"/>
  <c r="L14" i="79"/>
  <c r="K14" i="79"/>
  <c r="J14" i="79"/>
  <c r="I14" i="79"/>
  <c r="H14" i="79"/>
  <c r="G14" i="79"/>
  <c r="F14" i="79"/>
  <c r="E14" i="79"/>
  <c r="D14" i="79"/>
  <c r="C14" i="79"/>
  <c r="B14" i="79"/>
  <c r="BM13" i="79"/>
  <c r="AD13" i="79"/>
  <c r="AC13" i="79"/>
  <c r="AB13" i="79"/>
  <c r="AA13" i="79"/>
  <c r="Z13" i="79"/>
  <c r="Y13" i="79"/>
  <c r="X13" i="79"/>
  <c r="W13" i="79"/>
  <c r="V13" i="79"/>
  <c r="AF13" i="79" s="1"/>
  <c r="U13" i="79"/>
  <c r="T13" i="79"/>
  <c r="S13" i="79"/>
  <c r="M13" i="79"/>
  <c r="L13" i="79"/>
  <c r="K13" i="79"/>
  <c r="J13" i="79"/>
  <c r="I13" i="79"/>
  <c r="H13" i="79"/>
  <c r="G13" i="79"/>
  <c r="F13" i="79"/>
  <c r="E13" i="79"/>
  <c r="D13" i="79"/>
  <c r="C13" i="79"/>
  <c r="B13" i="79"/>
  <c r="CD12" i="79"/>
  <c r="CC12" i="79"/>
  <c r="CB12" i="79"/>
  <c r="CA12" i="79"/>
  <c r="BZ12" i="79"/>
  <c r="BY12" i="79"/>
  <c r="BX12" i="79"/>
  <c r="BW12" i="79"/>
  <c r="BV12" i="79"/>
  <c r="BU12" i="79"/>
  <c r="BT12" i="79"/>
  <c r="CG10" i="79"/>
  <c r="BX10" i="79"/>
  <c r="CK7" i="79"/>
  <c r="CK10" i="79" s="1"/>
  <c r="CJ7" i="79"/>
  <c r="CJ13" i="79" s="1"/>
  <c r="CI7" i="79"/>
  <c r="CI10" i="79" s="1"/>
  <c r="CH7" i="79"/>
  <c r="CG7" i="79"/>
  <c r="CG13" i="79" s="1"/>
  <c r="CF7" i="79"/>
  <c r="CF13" i="79" s="1"/>
  <c r="CE7" i="79"/>
  <c r="CE10" i="79" s="1"/>
  <c r="CD7" i="79"/>
  <c r="CC7" i="79"/>
  <c r="CC13" i="79" s="1"/>
  <c r="CB7" i="79"/>
  <c r="CB13" i="79" s="1"/>
  <c r="CA7" i="79"/>
  <c r="CA10" i="79" s="1"/>
  <c r="BZ7" i="79"/>
  <c r="BY7" i="79"/>
  <c r="BY13" i="79" s="1"/>
  <c r="BX7" i="79"/>
  <c r="BX13" i="79" s="1"/>
  <c r="BW7" i="79"/>
  <c r="BW10" i="79" s="1"/>
  <c r="BV7" i="79"/>
  <c r="BU7" i="79"/>
  <c r="BU13" i="79" s="1"/>
  <c r="BT7" i="79"/>
  <c r="BT13" i="79" s="1"/>
  <c r="BS7" i="79"/>
  <c r="BS13" i="79" s="1"/>
  <c r="BR7" i="79"/>
  <c r="BQ7" i="79"/>
  <c r="BQ10" i="79" s="1"/>
  <c r="BP7" i="79"/>
  <c r="BP13" i="79" s="1"/>
  <c r="BO7" i="79"/>
  <c r="BO13" i="79" s="1"/>
  <c r="BN7" i="79"/>
  <c r="BN13" i="79" s="1"/>
  <c r="BM7" i="79"/>
  <c r="BL7" i="79"/>
  <c r="BL13" i="79" s="1"/>
  <c r="BK7" i="79"/>
  <c r="BK13" i="79" s="1"/>
  <c r="BJ7" i="79"/>
  <c r="BJ13" i="79" s="1"/>
  <c r="BI7" i="79"/>
  <c r="BI13" i="79" s="1"/>
  <c r="BH7" i="79"/>
  <c r="BH13" i="79" s="1"/>
  <c r="BG7" i="79"/>
  <c r="BG13" i="79" s="1"/>
  <c r="BF7" i="79"/>
  <c r="BF13" i="79" s="1"/>
  <c r="BE7" i="79"/>
  <c r="BE13" i="79" s="1"/>
  <c r="BD7" i="79"/>
  <c r="BD13" i="79" s="1"/>
  <c r="BC7" i="79"/>
  <c r="BC13" i="79" s="1"/>
  <c r="BB7" i="79"/>
  <c r="BB13" i="79" s="1"/>
  <c r="BA7" i="79"/>
  <c r="BA13" i="79" s="1"/>
  <c r="AZ7" i="79"/>
  <c r="AZ13" i="79" s="1"/>
  <c r="AY7" i="79"/>
  <c r="AY13" i="79" s="1"/>
  <c r="AX7" i="79"/>
  <c r="AX13" i="79" s="1"/>
  <c r="AW7" i="79"/>
  <c r="AW13" i="79" s="1"/>
  <c r="AV7" i="79"/>
  <c r="AV13" i="79" s="1"/>
  <c r="AU7" i="79"/>
  <c r="AU13" i="79" s="1"/>
  <c r="AT7" i="79"/>
  <c r="AT13" i="79" s="1"/>
  <c r="AS7" i="79"/>
  <c r="AS13" i="79" s="1"/>
  <c r="AR7" i="79"/>
  <c r="AR13" i="79" s="1"/>
  <c r="AQ7" i="79"/>
  <c r="AQ13" i="79" s="1"/>
  <c r="AP7" i="79"/>
  <c r="AP13" i="79" s="1"/>
  <c r="AO7" i="79"/>
  <c r="AO13" i="79" s="1"/>
  <c r="AN7" i="79"/>
  <c r="AN13" i="79" s="1"/>
  <c r="AM7" i="79"/>
  <c r="AM13" i="79" s="1"/>
  <c r="AL7" i="79"/>
  <c r="AL13" i="79" s="1"/>
  <c r="AK7" i="79"/>
  <c r="AK13" i="79" s="1"/>
  <c r="AJ7" i="79"/>
  <c r="AJ13" i="79" s="1"/>
  <c r="AI7" i="79"/>
  <c r="AH7" i="79"/>
  <c r="AG7" i="79"/>
  <c r="AF7" i="79"/>
  <c r="AE7" i="79"/>
  <c r="R7" i="79"/>
  <c r="Q7" i="79"/>
  <c r="P7" i="79"/>
  <c r="O7" i="79"/>
  <c r="N7" i="79"/>
  <c r="BU6" i="79"/>
  <c r="BU10" i="79" s="1"/>
  <c r="BT6" i="79"/>
  <c r="BT10" i="79" s="1"/>
  <c r="BS6" i="79"/>
  <c r="BS10" i="79" s="1"/>
  <c r="BP6" i="79"/>
  <c r="BP10" i="79" s="1"/>
  <c r="BO6" i="79"/>
  <c r="BO10" i="79" s="1"/>
  <c r="BN6" i="79"/>
  <c r="BM6" i="79"/>
  <c r="BM10" i="79" s="1"/>
  <c r="BL6" i="79"/>
  <c r="BL10" i="79" s="1"/>
  <c r="BK6" i="79"/>
  <c r="BK10" i="79" s="1"/>
  <c r="BJ6" i="79"/>
  <c r="BI6" i="79"/>
  <c r="BI10" i="79" s="1"/>
  <c r="BH6" i="79"/>
  <c r="BH10" i="79" s="1"/>
  <c r="BG6" i="79"/>
  <c r="BG10" i="79" s="1"/>
  <c r="BF6" i="79"/>
  <c r="BE6" i="79"/>
  <c r="BE10" i="79" s="1"/>
  <c r="BD6" i="79"/>
  <c r="BD10" i="79" s="1"/>
  <c r="BC6" i="79"/>
  <c r="BC10" i="79" s="1"/>
  <c r="BB6" i="79"/>
  <c r="BA6" i="79"/>
  <c r="BA10" i="79" s="1"/>
  <c r="AZ6" i="79"/>
  <c r="AZ10" i="79" s="1"/>
  <c r="AY6" i="79"/>
  <c r="AX6" i="79"/>
  <c r="AW6" i="79"/>
  <c r="AW10" i="79" s="1"/>
  <c r="AI5" i="79"/>
  <c r="AH5" i="79"/>
  <c r="AG5" i="79"/>
  <c r="AF5" i="79"/>
  <c r="AE5" i="79"/>
  <c r="R5" i="79"/>
  <c r="Q5" i="79"/>
  <c r="P5" i="79"/>
  <c r="O5" i="79"/>
  <c r="N5" i="79"/>
  <c r="AI4" i="79"/>
  <c r="AH4" i="79"/>
  <c r="AG4" i="79"/>
  <c r="AF4" i="79"/>
  <c r="AE4" i="79"/>
  <c r="R4" i="79"/>
  <c r="Q4" i="79"/>
  <c r="P4" i="79"/>
  <c r="O4" i="79"/>
  <c r="N4" i="79"/>
  <c r="R14" i="79" l="1"/>
  <c r="AY10" i="79"/>
  <c r="AH13" i="79"/>
  <c r="BY10" i="79"/>
  <c r="R13" i="79"/>
  <c r="BQ13" i="79"/>
  <c r="O14" i="79"/>
  <c r="Q14" i="79"/>
  <c r="CB10" i="79"/>
  <c r="AI14" i="79"/>
  <c r="CC10" i="79"/>
  <c r="AG13" i="79"/>
  <c r="AV10" i="79"/>
  <c r="CF10" i="79"/>
  <c r="O13" i="79"/>
  <c r="Q13" i="79"/>
  <c r="P14" i="79"/>
  <c r="AH14" i="79"/>
  <c r="AI13" i="79"/>
  <c r="AF14" i="79"/>
  <c r="CK13" i="79"/>
  <c r="CL13" i="79"/>
  <c r="CJ10" i="79"/>
  <c r="BV10" i="79"/>
  <c r="BV13" i="79"/>
  <c r="CD10" i="79"/>
  <c r="CD13" i="79"/>
  <c r="BB10" i="79"/>
  <c r="BJ10" i="79"/>
  <c r="P13" i="79"/>
  <c r="BR10" i="79"/>
  <c r="BR13" i="79"/>
  <c r="BZ10" i="79"/>
  <c r="BZ13" i="79"/>
  <c r="CH10" i="79"/>
  <c r="CH13" i="79"/>
  <c r="AX10" i="79"/>
  <c r="BF10" i="79"/>
  <c r="BN10" i="79"/>
  <c r="N13" i="79"/>
  <c r="N14" i="79"/>
  <c r="AE13" i="79"/>
  <c r="BW13" i="79"/>
  <c r="CA13" i="79"/>
  <c r="CE13" i="79"/>
  <c r="CI13" i="79"/>
  <c r="AE14" i="79"/>
  <c r="CH7" i="78"/>
  <c r="CI7" i="78"/>
  <c r="CJ7" i="78"/>
  <c r="CK7" i="78"/>
  <c r="CK13" i="78" s="1"/>
  <c r="AU14" i="78"/>
  <c r="AT14" i="78"/>
  <c r="AS14" i="78"/>
  <c r="AR14" i="78"/>
  <c r="AQ14" i="78"/>
  <c r="AP14" i="78"/>
  <c r="AO14" i="78"/>
  <c r="AN14" i="78"/>
  <c r="AM14" i="78"/>
  <c r="AL14" i="78"/>
  <c r="AK14" i="78"/>
  <c r="AJ14" i="78"/>
  <c r="AD14" i="78"/>
  <c r="AC14" i="78"/>
  <c r="AB14" i="78"/>
  <c r="AA14" i="78"/>
  <c r="Z14" i="78"/>
  <c r="Y14" i="78"/>
  <c r="AG14" i="78" s="1"/>
  <c r="X14" i="78"/>
  <c r="W14" i="78"/>
  <c r="V14" i="78"/>
  <c r="U14" i="78"/>
  <c r="T14" i="78"/>
  <c r="S14" i="78"/>
  <c r="M14" i="78"/>
  <c r="L14" i="78"/>
  <c r="K14" i="78"/>
  <c r="J14" i="78"/>
  <c r="I14" i="78"/>
  <c r="H14" i="78"/>
  <c r="P14" i="78" s="1"/>
  <c r="G14" i="78"/>
  <c r="F14" i="78"/>
  <c r="E14" i="78"/>
  <c r="O14" i="78" s="1"/>
  <c r="D14" i="78"/>
  <c r="C14" i="78"/>
  <c r="B14" i="78"/>
  <c r="CJ13" i="78"/>
  <c r="CI13" i="78"/>
  <c r="CH13" i="78"/>
  <c r="AD13" i="78"/>
  <c r="AC13" i="78"/>
  <c r="AB13" i="78"/>
  <c r="AA13" i="78"/>
  <c r="Z13" i="78"/>
  <c r="Y13" i="78"/>
  <c r="X13" i="78"/>
  <c r="W13" i="78"/>
  <c r="V13" i="78"/>
  <c r="U13" i="78"/>
  <c r="T13" i="78"/>
  <c r="S13" i="78"/>
  <c r="M13" i="78"/>
  <c r="L13" i="78"/>
  <c r="K13" i="78"/>
  <c r="J13" i="78"/>
  <c r="I13" i="78"/>
  <c r="H13" i="78"/>
  <c r="P13" i="78" s="1"/>
  <c r="G13" i="78"/>
  <c r="F13" i="78"/>
  <c r="E13" i="78"/>
  <c r="D13" i="78"/>
  <c r="C13" i="78"/>
  <c r="B13" i="78"/>
  <c r="CD12" i="78"/>
  <c r="CC12" i="78"/>
  <c r="CB12" i="78"/>
  <c r="CA12" i="78"/>
  <c r="BZ12" i="78"/>
  <c r="BY12" i="78"/>
  <c r="BX12" i="78"/>
  <c r="BW12" i="78"/>
  <c r="BV12" i="78"/>
  <c r="BU12" i="78"/>
  <c r="BT12" i="78"/>
  <c r="CJ10" i="78"/>
  <c r="CI10" i="78"/>
  <c r="CH10" i="78"/>
  <c r="CG7" i="78"/>
  <c r="CG10" i="78" s="1"/>
  <c r="CF7" i="78"/>
  <c r="CF13" i="78" s="1"/>
  <c r="CE7" i="78"/>
  <c r="CE10" i="78" s="1"/>
  <c r="CD7" i="78"/>
  <c r="CC7" i="78"/>
  <c r="CC13" i="78" s="1"/>
  <c r="CB7" i="78"/>
  <c r="CB13" i="78" s="1"/>
  <c r="CA7" i="78"/>
  <c r="CA10" i="78" s="1"/>
  <c r="BZ7" i="78"/>
  <c r="BY7" i="78"/>
  <c r="BY13" i="78" s="1"/>
  <c r="BX7" i="78"/>
  <c r="BX13" i="78" s="1"/>
  <c r="BW7" i="78"/>
  <c r="BW10" i="78" s="1"/>
  <c r="BV7" i="78"/>
  <c r="BU7" i="78"/>
  <c r="BU13" i="78" s="1"/>
  <c r="BT7" i="78"/>
  <c r="BT13" i="78" s="1"/>
  <c r="BS7" i="78"/>
  <c r="BS13" i="78" s="1"/>
  <c r="BR7" i="78"/>
  <c r="BQ7" i="78"/>
  <c r="BQ10" i="78" s="1"/>
  <c r="BP7" i="78"/>
  <c r="BP13" i="78" s="1"/>
  <c r="BO7" i="78"/>
  <c r="BO13" i="78" s="1"/>
  <c r="BN7" i="78"/>
  <c r="BN13" i="78" s="1"/>
  <c r="BM7" i="78"/>
  <c r="BM13" i="78" s="1"/>
  <c r="BL7" i="78"/>
  <c r="BL13" i="78" s="1"/>
  <c r="BK7" i="78"/>
  <c r="BK13" i="78" s="1"/>
  <c r="BJ7" i="78"/>
  <c r="BJ13" i="78" s="1"/>
  <c r="BI7" i="78"/>
  <c r="BI13" i="78" s="1"/>
  <c r="BH7" i="78"/>
  <c r="BH13" i="78" s="1"/>
  <c r="BG7" i="78"/>
  <c r="BG13" i="78" s="1"/>
  <c r="BF7" i="78"/>
  <c r="BF13" i="78" s="1"/>
  <c r="BE7" i="78"/>
  <c r="BE13" i="78" s="1"/>
  <c r="BD7" i="78"/>
  <c r="BD13" i="78" s="1"/>
  <c r="BC7" i="78"/>
  <c r="BC13" i="78" s="1"/>
  <c r="BB7" i="78"/>
  <c r="BB13" i="78" s="1"/>
  <c r="BA7" i="78"/>
  <c r="BA13" i="78" s="1"/>
  <c r="AZ7" i="78"/>
  <c r="AZ13" i="78" s="1"/>
  <c r="AY7" i="78"/>
  <c r="AY13" i="78" s="1"/>
  <c r="AX7" i="78"/>
  <c r="AX13" i="78" s="1"/>
  <c r="AW7" i="78"/>
  <c r="AW13" i="78" s="1"/>
  <c r="AV7" i="78"/>
  <c r="AV13" i="78" s="1"/>
  <c r="AU7" i="78"/>
  <c r="AU13" i="78" s="1"/>
  <c r="AT7" i="78"/>
  <c r="AT13" i="78" s="1"/>
  <c r="AS7" i="78"/>
  <c r="AS13" i="78" s="1"/>
  <c r="AR7" i="78"/>
  <c r="AR13" i="78" s="1"/>
  <c r="AQ7" i="78"/>
  <c r="AQ13" i="78" s="1"/>
  <c r="AP7" i="78"/>
  <c r="AP13" i="78" s="1"/>
  <c r="AO7" i="78"/>
  <c r="AO13" i="78" s="1"/>
  <c r="AN7" i="78"/>
  <c r="AN13" i="78" s="1"/>
  <c r="AM7" i="78"/>
  <c r="AM13" i="78" s="1"/>
  <c r="AL7" i="78"/>
  <c r="AL13" i="78" s="1"/>
  <c r="AK7" i="78"/>
  <c r="AK13" i="78" s="1"/>
  <c r="AJ7" i="78"/>
  <c r="AJ13" i="78" s="1"/>
  <c r="AI7" i="78"/>
  <c r="AH7" i="78"/>
  <c r="AG7" i="78"/>
  <c r="AF7" i="78"/>
  <c r="AE7" i="78"/>
  <c r="R7" i="78"/>
  <c r="Q7" i="78"/>
  <c r="P7" i="78"/>
  <c r="O7" i="78"/>
  <c r="N7" i="78"/>
  <c r="BU6" i="78"/>
  <c r="BU10" i="78" s="1"/>
  <c r="BT6" i="78"/>
  <c r="BT10" i="78" s="1"/>
  <c r="BS6" i="78"/>
  <c r="BS10" i="78" s="1"/>
  <c r="BP6" i="78"/>
  <c r="BP10" i="78" s="1"/>
  <c r="BO6" i="78"/>
  <c r="BO10" i="78" s="1"/>
  <c r="BN6" i="78"/>
  <c r="BM6" i="78"/>
  <c r="BL6" i="78"/>
  <c r="BK6" i="78"/>
  <c r="BK10" i="78" s="1"/>
  <c r="BJ6" i="78"/>
  <c r="BI6" i="78"/>
  <c r="BI10" i="78" s="1"/>
  <c r="BH6" i="78"/>
  <c r="BH10" i="78" s="1"/>
  <c r="BG6" i="78"/>
  <c r="BG10" i="78" s="1"/>
  <c r="BF6" i="78"/>
  <c r="BE6" i="78"/>
  <c r="BD6" i="78"/>
  <c r="BC6" i="78"/>
  <c r="BC10" i="78" s="1"/>
  <c r="BB6" i="78"/>
  <c r="BA6" i="78"/>
  <c r="BA10" i="78" s="1"/>
  <c r="AZ6" i="78"/>
  <c r="AZ10" i="78" s="1"/>
  <c r="AY6" i="78"/>
  <c r="AY10" i="78" s="1"/>
  <c r="AX6" i="78"/>
  <c r="AW6" i="78"/>
  <c r="AI5" i="78"/>
  <c r="AH5" i="78"/>
  <c r="AG5" i="78"/>
  <c r="AF5" i="78"/>
  <c r="AE5" i="78"/>
  <c r="R5" i="78"/>
  <c r="Q5" i="78"/>
  <c r="P5" i="78"/>
  <c r="O5" i="78"/>
  <c r="N5" i="78"/>
  <c r="AI4" i="78"/>
  <c r="AH4" i="78"/>
  <c r="AG4" i="78"/>
  <c r="AF4" i="78"/>
  <c r="AE4" i="78"/>
  <c r="R4" i="78"/>
  <c r="Q4" i="78"/>
  <c r="P4" i="78"/>
  <c r="O4" i="78"/>
  <c r="N4" i="78"/>
  <c r="AG13" i="78" l="1"/>
  <c r="AF14" i="78"/>
  <c r="O13" i="78"/>
  <c r="BL10" i="78"/>
  <c r="AH13" i="78"/>
  <c r="BD10" i="78"/>
  <c r="AW10" i="78"/>
  <c r="BE10" i="78"/>
  <c r="BM10" i="78"/>
  <c r="AF13" i="78"/>
  <c r="AH14" i="78"/>
  <c r="AV10" i="78"/>
  <c r="BX10" i="78"/>
  <c r="CF10" i="78"/>
  <c r="R13" i="78"/>
  <c r="AI13" i="78"/>
  <c r="BQ13" i="78"/>
  <c r="CG13" i="78"/>
  <c r="R14" i="78"/>
  <c r="AI14" i="78"/>
  <c r="BY10" i="78"/>
  <c r="CB10" i="78"/>
  <c r="CC10" i="78"/>
  <c r="Q13" i="78"/>
  <c r="Q14" i="78"/>
  <c r="CK10" i="78"/>
  <c r="AX10" i="78"/>
  <c r="BB10" i="78"/>
  <c r="BF10" i="78"/>
  <c r="BJ10" i="78"/>
  <c r="BN10" i="78"/>
  <c r="BR10" i="78"/>
  <c r="BR13" i="78"/>
  <c r="BV10" i="78"/>
  <c r="BV13" i="78"/>
  <c r="BZ10" i="78"/>
  <c r="BZ13" i="78"/>
  <c r="CD10" i="78"/>
  <c r="CD13" i="78"/>
  <c r="N13" i="78"/>
  <c r="N14" i="78"/>
  <c r="AE13" i="78"/>
  <c r="BW13" i="78"/>
  <c r="CA13" i="78"/>
  <c r="CE13" i="78"/>
  <c r="AE14" i="78"/>
  <c r="CK10" i="77"/>
  <c r="CK13" i="77"/>
  <c r="AU14" i="77"/>
  <c r="AT14" i="77"/>
  <c r="AS14" i="77"/>
  <c r="AR14" i="77"/>
  <c r="AQ14" i="77"/>
  <c r="AP14" i="77"/>
  <c r="AO14" i="77"/>
  <c r="AN14" i="77"/>
  <c r="AM14" i="77"/>
  <c r="AL14" i="77"/>
  <c r="AK14" i="77"/>
  <c r="AJ14" i="77"/>
  <c r="AD14" i="77"/>
  <c r="AC14" i="77"/>
  <c r="AB14" i="77"/>
  <c r="AA14" i="77"/>
  <c r="Z14" i="77"/>
  <c r="Y14" i="77"/>
  <c r="X14" i="77"/>
  <c r="W14" i="77"/>
  <c r="V14" i="77"/>
  <c r="U14" i="77"/>
  <c r="T14" i="77"/>
  <c r="S14" i="77"/>
  <c r="M14" i="77"/>
  <c r="L14" i="77"/>
  <c r="K14" i="77"/>
  <c r="J14" i="77"/>
  <c r="I14" i="77"/>
  <c r="H14" i="77"/>
  <c r="P14" i="77" s="1"/>
  <c r="G14" i="77"/>
  <c r="F14" i="77"/>
  <c r="E14" i="77"/>
  <c r="D14" i="77"/>
  <c r="C14" i="77"/>
  <c r="B14" i="77"/>
  <c r="CI13" i="77"/>
  <c r="AD13" i="77"/>
  <c r="AC13" i="77"/>
  <c r="AB13" i="77"/>
  <c r="AA13" i="77"/>
  <c r="Z13" i="77"/>
  <c r="Y13" i="77"/>
  <c r="AG13" i="77" s="1"/>
  <c r="X13" i="77"/>
  <c r="W13" i="77"/>
  <c r="V13" i="77"/>
  <c r="U13" i="77"/>
  <c r="T13" i="77"/>
  <c r="S13" i="77"/>
  <c r="M13" i="77"/>
  <c r="L13" i="77"/>
  <c r="K13" i="77"/>
  <c r="J13" i="77"/>
  <c r="I13" i="77"/>
  <c r="H13" i="77"/>
  <c r="G13" i="77"/>
  <c r="F13" i="77"/>
  <c r="E13" i="77"/>
  <c r="D13" i="77"/>
  <c r="C13" i="77"/>
  <c r="B13" i="77"/>
  <c r="CD12" i="77"/>
  <c r="CC12" i="77"/>
  <c r="CB12" i="77"/>
  <c r="CA12" i="77"/>
  <c r="BZ12" i="77"/>
  <c r="BY12" i="77"/>
  <c r="BX12" i="77"/>
  <c r="BW12" i="77"/>
  <c r="BV12" i="77"/>
  <c r="BU12" i="77"/>
  <c r="BT12" i="77"/>
  <c r="CJ10" i="77"/>
  <c r="CI10" i="77"/>
  <c r="CH13" i="77"/>
  <c r="CG7" i="77"/>
  <c r="CG13" i="77" s="1"/>
  <c r="CF7" i="77"/>
  <c r="CF10" i="77" s="1"/>
  <c r="CE7" i="77"/>
  <c r="CE10" i="77" s="1"/>
  <c r="CD7" i="77"/>
  <c r="CD13" i="77" s="1"/>
  <c r="CC7" i="77"/>
  <c r="CC13" i="77" s="1"/>
  <c r="CB7" i="77"/>
  <c r="CB10" i="77" s="1"/>
  <c r="CA7" i="77"/>
  <c r="CA10" i="77" s="1"/>
  <c r="BZ7" i="77"/>
  <c r="BZ13" i="77" s="1"/>
  <c r="BY7" i="77"/>
  <c r="BY13" i="77" s="1"/>
  <c r="BX7" i="77"/>
  <c r="BX10" i="77" s="1"/>
  <c r="BW7" i="77"/>
  <c r="BW10" i="77" s="1"/>
  <c r="BV7" i="77"/>
  <c r="BV13" i="77" s="1"/>
  <c r="BU7" i="77"/>
  <c r="BU13" i="77" s="1"/>
  <c r="BT7" i="77"/>
  <c r="BT13" i="77" s="1"/>
  <c r="BS7" i="77"/>
  <c r="BS13" i="77" s="1"/>
  <c r="BR7" i="77"/>
  <c r="BR13" i="77" s="1"/>
  <c r="BQ7" i="77"/>
  <c r="BQ13" i="77" s="1"/>
  <c r="BP7" i="77"/>
  <c r="BP13" i="77" s="1"/>
  <c r="BO7" i="77"/>
  <c r="BO13" i="77" s="1"/>
  <c r="BN7" i="77"/>
  <c r="BN13" i="77" s="1"/>
  <c r="BM7" i="77"/>
  <c r="BM13" i="77" s="1"/>
  <c r="BL7" i="77"/>
  <c r="BL13" i="77" s="1"/>
  <c r="BK7" i="77"/>
  <c r="BK13" i="77" s="1"/>
  <c r="BJ7" i="77"/>
  <c r="BJ13" i="77" s="1"/>
  <c r="BI7" i="77"/>
  <c r="BI13" i="77" s="1"/>
  <c r="BH7" i="77"/>
  <c r="BH13" i="77" s="1"/>
  <c r="BG7" i="77"/>
  <c r="BG13" i="77" s="1"/>
  <c r="BF7" i="77"/>
  <c r="BF13" i="77" s="1"/>
  <c r="BE7" i="77"/>
  <c r="BE13" i="77" s="1"/>
  <c r="BD7" i="77"/>
  <c r="BD13" i="77" s="1"/>
  <c r="BC7" i="77"/>
  <c r="BC13" i="77" s="1"/>
  <c r="BB7" i="77"/>
  <c r="BB13" i="77" s="1"/>
  <c r="BA7" i="77"/>
  <c r="BA13" i="77" s="1"/>
  <c r="AZ7" i="77"/>
  <c r="AZ13" i="77" s="1"/>
  <c r="AY7" i="77"/>
  <c r="AY13" i="77" s="1"/>
  <c r="AX7" i="77"/>
  <c r="AX13" i="77" s="1"/>
  <c r="AW7" i="77"/>
  <c r="AW13" i="77" s="1"/>
  <c r="AV7" i="77"/>
  <c r="AV10" i="77" s="1"/>
  <c r="AU7" i="77"/>
  <c r="AU13" i="77" s="1"/>
  <c r="AT7" i="77"/>
  <c r="AT13" i="77" s="1"/>
  <c r="AS7" i="77"/>
  <c r="AS13" i="77" s="1"/>
  <c r="AR7" i="77"/>
  <c r="AR13" i="77" s="1"/>
  <c r="AQ7" i="77"/>
  <c r="AQ13" i="77" s="1"/>
  <c r="AP7" i="77"/>
  <c r="AP13" i="77" s="1"/>
  <c r="AO7" i="77"/>
  <c r="AO13" i="77" s="1"/>
  <c r="AN7" i="77"/>
  <c r="AN13" i="77" s="1"/>
  <c r="AM7" i="77"/>
  <c r="AM13" i="77" s="1"/>
  <c r="AL7" i="77"/>
  <c r="AL13" i="77" s="1"/>
  <c r="AK7" i="77"/>
  <c r="AK13" i="77" s="1"/>
  <c r="AJ7" i="77"/>
  <c r="AJ13" i="77" s="1"/>
  <c r="AI7" i="77"/>
  <c r="AH7" i="77"/>
  <c r="AG7" i="77"/>
  <c r="AF7" i="77"/>
  <c r="AE7" i="77"/>
  <c r="R7" i="77"/>
  <c r="Q7" i="77"/>
  <c r="P7" i="77"/>
  <c r="O7" i="77"/>
  <c r="N7" i="77"/>
  <c r="BU6" i="77"/>
  <c r="BT6" i="77"/>
  <c r="BT10" i="77" s="1"/>
  <c r="BS6" i="77"/>
  <c r="BS10" i="77" s="1"/>
  <c r="BP6" i="77"/>
  <c r="BP10" i="77" s="1"/>
  <c r="BO6" i="77"/>
  <c r="BN6" i="77"/>
  <c r="BM6" i="77"/>
  <c r="BL6" i="77"/>
  <c r="BL10" i="77" s="1"/>
  <c r="BK6" i="77"/>
  <c r="BJ6" i="77"/>
  <c r="BI6" i="77"/>
  <c r="BH6" i="77"/>
  <c r="BH10" i="77" s="1"/>
  <c r="BG6" i="77"/>
  <c r="BF6" i="77"/>
  <c r="BE6" i="77"/>
  <c r="BD6" i="77"/>
  <c r="BD10" i="77" s="1"/>
  <c r="BC6" i="77"/>
  <c r="BB6" i="77"/>
  <c r="BA6" i="77"/>
  <c r="AZ6" i="77"/>
  <c r="AZ10" i="77" s="1"/>
  <c r="AY6" i="77"/>
  <c r="AX6" i="77"/>
  <c r="AW6" i="77"/>
  <c r="AI5" i="77"/>
  <c r="AH5" i="77"/>
  <c r="AG5" i="77"/>
  <c r="AF5" i="77"/>
  <c r="AE5" i="77"/>
  <c r="R5" i="77"/>
  <c r="Q5" i="77"/>
  <c r="P5" i="77"/>
  <c r="O5" i="77"/>
  <c r="N5" i="77"/>
  <c r="AI4" i="77"/>
  <c r="AH4" i="77"/>
  <c r="AG4" i="77"/>
  <c r="AF4" i="77"/>
  <c r="AE4" i="77"/>
  <c r="R4" i="77"/>
  <c r="Q4" i="77"/>
  <c r="P4" i="77"/>
  <c r="O4" i="77"/>
  <c r="N4" i="77"/>
  <c r="AF14" i="77" l="1"/>
  <c r="O13" i="77"/>
  <c r="AG14" i="77"/>
  <c r="R13" i="77"/>
  <c r="AF13" i="77"/>
  <c r="O14" i="77"/>
  <c r="AY10" i="77"/>
  <c r="BC10" i="77"/>
  <c r="BG10" i="77"/>
  <c r="BK10" i="77"/>
  <c r="BO10" i="77"/>
  <c r="Q13" i="77"/>
  <c r="AE13" i="77"/>
  <c r="R14" i="77"/>
  <c r="AI14" i="77"/>
  <c r="P13" i="77"/>
  <c r="AH13" i="77"/>
  <c r="Q14" i="77"/>
  <c r="AH14" i="77"/>
  <c r="BA10" i="77"/>
  <c r="CE13" i="77"/>
  <c r="BQ10" i="77"/>
  <c r="CG10" i="77"/>
  <c r="BE10" i="77"/>
  <c r="BU10" i="77"/>
  <c r="AX10" i="77"/>
  <c r="BB10" i="77"/>
  <c r="BF10" i="77"/>
  <c r="BJ10" i="77"/>
  <c r="BN10" i="77"/>
  <c r="BI10" i="77"/>
  <c r="BY10" i="77"/>
  <c r="BW13" i="77"/>
  <c r="AW10" i="77"/>
  <c r="BM10" i="77"/>
  <c r="CC10" i="77"/>
  <c r="CA13" i="77"/>
  <c r="BR10" i="77"/>
  <c r="BV10" i="77"/>
  <c r="BZ10" i="77"/>
  <c r="CD10" i="77"/>
  <c r="CH10" i="77"/>
  <c r="AV13" i="77"/>
  <c r="BX13" i="77"/>
  <c r="CB13" i="77"/>
  <c r="CF13" i="77"/>
  <c r="CJ13" i="77"/>
  <c r="AI13" i="77"/>
  <c r="N14" i="77"/>
  <c r="N13" i="77"/>
  <c r="AE14" i="77"/>
  <c r="AU14" i="76"/>
  <c r="AT14" i="76"/>
  <c r="AS14" i="76"/>
  <c r="AR14" i="76"/>
  <c r="AQ14" i="76"/>
  <c r="AP14" i="76"/>
  <c r="AO14" i="76"/>
  <c r="AN14" i="76"/>
  <c r="AM14" i="76"/>
  <c r="AL14" i="76"/>
  <c r="AK14" i="76"/>
  <c r="AJ14" i="76"/>
  <c r="AD14" i="76"/>
  <c r="AC14" i="76"/>
  <c r="AB14" i="76"/>
  <c r="AH14" i="76" s="1"/>
  <c r="AA14" i="76"/>
  <c r="Z14" i="76"/>
  <c r="Y14" i="76"/>
  <c r="AG14" i="76" s="1"/>
  <c r="X14" i="76"/>
  <c r="AF14" i="76" s="1"/>
  <c r="W14" i="76"/>
  <c r="V14" i="76"/>
  <c r="U14" i="76"/>
  <c r="T14" i="76"/>
  <c r="S14" i="76"/>
  <c r="M14" i="76"/>
  <c r="L14" i="76"/>
  <c r="K14" i="76"/>
  <c r="Q14" i="76" s="1"/>
  <c r="J14" i="76"/>
  <c r="I14" i="76"/>
  <c r="H14" i="76"/>
  <c r="P14" i="76" s="1"/>
  <c r="G14" i="76"/>
  <c r="F14" i="76"/>
  <c r="E14" i="76"/>
  <c r="D14" i="76"/>
  <c r="C14" i="76"/>
  <c r="B14" i="76"/>
  <c r="BO13" i="76"/>
  <c r="BK13" i="76"/>
  <c r="AD13" i="76"/>
  <c r="AC13" i="76"/>
  <c r="AB13" i="76"/>
  <c r="AA13" i="76"/>
  <c r="Z13" i="76"/>
  <c r="Y13" i="76"/>
  <c r="AG13" i="76" s="1"/>
  <c r="X13" i="76"/>
  <c r="W13" i="76"/>
  <c r="V13" i="76"/>
  <c r="AF13" i="76" s="1"/>
  <c r="U13" i="76"/>
  <c r="T13" i="76"/>
  <c r="S13" i="76"/>
  <c r="M13" i="76"/>
  <c r="L13" i="76"/>
  <c r="K13" i="76"/>
  <c r="Q13" i="76" s="1"/>
  <c r="J13" i="76"/>
  <c r="I13" i="76"/>
  <c r="H13" i="76"/>
  <c r="P13" i="76" s="1"/>
  <c r="G13" i="76"/>
  <c r="F13" i="76"/>
  <c r="E13" i="76"/>
  <c r="D13" i="76"/>
  <c r="C13" i="76"/>
  <c r="B13" i="76"/>
  <c r="CD12" i="76"/>
  <c r="CC12" i="76"/>
  <c r="CB12" i="76"/>
  <c r="CA12" i="76"/>
  <c r="BZ12" i="76"/>
  <c r="BY12" i="76"/>
  <c r="BX12" i="76"/>
  <c r="BW12" i="76"/>
  <c r="BV12" i="76"/>
  <c r="BU12" i="76"/>
  <c r="BT12" i="76"/>
  <c r="BY10" i="76"/>
  <c r="BX10" i="76"/>
  <c r="AV10" i="76"/>
  <c r="CJ7" i="76"/>
  <c r="CJ13" i="76" s="1"/>
  <c r="CI7" i="76"/>
  <c r="CI10" i="76" s="1"/>
  <c r="CH7" i="76"/>
  <c r="CH13" i="76" s="1"/>
  <c r="CG7" i="76"/>
  <c r="CG13" i="76" s="1"/>
  <c r="CF7" i="76"/>
  <c r="CF13" i="76" s="1"/>
  <c r="CE7" i="76"/>
  <c r="CE10" i="76" s="1"/>
  <c r="CD7" i="76"/>
  <c r="CD13" i="76" s="1"/>
  <c r="CC7" i="76"/>
  <c r="CC13" i="76" s="1"/>
  <c r="CB7" i="76"/>
  <c r="CB13" i="76" s="1"/>
  <c r="CA7" i="76"/>
  <c r="CA10" i="76" s="1"/>
  <c r="BZ7" i="76"/>
  <c r="BZ13" i="76" s="1"/>
  <c r="BY7" i="76"/>
  <c r="BY13" i="76" s="1"/>
  <c r="BX7" i="76"/>
  <c r="BX13" i="76" s="1"/>
  <c r="BW7" i="76"/>
  <c r="BW10" i="76" s="1"/>
  <c r="BV7" i="76"/>
  <c r="BV13" i="76" s="1"/>
  <c r="BU7" i="76"/>
  <c r="BU13" i="76" s="1"/>
  <c r="BT7" i="76"/>
  <c r="BT13" i="76" s="1"/>
  <c r="BS7" i="76"/>
  <c r="BS13" i="76" s="1"/>
  <c r="BR7" i="76"/>
  <c r="BR13" i="76" s="1"/>
  <c r="BQ7" i="76"/>
  <c r="BQ13" i="76" s="1"/>
  <c r="BP7" i="76"/>
  <c r="BP13" i="76" s="1"/>
  <c r="BO7" i="76"/>
  <c r="BN7" i="76"/>
  <c r="BN13" i="76" s="1"/>
  <c r="BM7" i="76"/>
  <c r="BM13" i="76" s="1"/>
  <c r="BL7" i="76"/>
  <c r="BL13" i="76" s="1"/>
  <c r="BK7" i="76"/>
  <c r="BJ7" i="76"/>
  <c r="BJ13" i="76" s="1"/>
  <c r="BI7" i="76"/>
  <c r="BI13" i="76" s="1"/>
  <c r="BH7" i="76"/>
  <c r="BH13" i="76" s="1"/>
  <c r="BG7" i="76"/>
  <c r="BG13" i="76" s="1"/>
  <c r="BF7" i="76"/>
  <c r="BF13" i="76" s="1"/>
  <c r="BE7" i="76"/>
  <c r="BE13" i="76" s="1"/>
  <c r="BD7" i="76"/>
  <c r="BD13" i="76" s="1"/>
  <c r="BC7" i="76"/>
  <c r="BC13" i="76" s="1"/>
  <c r="BB7" i="76"/>
  <c r="BB13" i="76" s="1"/>
  <c r="BA7" i="76"/>
  <c r="BA13" i="76" s="1"/>
  <c r="AZ7" i="76"/>
  <c r="AZ13" i="76" s="1"/>
  <c r="AY7" i="76"/>
  <c r="AY13" i="76" s="1"/>
  <c r="AX7" i="76"/>
  <c r="AX13" i="76" s="1"/>
  <c r="AW7" i="76"/>
  <c r="AW13" i="76" s="1"/>
  <c r="AV7" i="76"/>
  <c r="AV13" i="76" s="1"/>
  <c r="AU7" i="76"/>
  <c r="AU13" i="76" s="1"/>
  <c r="AT7" i="76"/>
  <c r="AT13" i="76" s="1"/>
  <c r="AS7" i="76"/>
  <c r="AS13" i="76" s="1"/>
  <c r="AR7" i="76"/>
  <c r="AR13" i="76" s="1"/>
  <c r="AQ7" i="76"/>
  <c r="AQ13" i="76" s="1"/>
  <c r="AP7" i="76"/>
  <c r="AP13" i="76" s="1"/>
  <c r="AO7" i="76"/>
  <c r="AO13" i="76" s="1"/>
  <c r="AN7" i="76"/>
  <c r="AN13" i="76" s="1"/>
  <c r="AM7" i="76"/>
  <c r="AM13" i="76" s="1"/>
  <c r="AL7" i="76"/>
  <c r="AL13" i="76" s="1"/>
  <c r="AK7" i="76"/>
  <c r="AK13" i="76" s="1"/>
  <c r="AJ7" i="76"/>
  <c r="AJ13" i="76" s="1"/>
  <c r="AI7" i="76"/>
  <c r="AH7" i="76"/>
  <c r="AG7" i="76"/>
  <c r="AF7" i="76"/>
  <c r="AE7" i="76"/>
  <c r="R7" i="76"/>
  <c r="Q7" i="76"/>
  <c r="P7" i="76"/>
  <c r="O7" i="76"/>
  <c r="N7" i="76"/>
  <c r="BU6" i="76"/>
  <c r="BU10" i="76" s="1"/>
  <c r="BT6" i="76"/>
  <c r="BT10" i="76" s="1"/>
  <c r="BS6" i="76"/>
  <c r="BS10" i="76" s="1"/>
  <c r="BP6" i="76"/>
  <c r="BP10" i="76" s="1"/>
  <c r="BO6" i="76"/>
  <c r="BO10" i="76" s="1"/>
  <c r="BN6" i="76"/>
  <c r="BM6" i="76"/>
  <c r="BM10" i="76" s="1"/>
  <c r="BL6" i="76"/>
  <c r="BL10" i="76" s="1"/>
  <c r="BK6" i="76"/>
  <c r="BK10" i="76" s="1"/>
  <c r="BJ6" i="76"/>
  <c r="BJ10" i="76" s="1"/>
  <c r="BI6" i="76"/>
  <c r="BI10" i="76" s="1"/>
  <c r="BH6" i="76"/>
  <c r="BH10" i="76" s="1"/>
  <c r="BG6" i="76"/>
  <c r="BG10" i="76" s="1"/>
  <c r="BF6" i="76"/>
  <c r="BE6" i="76"/>
  <c r="BE10" i="76" s="1"/>
  <c r="BD6" i="76"/>
  <c r="BD10" i="76" s="1"/>
  <c r="BC6" i="76"/>
  <c r="BC10" i="76" s="1"/>
  <c r="BB6" i="76"/>
  <c r="BB10" i="76" s="1"/>
  <c r="BA6" i="76"/>
  <c r="BA10" i="76" s="1"/>
  <c r="AZ6" i="76"/>
  <c r="AZ10" i="76" s="1"/>
  <c r="AY6" i="76"/>
  <c r="AY10" i="76" s="1"/>
  <c r="AX6" i="76"/>
  <c r="AW6" i="76"/>
  <c r="AI5" i="76"/>
  <c r="AH5" i="76"/>
  <c r="AG5" i="76"/>
  <c r="AF5" i="76"/>
  <c r="AE5" i="76"/>
  <c r="R5" i="76"/>
  <c r="Q5" i="76"/>
  <c r="P5" i="76"/>
  <c r="O5" i="76"/>
  <c r="N5" i="76"/>
  <c r="AI4" i="76"/>
  <c r="AH4" i="76"/>
  <c r="AG4" i="76"/>
  <c r="AF4" i="76"/>
  <c r="AE4" i="76"/>
  <c r="R4" i="76"/>
  <c r="Q4" i="76"/>
  <c r="P4" i="76"/>
  <c r="O4" i="76"/>
  <c r="N4" i="76"/>
  <c r="AH13" i="76" l="1"/>
  <c r="BQ10" i="76"/>
  <c r="CJ10" i="76"/>
  <c r="AI13" i="76"/>
  <c r="CI13" i="76"/>
  <c r="O13" i="76"/>
  <c r="R14" i="76"/>
  <c r="AW10" i="76"/>
  <c r="CB10" i="76"/>
  <c r="R13" i="76"/>
  <c r="AX10" i="76"/>
  <c r="BF10" i="76"/>
  <c r="BN10" i="76"/>
  <c r="CC10" i="76"/>
  <c r="BW13" i="76"/>
  <c r="AI14" i="76"/>
  <c r="CF10" i="76"/>
  <c r="CA13" i="76"/>
  <c r="O14" i="76"/>
  <c r="CG10" i="76"/>
  <c r="CE13" i="76"/>
  <c r="AE13" i="76"/>
  <c r="BR10" i="76"/>
  <c r="BV10" i="76"/>
  <c r="BZ10" i="76"/>
  <c r="CD10" i="76"/>
  <c r="CH10" i="76"/>
  <c r="N14" i="76"/>
  <c r="N13" i="76"/>
  <c r="AE14" i="76"/>
  <c r="CJ7" i="75" l="1"/>
  <c r="CJ10" i="75" s="1"/>
  <c r="AU14" i="75"/>
  <c r="AT14" i="75"/>
  <c r="AS14" i="75"/>
  <c r="AR14" i="75"/>
  <c r="AQ14" i="75"/>
  <c r="AP14" i="75"/>
  <c r="AO14" i="75"/>
  <c r="AN14" i="75"/>
  <c r="AM14" i="75"/>
  <c r="AL14" i="75"/>
  <c r="AK14" i="75"/>
  <c r="AJ14" i="75"/>
  <c r="AD14" i="75"/>
  <c r="AH14" i="75" s="1"/>
  <c r="AC14" i="75"/>
  <c r="AB14" i="75"/>
  <c r="AA14" i="75"/>
  <c r="Z14" i="75"/>
  <c r="Y14" i="75"/>
  <c r="X14" i="75"/>
  <c r="W14" i="75"/>
  <c r="V14" i="75"/>
  <c r="AF14" i="75" s="1"/>
  <c r="U14" i="75"/>
  <c r="T14" i="75"/>
  <c r="S14" i="75"/>
  <c r="AE14" i="75" s="1"/>
  <c r="M14" i="75"/>
  <c r="L14" i="75"/>
  <c r="K14" i="75"/>
  <c r="J14" i="75"/>
  <c r="I14" i="75"/>
  <c r="H14" i="75"/>
  <c r="G14" i="75"/>
  <c r="F14" i="75"/>
  <c r="E14" i="75"/>
  <c r="D14" i="75"/>
  <c r="C14" i="75"/>
  <c r="B14" i="75"/>
  <c r="AD13" i="75"/>
  <c r="AC13" i="75"/>
  <c r="AB13" i="75"/>
  <c r="AA13" i="75"/>
  <c r="Z13" i="75"/>
  <c r="Y13" i="75"/>
  <c r="X13" i="75"/>
  <c r="W13" i="75"/>
  <c r="V13" i="75"/>
  <c r="U13" i="75"/>
  <c r="T13" i="75"/>
  <c r="S13" i="75"/>
  <c r="M13" i="75"/>
  <c r="L13" i="75"/>
  <c r="K13" i="75"/>
  <c r="J13" i="75"/>
  <c r="I13" i="75"/>
  <c r="H13" i="75"/>
  <c r="G13" i="75"/>
  <c r="F13" i="75"/>
  <c r="E13" i="75"/>
  <c r="D13" i="75"/>
  <c r="C13" i="75"/>
  <c r="B13" i="75"/>
  <c r="CD12" i="75"/>
  <c r="CC12" i="75"/>
  <c r="CB12" i="75"/>
  <c r="CA12" i="75"/>
  <c r="BZ12" i="75"/>
  <c r="BY12" i="75"/>
  <c r="BX12" i="75"/>
  <c r="BW12" i="75"/>
  <c r="BV12" i="75"/>
  <c r="BU12" i="75"/>
  <c r="BT12" i="75"/>
  <c r="CI7" i="75"/>
  <c r="CI13" i="75" s="1"/>
  <c r="CH7" i="75"/>
  <c r="CH13" i="75" s="1"/>
  <c r="CG7" i="75"/>
  <c r="CG10" i="75" s="1"/>
  <c r="CF7" i="75"/>
  <c r="CF10" i="75" s="1"/>
  <c r="CE7" i="75"/>
  <c r="CE13" i="75" s="1"/>
  <c r="CD7" i="75"/>
  <c r="CD10" i="75" s="1"/>
  <c r="CC7" i="75"/>
  <c r="CC10" i="75" s="1"/>
  <c r="CB7" i="75"/>
  <c r="CB10" i="75" s="1"/>
  <c r="CA7" i="75"/>
  <c r="CA13" i="75" s="1"/>
  <c r="BZ7" i="75"/>
  <c r="BZ13" i="75" s="1"/>
  <c r="BY7" i="75"/>
  <c r="BY10" i="75" s="1"/>
  <c r="BX7" i="75"/>
  <c r="BX10" i="75" s="1"/>
  <c r="BW7" i="75"/>
  <c r="BW13" i="75" s="1"/>
  <c r="BV7" i="75"/>
  <c r="BV10" i="75" s="1"/>
  <c r="BU7" i="75"/>
  <c r="BU13" i="75" s="1"/>
  <c r="BT7" i="75"/>
  <c r="BT13" i="75" s="1"/>
  <c r="BS7" i="75"/>
  <c r="BS13" i="75" s="1"/>
  <c r="BR7" i="75"/>
  <c r="BR10" i="75" s="1"/>
  <c r="BQ7" i="75"/>
  <c r="BQ10" i="75" s="1"/>
  <c r="BP7" i="75"/>
  <c r="BP13" i="75" s="1"/>
  <c r="BO7" i="75"/>
  <c r="BO13" i="75" s="1"/>
  <c r="BN7" i="75"/>
  <c r="BN13" i="75" s="1"/>
  <c r="BM7" i="75"/>
  <c r="BL7" i="75"/>
  <c r="BL13" i="75" s="1"/>
  <c r="BK7" i="75"/>
  <c r="BK13" i="75" s="1"/>
  <c r="BJ7" i="75"/>
  <c r="BI7" i="75"/>
  <c r="BH7" i="75"/>
  <c r="BH13" i="75" s="1"/>
  <c r="BG7" i="75"/>
  <c r="BG13" i="75" s="1"/>
  <c r="BF7" i="75"/>
  <c r="BF13" i="75" s="1"/>
  <c r="BE7" i="75"/>
  <c r="BD7" i="75"/>
  <c r="BD13" i="75" s="1"/>
  <c r="BC7" i="75"/>
  <c r="BC13" i="75" s="1"/>
  <c r="BB7" i="75"/>
  <c r="BA7" i="75"/>
  <c r="AZ7" i="75"/>
  <c r="AZ13" i="75" s="1"/>
  <c r="AY7" i="75"/>
  <c r="AY13" i="75" s="1"/>
  <c r="AX7" i="75"/>
  <c r="AX13" i="75" s="1"/>
  <c r="AW7" i="75"/>
  <c r="AV7" i="75"/>
  <c r="AV10" i="75" s="1"/>
  <c r="AU7" i="75"/>
  <c r="AU13" i="75" s="1"/>
  <c r="AT7" i="75"/>
  <c r="AT13" i="75" s="1"/>
  <c r="AS7" i="75"/>
  <c r="AS13" i="75" s="1"/>
  <c r="AR7" i="75"/>
  <c r="AR13" i="75" s="1"/>
  <c r="AQ7" i="75"/>
  <c r="AQ13" i="75" s="1"/>
  <c r="AP7" i="75"/>
  <c r="AP13" i="75" s="1"/>
  <c r="AO7" i="75"/>
  <c r="AO13" i="75" s="1"/>
  <c r="AN7" i="75"/>
  <c r="AN13" i="75" s="1"/>
  <c r="AM7" i="75"/>
  <c r="AM13" i="75" s="1"/>
  <c r="AL7" i="75"/>
  <c r="AL13" i="75" s="1"/>
  <c r="AK7" i="75"/>
  <c r="AK13" i="75" s="1"/>
  <c r="AJ7" i="75"/>
  <c r="AJ13" i="75" s="1"/>
  <c r="AI7" i="75"/>
  <c r="AH7" i="75"/>
  <c r="AG7" i="75"/>
  <c r="AF7" i="75"/>
  <c r="AE7" i="75"/>
  <c r="R7" i="75"/>
  <c r="Q7" i="75"/>
  <c r="P7" i="75"/>
  <c r="O7" i="75"/>
  <c r="N7" i="75"/>
  <c r="BU6" i="75"/>
  <c r="BU10" i="75" s="1"/>
  <c r="BT6" i="75"/>
  <c r="BT10" i="75" s="1"/>
  <c r="BS6" i="75"/>
  <c r="BS10" i="75" s="1"/>
  <c r="BP6" i="75"/>
  <c r="BO6" i="75"/>
  <c r="BN6" i="75"/>
  <c r="BM6" i="75"/>
  <c r="BL6" i="75"/>
  <c r="BK6" i="75"/>
  <c r="BJ6" i="75"/>
  <c r="BI6" i="75"/>
  <c r="BH6" i="75"/>
  <c r="BG6" i="75"/>
  <c r="BF6" i="75"/>
  <c r="BE6" i="75"/>
  <c r="BD6" i="75"/>
  <c r="BC6" i="75"/>
  <c r="BB6" i="75"/>
  <c r="BA6" i="75"/>
  <c r="AZ6" i="75"/>
  <c r="AY6" i="75"/>
  <c r="AX6" i="75"/>
  <c r="AW6" i="75"/>
  <c r="AI5" i="75"/>
  <c r="AH5" i="75"/>
  <c r="AG5" i="75"/>
  <c r="AF5" i="75"/>
  <c r="AE5" i="75"/>
  <c r="R5" i="75"/>
  <c r="Q5" i="75"/>
  <c r="P5" i="75"/>
  <c r="O5" i="75"/>
  <c r="N5" i="75"/>
  <c r="AI4" i="75"/>
  <c r="AH4" i="75"/>
  <c r="AG4" i="75"/>
  <c r="AF4" i="75"/>
  <c r="AE4" i="75"/>
  <c r="R4" i="75"/>
  <c r="Q4" i="75"/>
  <c r="P4" i="75"/>
  <c r="O4" i="75"/>
  <c r="N4" i="75"/>
  <c r="AV13" i="75" l="1"/>
  <c r="BH10" i="75"/>
  <c r="BP10" i="75"/>
  <c r="BB10" i="75"/>
  <c r="BJ10" i="75"/>
  <c r="Q13" i="75"/>
  <c r="AZ10" i="75"/>
  <c r="AI13" i="75"/>
  <c r="BD10" i="75"/>
  <c r="CB13" i="75"/>
  <c r="BL10" i="75"/>
  <c r="R13" i="75"/>
  <c r="AF13" i="75"/>
  <c r="AH13" i="75"/>
  <c r="O14" i="75"/>
  <c r="Q14" i="75"/>
  <c r="AY10" i="75"/>
  <c r="BC10" i="75"/>
  <c r="BG10" i="75"/>
  <c r="BK10" i="75"/>
  <c r="BO10" i="75"/>
  <c r="AW10" i="75"/>
  <c r="BA10" i="75"/>
  <c r="BE10" i="75"/>
  <c r="BI10" i="75"/>
  <c r="BM10" i="75"/>
  <c r="P13" i="75"/>
  <c r="AG13" i="75"/>
  <c r="BX13" i="75"/>
  <c r="P14" i="75"/>
  <c r="AG14" i="75"/>
  <c r="O13" i="75"/>
  <c r="R14" i="75"/>
  <c r="CF13" i="75"/>
  <c r="CJ13" i="75"/>
  <c r="AX10" i="75"/>
  <c r="BF10" i="75"/>
  <c r="BN10" i="75"/>
  <c r="BZ10" i="75"/>
  <c r="CH10" i="75"/>
  <c r="BA13" i="75"/>
  <c r="BI13" i="75"/>
  <c r="BQ13" i="75"/>
  <c r="BY13" i="75"/>
  <c r="AI14" i="75"/>
  <c r="BW10" i="75"/>
  <c r="CA10" i="75"/>
  <c r="CE10" i="75"/>
  <c r="CI10" i="75"/>
  <c r="N13" i="75"/>
  <c r="BB13" i="75"/>
  <c r="BJ13" i="75"/>
  <c r="BR13" i="75"/>
  <c r="BV13" i="75"/>
  <c r="CD13" i="75"/>
  <c r="AW13" i="75"/>
  <c r="BE13" i="75"/>
  <c r="BM13" i="75"/>
  <c r="CC13" i="75"/>
  <c r="CG13" i="75"/>
  <c r="AE13" i="75"/>
  <c r="N14" i="75"/>
  <c r="AU14" i="74"/>
  <c r="AT14" i="74"/>
  <c r="AS14" i="74"/>
  <c r="AR14" i="74"/>
  <c r="AQ14" i="74"/>
  <c r="AP14" i="74"/>
  <c r="AO14" i="74"/>
  <c r="AN14" i="74"/>
  <c r="AM14" i="74"/>
  <c r="AL14" i="74"/>
  <c r="AK14" i="74"/>
  <c r="AJ14" i="74"/>
  <c r="AD14" i="74"/>
  <c r="AC14" i="74"/>
  <c r="AB14" i="74"/>
  <c r="AA14" i="74"/>
  <c r="Z14" i="74"/>
  <c r="Y14" i="74"/>
  <c r="X14" i="74"/>
  <c r="W14" i="74"/>
  <c r="V14" i="74"/>
  <c r="U14" i="74"/>
  <c r="T14" i="74"/>
  <c r="S14" i="74"/>
  <c r="AI14" i="74" s="1"/>
  <c r="M14" i="74"/>
  <c r="L14" i="74"/>
  <c r="K14" i="74"/>
  <c r="J14" i="74"/>
  <c r="I14" i="74"/>
  <c r="H14" i="74"/>
  <c r="G14" i="74"/>
  <c r="F14" i="74"/>
  <c r="O14" i="74" s="1"/>
  <c r="E14" i="74"/>
  <c r="D14" i="74"/>
  <c r="C14" i="74"/>
  <c r="B14" i="74"/>
  <c r="AD13" i="74"/>
  <c r="AC13" i="74"/>
  <c r="AB13" i="74"/>
  <c r="AA13" i="74"/>
  <c r="Z13" i="74"/>
  <c r="Y13" i="74"/>
  <c r="X13" i="74"/>
  <c r="W13" i="74"/>
  <c r="V13" i="74"/>
  <c r="U13" i="74"/>
  <c r="T13" i="74"/>
  <c r="S13" i="74"/>
  <c r="M13" i="74"/>
  <c r="L13" i="74"/>
  <c r="K13" i="74"/>
  <c r="J13" i="74"/>
  <c r="I13" i="74"/>
  <c r="H13" i="74"/>
  <c r="G13" i="74"/>
  <c r="F13" i="74"/>
  <c r="E13" i="74"/>
  <c r="D13" i="74"/>
  <c r="C13" i="74"/>
  <c r="B13" i="74"/>
  <c r="CD12" i="74"/>
  <c r="CC12" i="74"/>
  <c r="CB12" i="74"/>
  <c r="CA12" i="74"/>
  <c r="BZ12" i="74"/>
  <c r="BY12" i="74"/>
  <c r="BX12" i="74"/>
  <c r="BW12" i="74"/>
  <c r="BV12" i="74"/>
  <c r="BU12" i="74"/>
  <c r="BT12" i="74"/>
  <c r="CI7" i="74"/>
  <c r="CI13" i="74" s="1"/>
  <c r="CH7" i="74"/>
  <c r="CH13" i="74" s="1"/>
  <c r="CG7" i="74"/>
  <c r="CG10" i="74" s="1"/>
  <c r="CF7" i="74"/>
  <c r="CF10" i="74" s="1"/>
  <c r="CE7" i="74"/>
  <c r="CE13" i="74" s="1"/>
  <c r="CD7" i="74"/>
  <c r="CD10" i="74" s="1"/>
  <c r="CC7" i="74"/>
  <c r="CC13" i="74" s="1"/>
  <c r="CB7" i="74"/>
  <c r="CB10" i="74" s="1"/>
  <c r="CA7" i="74"/>
  <c r="CA13" i="74" s="1"/>
  <c r="BZ7" i="74"/>
  <c r="BZ13" i="74" s="1"/>
  <c r="BY7" i="74"/>
  <c r="BY10" i="74" s="1"/>
  <c r="BX7" i="74"/>
  <c r="BX10" i="74" s="1"/>
  <c r="BW7" i="74"/>
  <c r="BW13" i="74" s="1"/>
  <c r="BV7" i="74"/>
  <c r="BV10" i="74" s="1"/>
  <c r="BU7" i="74"/>
  <c r="BU13" i="74" s="1"/>
  <c r="BT7" i="74"/>
  <c r="BT13" i="74" s="1"/>
  <c r="BS7" i="74"/>
  <c r="BS13" i="74" s="1"/>
  <c r="BR7" i="74"/>
  <c r="BR13" i="74" s="1"/>
  <c r="BQ7" i="74"/>
  <c r="BQ10" i="74" s="1"/>
  <c r="BP7" i="74"/>
  <c r="BP13" i="74" s="1"/>
  <c r="BO7" i="74"/>
  <c r="BO13" i="74" s="1"/>
  <c r="BN7" i="74"/>
  <c r="BN13" i="74" s="1"/>
  <c r="BM7" i="74"/>
  <c r="BM13" i="74" s="1"/>
  <c r="BL7" i="74"/>
  <c r="BL13" i="74" s="1"/>
  <c r="BK7" i="74"/>
  <c r="BK13" i="74" s="1"/>
  <c r="BJ7" i="74"/>
  <c r="BI7" i="74"/>
  <c r="BH7" i="74"/>
  <c r="BH13" i="74" s="1"/>
  <c r="BG7" i="74"/>
  <c r="BG13" i="74" s="1"/>
  <c r="BF7" i="74"/>
  <c r="BF13" i="74" s="1"/>
  <c r="BE7" i="74"/>
  <c r="BD7" i="74"/>
  <c r="BD13" i="74" s="1"/>
  <c r="BC7" i="74"/>
  <c r="BC13" i="74" s="1"/>
  <c r="BB7" i="74"/>
  <c r="BA7" i="74"/>
  <c r="BA13" i="74" s="1"/>
  <c r="AZ7" i="74"/>
  <c r="AZ13" i="74" s="1"/>
  <c r="AY7" i="74"/>
  <c r="AY13" i="74" s="1"/>
  <c r="AX7" i="74"/>
  <c r="AX13" i="74" s="1"/>
  <c r="AW7" i="74"/>
  <c r="AW13" i="74" s="1"/>
  <c r="AV7" i="74"/>
  <c r="AV10" i="74" s="1"/>
  <c r="AU7" i="74"/>
  <c r="AU13" i="74" s="1"/>
  <c r="AT7" i="74"/>
  <c r="AT13" i="74" s="1"/>
  <c r="AS7" i="74"/>
  <c r="AS13" i="74" s="1"/>
  <c r="AR7" i="74"/>
  <c r="AR13" i="74" s="1"/>
  <c r="AQ7" i="74"/>
  <c r="AQ13" i="74" s="1"/>
  <c r="AP7" i="74"/>
  <c r="AP13" i="74" s="1"/>
  <c r="AO7" i="74"/>
  <c r="AO13" i="74" s="1"/>
  <c r="AN7" i="74"/>
  <c r="AN13" i="74" s="1"/>
  <c r="AM7" i="74"/>
  <c r="AM13" i="74" s="1"/>
  <c r="AL7" i="74"/>
  <c r="AL13" i="74" s="1"/>
  <c r="AK7" i="74"/>
  <c r="AK13" i="74" s="1"/>
  <c r="AJ7" i="74"/>
  <c r="AJ13" i="74" s="1"/>
  <c r="AI7" i="74"/>
  <c r="AH7" i="74"/>
  <c r="AG7" i="74"/>
  <c r="AF7" i="74"/>
  <c r="AE7" i="74"/>
  <c r="R7" i="74"/>
  <c r="Q7" i="74"/>
  <c r="P7" i="74"/>
  <c r="O7" i="74"/>
  <c r="N7" i="74"/>
  <c r="BU6" i="74"/>
  <c r="BU10" i="74" s="1"/>
  <c r="BT6" i="74"/>
  <c r="BT10" i="74" s="1"/>
  <c r="BS6" i="74"/>
  <c r="BS10" i="74" s="1"/>
  <c r="BP6" i="74"/>
  <c r="BO6" i="74"/>
  <c r="BN6" i="74"/>
  <c r="BM6" i="74"/>
  <c r="BL6" i="74"/>
  <c r="BK6" i="74"/>
  <c r="BJ6" i="74"/>
  <c r="BI6" i="74"/>
  <c r="BH6" i="74"/>
  <c r="BG6" i="74"/>
  <c r="BF6" i="74"/>
  <c r="BE6" i="74"/>
  <c r="BD6" i="74"/>
  <c r="BC6" i="74"/>
  <c r="BB6" i="74"/>
  <c r="BA6" i="74"/>
  <c r="AZ6" i="74"/>
  <c r="AY6" i="74"/>
  <c r="AX6" i="74"/>
  <c r="AW6" i="74"/>
  <c r="AI5" i="74"/>
  <c r="AH5" i="74"/>
  <c r="AG5" i="74"/>
  <c r="AF5" i="74"/>
  <c r="AE5" i="74"/>
  <c r="R5" i="74"/>
  <c r="Q5" i="74"/>
  <c r="P5" i="74"/>
  <c r="O5" i="74"/>
  <c r="N5" i="74"/>
  <c r="AI4" i="74"/>
  <c r="AH4" i="74"/>
  <c r="AG4" i="74"/>
  <c r="AF4" i="74"/>
  <c r="AE4" i="74"/>
  <c r="R4" i="74"/>
  <c r="Q4" i="74"/>
  <c r="P4" i="74"/>
  <c r="O4" i="74"/>
  <c r="N4" i="74"/>
  <c r="AH13" i="74" l="1"/>
  <c r="R14" i="74"/>
  <c r="AF13" i="74"/>
  <c r="AY10" i="74"/>
  <c r="BC10" i="74"/>
  <c r="BG10" i="74"/>
  <c r="BK10" i="74"/>
  <c r="BO10" i="74"/>
  <c r="AH14" i="74"/>
  <c r="BE10" i="74"/>
  <c r="BI10" i="74"/>
  <c r="P13" i="74"/>
  <c r="Q13" i="74"/>
  <c r="AG13" i="74"/>
  <c r="BX13" i="74"/>
  <c r="Q14" i="74"/>
  <c r="AZ10" i="74"/>
  <c r="BD10" i="74"/>
  <c r="BH10" i="74"/>
  <c r="BL10" i="74"/>
  <c r="BP10" i="74"/>
  <c r="BB10" i="74"/>
  <c r="BJ10" i="74"/>
  <c r="O13" i="74"/>
  <c r="AV13" i="74"/>
  <c r="CB13" i="74"/>
  <c r="P14" i="74"/>
  <c r="AG14" i="74"/>
  <c r="R13" i="74"/>
  <c r="AI13" i="74"/>
  <c r="CF13" i="74"/>
  <c r="AF14" i="74"/>
  <c r="BA10" i="74"/>
  <c r="BM10" i="74"/>
  <c r="CC10" i="74"/>
  <c r="AX10" i="74"/>
  <c r="BF10" i="74"/>
  <c r="BN10" i="74"/>
  <c r="BR10" i="74"/>
  <c r="BZ10" i="74"/>
  <c r="CH10" i="74"/>
  <c r="BE13" i="74"/>
  <c r="BY13" i="74"/>
  <c r="AE14" i="74"/>
  <c r="BW10" i="74"/>
  <c r="CA10" i="74"/>
  <c r="CE10" i="74"/>
  <c r="CI10" i="74"/>
  <c r="N13" i="74"/>
  <c r="BB13" i="74"/>
  <c r="BJ13" i="74"/>
  <c r="BV13" i="74"/>
  <c r="CD13" i="74"/>
  <c r="AW10" i="74"/>
  <c r="BI13" i="74"/>
  <c r="BQ13" i="74"/>
  <c r="CG13" i="74"/>
  <c r="AE13" i="74"/>
  <c r="N14" i="74"/>
  <c r="AU14" i="73"/>
  <c r="AT14" i="73"/>
  <c r="AS14" i="73"/>
  <c r="AR14" i="73"/>
  <c r="AQ14" i="73"/>
  <c r="AP14" i="73"/>
  <c r="AO14" i="73"/>
  <c r="AN14" i="73"/>
  <c r="AM14" i="73"/>
  <c r="AL14" i="73"/>
  <c r="AK14" i="73"/>
  <c r="AJ14" i="73"/>
  <c r="AD14" i="73"/>
  <c r="AC14" i="73"/>
  <c r="AB14" i="73"/>
  <c r="AA14" i="73"/>
  <c r="Z14" i="73"/>
  <c r="Y14" i="73"/>
  <c r="X14" i="73"/>
  <c r="AF14" i="73" s="1"/>
  <c r="W14" i="73"/>
  <c r="V14" i="73"/>
  <c r="U14" i="73"/>
  <c r="T14" i="73"/>
  <c r="S14" i="73"/>
  <c r="AI14" i="73" s="1"/>
  <c r="M14" i="73"/>
  <c r="L14" i="73"/>
  <c r="K14" i="73"/>
  <c r="Q14" i="73" s="1"/>
  <c r="J14" i="73"/>
  <c r="I14" i="73"/>
  <c r="H14" i="73"/>
  <c r="P14" i="73" s="1"/>
  <c r="G14" i="73"/>
  <c r="F14" i="73"/>
  <c r="E14" i="73"/>
  <c r="D14" i="73"/>
  <c r="C14" i="73"/>
  <c r="B14" i="73"/>
  <c r="CC13" i="73"/>
  <c r="BU13" i="73"/>
  <c r="BI13" i="73"/>
  <c r="AW13" i="73"/>
  <c r="AO13" i="73"/>
  <c r="AD13" i="73"/>
  <c r="AC13" i="73"/>
  <c r="AB13" i="73"/>
  <c r="AA13" i="73"/>
  <c r="Z13" i="73"/>
  <c r="Y13" i="73"/>
  <c r="X13" i="73"/>
  <c r="W13" i="73"/>
  <c r="V13" i="73"/>
  <c r="U13" i="73"/>
  <c r="T13" i="73"/>
  <c r="S13" i="73"/>
  <c r="M13" i="73"/>
  <c r="L13" i="73"/>
  <c r="Q13" i="73" s="1"/>
  <c r="K13" i="73"/>
  <c r="J13" i="73"/>
  <c r="I13" i="73"/>
  <c r="H13" i="73"/>
  <c r="G13" i="73"/>
  <c r="F13" i="73"/>
  <c r="E13" i="73"/>
  <c r="D13" i="73"/>
  <c r="C13" i="73"/>
  <c r="B13" i="73"/>
  <c r="CD12" i="73"/>
  <c r="CC12" i="73"/>
  <c r="CB12" i="73"/>
  <c r="CA12" i="73"/>
  <c r="BZ12" i="73"/>
  <c r="BY12" i="73"/>
  <c r="BX12" i="73"/>
  <c r="BW12" i="73"/>
  <c r="BV12" i="73"/>
  <c r="BU12" i="73"/>
  <c r="BT12" i="73"/>
  <c r="CG10" i="73"/>
  <c r="BY10" i="73"/>
  <c r="BA10" i="73"/>
  <c r="CH7" i="73"/>
  <c r="CH13" i="73" s="1"/>
  <c r="CG7" i="73"/>
  <c r="CG13" i="73" s="1"/>
  <c r="CF7" i="73"/>
  <c r="CF13" i="73" s="1"/>
  <c r="CE7" i="73"/>
  <c r="CE13" i="73" s="1"/>
  <c r="CD7" i="73"/>
  <c r="CD13" i="73" s="1"/>
  <c r="CC7" i="73"/>
  <c r="CC10" i="73" s="1"/>
  <c r="CB7" i="73"/>
  <c r="CB13" i="73" s="1"/>
  <c r="CA7" i="73"/>
  <c r="CA13" i="73" s="1"/>
  <c r="BZ7" i="73"/>
  <c r="BZ13" i="73" s="1"/>
  <c r="BY7" i="73"/>
  <c r="BY13" i="73" s="1"/>
  <c r="BX7" i="73"/>
  <c r="BX13" i="73" s="1"/>
  <c r="BW7" i="73"/>
  <c r="BW13" i="73" s="1"/>
  <c r="BV7" i="73"/>
  <c r="BV13" i="73" s="1"/>
  <c r="BU7" i="73"/>
  <c r="BT7" i="73"/>
  <c r="BT13" i="73" s="1"/>
  <c r="BS7" i="73"/>
  <c r="BS13" i="73" s="1"/>
  <c r="BR7" i="73"/>
  <c r="BR13" i="73" s="1"/>
  <c r="BQ7" i="73"/>
  <c r="BQ13" i="73" s="1"/>
  <c r="BP7" i="73"/>
  <c r="BP13" i="73" s="1"/>
  <c r="BO7" i="73"/>
  <c r="BO13" i="73" s="1"/>
  <c r="BN7" i="73"/>
  <c r="BN13" i="73" s="1"/>
  <c r="BM7" i="73"/>
  <c r="BM13" i="73" s="1"/>
  <c r="BL7" i="73"/>
  <c r="BL13" i="73" s="1"/>
  <c r="BK7" i="73"/>
  <c r="BK13" i="73" s="1"/>
  <c r="BJ7" i="73"/>
  <c r="BJ13" i="73" s="1"/>
  <c r="BI7" i="73"/>
  <c r="BH7" i="73"/>
  <c r="BH13" i="73" s="1"/>
  <c r="BG7" i="73"/>
  <c r="BG13" i="73" s="1"/>
  <c r="BF7" i="73"/>
  <c r="BF13" i="73" s="1"/>
  <c r="BE7" i="73"/>
  <c r="BE13" i="73" s="1"/>
  <c r="BD7" i="73"/>
  <c r="BD13" i="73" s="1"/>
  <c r="BC7" i="73"/>
  <c r="BC13" i="73" s="1"/>
  <c r="BB7" i="73"/>
  <c r="BB13" i="73" s="1"/>
  <c r="BA7" i="73"/>
  <c r="BA13" i="73" s="1"/>
  <c r="AZ7" i="73"/>
  <c r="AZ13" i="73" s="1"/>
  <c r="AY7" i="73"/>
  <c r="AY13" i="73" s="1"/>
  <c r="AX7" i="73"/>
  <c r="AX13" i="73" s="1"/>
  <c r="AW7" i="73"/>
  <c r="AV7" i="73"/>
  <c r="AV13" i="73" s="1"/>
  <c r="AU7" i="73"/>
  <c r="AU13" i="73" s="1"/>
  <c r="AT7" i="73"/>
  <c r="AT13" i="73" s="1"/>
  <c r="AS7" i="73"/>
  <c r="AS13" i="73" s="1"/>
  <c r="AR7" i="73"/>
  <c r="AR13" i="73" s="1"/>
  <c r="AQ7" i="73"/>
  <c r="AQ13" i="73" s="1"/>
  <c r="AP7" i="73"/>
  <c r="AP13" i="73" s="1"/>
  <c r="AO7" i="73"/>
  <c r="AN7" i="73"/>
  <c r="AN13" i="73" s="1"/>
  <c r="AM7" i="73"/>
  <c r="AM13" i="73" s="1"/>
  <c r="AL7" i="73"/>
  <c r="AL13" i="73" s="1"/>
  <c r="AK7" i="73"/>
  <c r="AK13" i="73" s="1"/>
  <c r="AJ7" i="73"/>
  <c r="AJ13" i="73" s="1"/>
  <c r="AI7" i="73"/>
  <c r="AH7" i="73"/>
  <c r="AG7" i="73"/>
  <c r="AF7" i="73"/>
  <c r="AE7" i="73"/>
  <c r="R7" i="73"/>
  <c r="Q7" i="73"/>
  <c r="P7" i="73"/>
  <c r="O7" i="73"/>
  <c r="N7" i="73"/>
  <c r="BU6" i="73"/>
  <c r="BU10" i="73" s="1"/>
  <c r="BT6" i="73"/>
  <c r="BT10" i="73" s="1"/>
  <c r="BS6" i="73"/>
  <c r="BS10" i="73" s="1"/>
  <c r="BP6" i="73"/>
  <c r="BP10" i="73" s="1"/>
  <c r="BO6" i="73"/>
  <c r="BN6" i="73"/>
  <c r="BN10" i="73" s="1"/>
  <c r="BM6" i="73"/>
  <c r="BM10" i="73" s="1"/>
  <c r="BL6" i="73"/>
  <c r="BK6" i="73"/>
  <c r="BK10" i="73" s="1"/>
  <c r="BJ6" i="73"/>
  <c r="BI6" i="73"/>
  <c r="BI10" i="73" s="1"/>
  <c r="BH6" i="73"/>
  <c r="BH10" i="73" s="1"/>
  <c r="BG6" i="73"/>
  <c r="BF6" i="73"/>
  <c r="BF10" i="73" s="1"/>
  <c r="BE6" i="73"/>
  <c r="BE10" i="73" s="1"/>
  <c r="BD6" i="73"/>
  <c r="BC6" i="73"/>
  <c r="BC10" i="73" s="1"/>
  <c r="BB6" i="73"/>
  <c r="BA6" i="73"/>
  <c r="AZ6" i="73"/>
  <c r="AZ10" i="73" s="1"/>
  <c r="AY6" i="73"/>
  <c r="AX6" i="73"/>
  <c r="AX10" i="73" s="1"/>
  <c r="AW6" i="73"/>
  <c r="AW10" i="73" s="1"/>
  <c r="AI5" i="73"/>
  <c r="AH5" i="73"/>
  <c r="AG5" i="73"/>
  <c r="AF5" i="73"/>
  <c r="AE5" i="73"/>
  <c r="R5" i="73"/>
  <c r="Q5" i="73"/>
  <c r="P5" i="73"/>
  <c r="O5" i="73"/>
  <c r="N5" i="73"/>
  <c r="AI4" i="73"/>
  <c r="AH4" i="73"/>
  <c r="AG4" i="73"/>
  <c r="AF4" i="73"/>
  <c r="AE4" i="73"/>
  <c r="R4" i="73"/>
  <c r="Q4" i="73"/>
  <c r="P4" i="73"/>
  <c r="O4" i="73"/>
  <c r="N4" i="73"/>
  <c r="BJ10" i="73" l="1"/>
  <c r="AI13" i="73"/>
  <c r="BB10" i="73"/>
  <c r="BD10" i="73"/>
  <c r="BL10" i="73"/>
  <c r="P13" i="73"/>
  <c r="AH13" i="73"/>
  <c r="R14" i="73"/>
  <c r="BQ10" i="73"/>
  <c r="R13" i="73"/>
  <c r="AF13" i="73"/>
  <c r="AG14" i="73"/>
  <c r="AY10" i="73"/>
  <c r="BG10" i="73"/>
  <c r="BO10" i="73"/>
  <c r="O14" i="73"/>
  <c r="O13" i="73"/>
  <c r="AG13" i="73"/>
  <c r="AH14" i="73"/>
  <c r="BR10" i="73"/>
  <c r="BV10" i="73"/>
  <c r="BZ10" i="73"/>
  <c r="CD10" i="73"/>
  <c r="CH10" i="73"/>
  <c r="N13" i="73"/>
  <c r="BW10" i="73"/>
  <c r="CA10" i="73"/>
  <c r="CE10" i="73"/>
  <c r="AE13" i="73"/>
  <c r="N14" i="73"/>
  <c r="AV10" i="73"/>
  <c r="BX10" i="73"/>
  <c r="CB10" i="73"/>
  <c r="CF10" i="73"/>
  <c r="AE14" i="73"/>
  <c r="CI7" i="72"/>
  <c r="CI13" i="72" s="1"/>
  <c r="AU14" i="72"/>
  <c r="AT14" i="72"/>
  <c r="AS14" i="72"/>
  <c r="AR14" i="72"/>
  <c r="AQ14" i="72"/>
  <c r="AP14" i="72"/>
  <c r="AO14" i="72"/>
  <c r="AN14" i="72"/>
  <c r="AM14" i="72"/>
  <c r="AL14" i="72"/>
  <c r="AK14" i="72"/>
  <c r="AJ14" i="72"/>
  <c r="AD14" i="72"/>
  <c r="AC14" i="72"/>
  <c r="AB14" i="72"/>
  <c r="AA14" i="72"/>
  <c r="Z14" i="72"/>
  <c r="Y14" i="72"/>
  <c r="X14" i="72"/>
  <c r="W14" i="72"/>
  <c r="V14" i="72"/>
  <c r="U14" i="72"/>
  <c r="T14" i="72"/>
  <c r="S14" i="72"/>
  <c r="M14" i="72"/>
  <c r="L14" i="72"/>
  <c r="K14" i="72"/>
  <c r="J14" i="72"/>
  <c r="I14" i="72"/>
  <c r="H14" i="72"/>
  <c r="G14" i="72"/>
  <c r="F14" i="72"/>
  <c r="E14" i="72"/>
  <c r="D14" i="72"/>
  <c r="C14" i="72"/>
  <c r="B14" i="72"/>
  <c r="AD13" i="72"/>
  <c r="AC13" i="72"/>
  <c r="AB13" i="72"/>
  <c r="AA13" i="72"/>
  <c r="Z13" i="72"/>
  <c r="Y13" i="72"/>
  <c r="X13" i="72"/>
  <c r="W13" i="72"/>
  <c r="V13" i="72"/>
  <c r="U13" i="72"/>
  <c r="T13" i="72"/>
  <c r="S13" i="72"/>
  <c r="M13" i="72"/>
  <c r="L13" i="72"/>
  <c r="K13" i="72"/>
  <c r="J13" i="72"/>
  <c r="I13" i="72"/>
  <c r="H13" i="72"/>
  <c r="G13" i="72"/>
  <c r="F13" i="72"/>
  <c r="E13" i="72"/>
  <c r="D13" i="72"/>
  <c r="C13" i="72"/>
  <c r="B13" i="72"/>
  <c r="CD12" i="72"/>
  <c r="CC12" i="72"/>
  <c r="CB12" i="72"/>
  <c r="CA12" i="72"/>
  <c r="BZ12" i="72"/>
  <c r="BY12" i="72"/>
  <c r="BX12" i="72"/>
  <c r="BW12" i="72"/>
  <c r="BV12" i="72"/>
  <c r="BU12" i="72"/>
  <c r="BT12" i="72"/>
  <c r="CH7" i="72"/>
  <c r="CH13" i="72" s="1"/>
  <c r="CG7" i="72"/>
  <c r="CG13" i="72" s="1"/>
  <c r="CF7" i="72"/>
  <c r="CF13" i="72" s="1"/>
  <c r="CE7" i="72"/>
  <c r="CE13" i="72" s="1"/>
  <c r="CD7" i="72"/>
  <c r="CD13" i="72" s="1"/>
  <c r="CC7" i="72"/>
  <c r="CC13" i="72" s="1"/>
  <c r="CB7" i="72"/>
  <c r="CB13" i="72" s="1"/>
  <c r="CA7" i="72"/>
  <c r="CA13" i="72" s="1"/>
  <c r="BZ7" i="72"/>
  <c r="BZ13" i="72" s="1"/>
  <c r="BY7" i="72"/>
  <c r="BY13" i="72" s="1"/>
  <c r="BX7" i="72"/>
  <c r="BX13" i="72" s="1"/>
  <c r="BW7" i="72"/>
  <c r="BW13" i="72" s="1"/>
  <c r="BV7" i="72"/>
  <c r="BV13" i="72" s="1"/>
  <c r="BU7" i="72"/>
  <c r="BU13" i="72" s="1"/>
  <c r="BT7" i="72"/>
  <c r="BT13" i="72" s="1"/>
  <c r="BS7" i="72"/>
  <c r="BS13" i="72" s="1"/>
  <c r="BR7" i="72"/>
  <c r="BR13" i="72" s="1"/>
  <c r="BQ7" i="72"/>
  <c r="BQ13" i="72" s="1"/>
  <c r="BP7" i="72"/>
  <c r="BP13" i="72" s="1"/>
  <c r="BO7" i="72"/>
  <c r="BO13" i="72" s="1"/>
  <c r="BN7" i="72"/>
  <c r="BN13" i="72" s="1"/>
  <c r="BM7" i="72"/>
  <c r="BM13" i="72" s="1"/>
  <c r="BL7" i="72"/>
  <c r="BL13" i="72" s="1"/>
  <c r="BK7" i="72"/>
  <c r="BK13" i="72" s="1"/>
  <c r="BJ7" i="72"/>
  <c r="BJ13" i="72" s="1"/>
  <c r="BI7" i="72"/>
  <c r="BI13" i="72" s="1"/>
  <c r="BH7" i="72"/>
  <c r="BH13" i="72" s="1"/>
  <c r="BG7" i="72"/>
  <c r="BG13" i="72" s="1"/>
  <c r="BF7" i="72"/>
  <c r="BF13" i="72" s="1"/>
  <c r="BE7" i="72"/>
  <c r="BE13" i="72" s="1"/>
  <c r="BD7" i="72"/>
  <c r="BD13" i="72" s="1"/>
  <c r="BC7" i="72"/>
  <c r="BC13" i="72" s="1"/>
  <c r="BB7" i="72"/>
  <c r="BB13" i="72" s="1"/>
  <c r="BA7" i="72"/>
  <c r="BA13" i="72" s="1"/>
  <c r="AZ7" i="72"/>
  <c r="AZ13" i="72" s="1"/>
  <c r="AY7" i="72"/>
  <c r="AY13" i="72" s="1"/>
  <c r="AX7" i="72"/>
  <c r="AX13" i="72" s="1"/>
  <c r="AW7" i="72"/>
  <c r="AW13" i="72" s="1"/>
  <c r="AV7" i="72"/>
  <c r="AV13" i="72" s="1"/>
  <c r="AU7" i="72"/>
  <c r="AU13" i="72" s="1"/>
  <c r="AT7" i="72"/>
  <c r="AT13" i="72" s="1"/>
  <c r="AS7" i="72"/>
  <c r="AS13" i="72" s="1"/>
  <c r="AR7" i="72"/>
  <c r="AR13" i="72" s="1"/>
  <c r="AQ7" i="72"/>
  <c r="AQ13" i="72" s="1"/>
  <c r="AP7" i="72"/>
  <c r="AP13" i="72" s="1"/>
  <c r="AO7" i="72"/>
  <c r="AO13" i="72" s="1"/>
  <c r="AN7" i="72"/>
  <c r="AN13" i="72" s="1"/>
  <c r="AM7" i="72"/>
  <c r="AM13" i="72" s="1"/>
  <c r="AL7" i="72"/>
  <c r="AL13" i="72" s="1"/>
  <c r="AK7" i="72"/>
  <c r="AK13" i="72" s="1"/>
  <c r="AJ7" i="72"/>
  <c r="AJ13" i="72" s="1"/>
  <c r="AI7" i="72"/>
  <c r="AH7" i="72"/>
  <c r="AG7" i="72"/>
  <c r="AF7" i="72"/>
  <c r="AE7" i="72"/>
  <c r="R7" i="72"/>
  <c r="Q7" i="72"/>
  <c r="P7" i="72"/>
  <c r="O7" i="72"/>
  <c r="N7" i="72"/>
  <c r="BU6" i="72"/>
  <c r="BU10" i="72" s="1"/>
  <c r="BT6" i="72"/>
  <c r="BT10" i="72" s="1"/>
  <c r="BS6" i="72"/>
  <c r="BS10" i="72" s="1"/>
  <c r="BP6" i="72"/>
  <c r="BO6" i="72"/>
  <c r="BN6" i="72"/>
  <c r="BM6" i="72"/>
  <c r="BL6" i="72"/>
  <c r="BK6" i="72"/>
  <c r="BJ6" i="72"/>
  <c r="BI6" i="72"/>
  <c r="BH6" i="72"/>
  <c r="BG6" i="72"/>
  <c r="BF6" i="72"/>
  <c r="BE6" i="72"/>
  <c r="BD6" i="72"/>
  <c r="BC6" i="72"/>
  <c r="BB6" i="72"/>
  <c r="BA6" i="72"/>
  <c r="AZ6" i="72"/>
  <c r="AY6" i="72"/>
  <c r="AX6" i="72"/>
  <c r="AW6" i="72"/>
  <c r="AI5" i="72"/>
  <c r="AH5" i="72"/>
  <c r="AG5" i="72"/>
  <c r="AF5" i="72"/>
  <c r="AE5" i="72"/>
  <c r="R5" i="72"/>
  <c r="Q5" i="72"/>
  <c r="P5" i="72"/>
  <c r="O5" i="72"/>
  <c r="N5" i="72"/>
  <c r="AI4" i="72"/>
  <c r="AH4" i="72"/>
  <c r="AG4" i="72"/>
  <c r="AF4" i="72"/>
  <c r="AE4" i="72"/>
  <c r="R4" i="72"/>
  <c r="Q4" i="72"/>
  <c r="P4" i="72"/>
  <c r="O4" i="72"/>
  <c r="N4" i="72"/>
  <c r="AZ10" i="72" l="1"/>
  <c r="BD10" i="72"/>
  <c r="BH10" i="72"/>
  <c r="BL10" i="72"/>
  <c r="BP10" i="72"/>
  <c r="R14" i="72"/>
  <c r="AI14" i="72"/>
  <c r="AW10" i="72"/>
  <c r="BA10" i="72"/>
  <c r="BM10" i="72"/>
  <c r="AH13" i="72"/>
  <c r="Q14" i="72"/>
  <c r="AH14" i="72"/>
  <c r="CI10" i="72"/>
  <c r="P13" i="72"/>
  <c r="AG13" i="72"/>
  <c r="AY10" i="72"/>
  <c r="BC10" i="72"/>
  <c r="BG10" i="72"/>
  <c r="BK10" i="72"/>
  <c r="BO10" i="72"/>
  <c r="BE10" i="72"/>
  <c r="BI10" i="72"/>
  <c r="BY10" i="72"/>
  <c r="AF14" i="72"/>
  <c r="CC10" i="72"/>
  <c r="O13" i="72"/>
  <c r="Q13" i="72"/>
  <c r="AF13" i="72"/>
  <c r="P14" i="72"/>
  <c r="AG14" i="72"/>
  <c r="AX10" i="72"/>
  <c r="BB10" i="72"/>
  <c r="BF10" i="72"/>
  <c r="BJ10" i="72"/>
  <c r="BN10" i="72"/>
  <c r="BQ10" i="72"/>
  <c r="CG10" i="72"/>
  <c r="R13" i="72"/>
  <c r="AI13" i="72"/>
  <c r="O14" i="72"/>
  <c r="BR10" i="72"/>
  <c r="BV10" i="72"/>
  <c r="BZ10" i="72"/>
  <c r="CD10" i="72"/>
  <c r="CH10" i="72"/>
  <c r="N13" i="72"/>
  <c r="BW10" i="72"/>
  <c r="CA10" i="72"/>
  <c r="CE10" i="72"/>
  <c r="AE13" i="72"/>
  <c r="N14" i="72"/>
  <c r="AV10" i="72"/>
  <c r="BX10" i="72"/>
  <c r="CB10" i="72"/>
  <c r="CF10" i="72"/>
  <c r="AE14" i="72"/>
  <c r="CH7" i="71"/>
  <c r="CH13" i="71" s="1"/>
  <c r="AU14" i="71"/>
  <c r="AT14" i="71"/>
  <c r="AS14" i="71"/>
  <c r="AR14" i="71"/>
  <c r="AQ14" i="71"/>
  <c r="AP14" i="71"/>
  <c r="AO14" i="71"/>
  <c r="AN14" i="71"/>
  <c r="AM14" i="71"/>
  <c r="AL14" i="71"/>
  <c r="AK14" i="71"/>
  <c r="AJ14" i="71"/>
  <c r="AD14" i="71"/>
  <c r="AC14" i="71"/>
  <c r="AB14" i="71"/>
  <c r="AA14" i="71"/>
  <c r="Z14" i="71"/>
  <c r="Y14" i="71"/>
  <c r="X14" i="71"/>
  <c r="W14" i="71"/>
  <c r="V14" i="71"/>
  <c r="U14" i="71"/>
  <c r="T14" i="71"/>
  <c r="S14" i="71"/>
  <c r="M14" i="71"/>
  <c r="L14" i="71"/>
  <c r="K14" i="71"/>
  <c r="J14" i="71"/>
  <c r="I14" i="71"/>
  <c r="H14" i="71"/>
  <c r="G14" i="71"/>
  <c r="F14" i="71"/>
  <c r="E14" i="71"/>
  <c r="D14" i="71"/>
  <c r="C14" i="71"/>
  <c r="B14" i="71"/>
  <c r="AD13" i="71"/>
  <c r="AC13" i="71"/>
  <c r="AB13" i="71"/>
  <c r="AA13" i="71"/>
  <c r="Z13" i="71"/>
  <c r="Y13" i="71"/>
  <c r="X13" i="71"/>
  <c r="W13" i="71"/>
  <c r="V13" i="71"/>
  <c r="U13" i="71"/>
  <c r="T13" i="71"/>
  <c r="S13" i="71"/>
  <c r="M13" i="71"/>
  <c r="L13" i="71"/>
  <c r="K13" i="71"/>
  <c r="Q13" i="71" s="1"/>
  <c r="J13" i="71"/>
  <c r="I13" i="71"/>
  <c r="H13" i="71"/>
  <c r="G13" i="71"/>
  <c r="F13" i="71"/>
  <c r="E13" i="71"/>
  <c r="D13" i="71"/>
  <c r="C13" i="71"/>
  <c r="B13" i="71"/>
  <c r="CD12" i="71"/>
  <c r="CC12" i="71"/>
  <c r="CB12" i="71"/>
  <c r="CA12" i="71"/>
  <c r="BZ12" i="71"/>
  <c r="BY12" i="71"/>
  <c r="BX12" i="71"/>
  <c r="BW12" i="71"/>
  <c r="BV12" i="71"/>
  <c r="BU12" i="71"/>
  <c r="BT12" i="71"/>
  <c r="CG7" i="71"/>
  <c r="CG10" i="71" s="1"/>
  <c r="CF7" i="71"/>
  <c r="CF10" i="71" s="1"/>
  <c r="CE7" i="71"/>
  <c r="CE13" i="71" s="1"/>
  <c r="CD7" i="71"/>
  <c r="CD10" i="71" s="1"/>
  <c r="CC7" i="71"/>
  <c r="CC10" i="71" s="1"/>
  <c r="CB7" i="71"/>
  <c r="CB10" i="71" s="1"/>
  <c r="CA7" i="71"/>
  <c r="CA13" i="71" s="1"/>
  <c r="BZ7" i="71"/>
  <c r="BZ10" i="71" s="1"/>
  <c r="BY7" i="71"/>
  <c r="BY10" i="71" s="1"/>
  <c r="BX7" i="71"/>
  <c r="BX10" i="71" s="1"/>
  <c r="BW7" i="71"/>
  <c r="BW13" i="71" s="1"/>
  <c r="BV7" i="71"/>
  <c r="BV10" i="71" s="1"/>
  <c r="BU7" i="71"/>
  <c r="BU13" i="71" s="1"/>
  <c r="BT7" i="71"/>
  <c r="BT13" i="71" s="1"/>
  <c r="BS7" i="71"/>
  <c r="BS13" i="71" s="1"/>
  <c r="BR7" i="71"/>
  <c r="BR10" i="71" s="1"/>
  <c r="BQ7" i="71"/>
  <c r="BQ10" i="71" s="1"/>
  <c r="BP7" i="71"/>
  <c r="BP13" i="71" s="1"/>
  <c r="BO7" i="71"/>
  <c r="BO13" i="71" s="1"/>
  <c r="BN7" i="71"/>
  <c r="BN13" i="71" s="1"/>
  <c r="BM7" i="71"/>
  <c r="BM13" i="71" s="1"/>
  <c r="BL7" i="71"/>
  <c r="BL13" i="71" s="1"/>
  <c r="BK7" i="71"/>
  <c r="BK13" i="71" s="1"/>
  <c r="BJ7" i="71"/>
  <c r="BJ13" i="71" s="1"/>
  <c r="BI7" i="71"/>
  <c r="BI13" i="71" s="1"/>
  <c r="BH7" i="71"/>
  <c r="BH13" i="71" s="1"/>
  <c r="BG7" i="71"/>
  <c r="BG13" i="71" s="1"/>
  <c r="BF7" i="71"/>
  <c r="BF13" i="71" s="1"/>
  <c r="BE7" i="71"/>
  <c r="BE13" i="71" s="1"/>
  <c r="BD7" i="71"/>
  <c r="BD13" i="71" s="1"/>
  <c r="BC7" i="71"/>
  <c r="BC13" i="71" s="1"/>
  <c r="BB7" i="71"/>
  <c r="BB13" i="71" s="1"/>
  <c r="BA7" i="71"/>
  <c r="BA13" i="71" s="1"/>
  <c r="AZ7" i="71"/>
  <c r="AZ13" i="71" s="1"/>
  <c r="AY7" i="71"/>
  <c r="AY13" i="71" s="1"/>
  <c r="AX7" i="71"/>
  <c r="AX13" i="71" s="1"/>
  <c r="AW7" i="71"/>
  <c r="AW13" i="71" s="1"/>
  <c r="AV7" i="71"/>
  <c r="AV10" i="71" s="1"/>
  <c r="AU7" i="71"/>
  <c r="AU13" i="71" s="1"/>
  <c r="AT7" i="71"/>
  <c r="AT13" i="71" s="1"/>
  <c r="AS7" i="71"/>
  <c r="AS13" i="71" s="1"/>
  <c r="AR7" i="71"/>
  <c r="AR13" i="71" s="1"/>
  <c r="AQ7" i="71"/>
  <c r="AQ13" i="71" s="1"/>
  <c r="AP7" i="71"/>
  <c r="AP13" i="71" s="1"/>
  <c r="AO7" i="71"/>
  <c r="AO13" i="71" s="1"/>
  <c r="AN7" i="71"/>
  <c r="AN13" i="71" s="1"/>
  <c r="AM7" i="71"/>
  <c r="AM13" i="71" s="1"/>
  <c r="AL7" i="71"/>
  <c r="AL13" i="71" s="1"/>
  <c r="AK7" i="71"/>
  <c r="AK13" i="71" s="1"/>
  <c r="AJ7" i="71"/>
  <c r="AJ13" i="71" s="1"/>
  <c r="AI7" i="71"/>
  <c r="AH7" i="71"/>
  <c r="AG7" i="71"/>
  <c r="AF7" i="71"/>
  <c r="AE7" i="71"/>
  <c r="R7" i="71"/>
  <c r="Q7" i="71"/>
  <c r="P7" i="71"/>
  <c r="O7" i="71"/>
  <c r="N7" i="71"/>
  <c r="BU6" i="71"/>
  <c r="BU10" i="71" s="1"/>
  <c r="BT6" i="71"/>
  <c r="BT10" i="71" s="1"/>
  <c r="BS6" i="71"/>
  <c r="BS10" i="71" s="1"/>
  <c r="BP6" i="71"/>
  <c r="BP10" i="71" s="1"/>
  <c r="BO6" i="71"/>
  <c r="BN6" i="71"/>
  <c r="BM6" i="71"/>
  <c r="BL6" i="71"/>
  <c r="BL10" i="71" s="1"/>
  <c r="BK6" i="71"/>
  <c r="BK10" i="71" s="1"/>
  <c r="BJ6" i="71"/>
  <c r="BI6" i="71"/>
  <c r="BH6" i="71"/>
  <c r="BH10" i="71" s="1"/>
  <c r="BG6" i="71"/>
  <c r="BF6" i="71"/>
  <c r="BE6" i="71"/>
  <c r="BD6" i="71"/>
  <c r="BD10" i="71" s="1"/>
  <c r="BC6" i="71"/>
  <c r="BC10" i="71" s="1"/>
  <c r="BB6" i="71"/>
  <c r="BA6" i="71"/>
  <c r="AZ6" i="71"/>
  <c r="AZ10" i="71" s="1"/>
  <c r="AY6" i="71"/>
  <c r="AX6" i="71"/>
  <c r="AW6" i="71"/>
  <c r="AI5" i="71"/>
  <c r="AH5" i="71"/>
  <c r="AG5" i="71"/>
  <c r="AF5" i="71"/>
  <c r="AE5" i="71"/>
  <c r="R5" i="71"/>
  <c r="Q5" i="71"/>
  <c r="P5" i="71"/>
  <c r="O5" i="71"/>
  <c r="N5" i="71"/>
  <c r="AI4" i="71"/>
  <c r="AH4" i="71"/>
  <c r="AG4" i="71"/>
  <c r="AF4" i="71"/>
  <c r="AE4" i="71"/>
  <c r="R4" i="71"/>
  <c r="Q4" i="71"/>
  <c r="P4" i="71"/>
  <c r="O4" i="71"/>
  <c r="N4" i="71"/>
  <c r="AY10" i="71" l="1"/>
  <c r="BG10" i="71"/>
  <c r="BO10" i="71"/>
  <c r="CE10" i="71"/>
  <c r="AF13" i="71"/>
  <c r="AH13" i="71"/>
  <c r="CH10" i="71"/>
  <c r="CA10" i="71"/>
  <c r="R14" i="71"/>
  <c r="AI14" i="71"/>
  <c r="AW10" i="71"/>
  <c r="BA10" i="71"/>
  <c r="BE10" i="71"/>
  <c r="BI10" i="71"/>
  <c r="BM10" i="71"/>
  <c r="BW10" i="71"/>
  <c r="P13" i="71"/>
  <c r="AG13" i="71"/>
  <c r="BX13" i="71"/>
  <c r="Q14" i="71"/>
  <c r="AF14" i="71"/>
  <c r="AH14" i="71"/>
  <c r="AX10" i="71"/>
  <c r="BB10" i="71"/>
  <c r="BF10" i="71"/>
  <c r="BJ10" i="71"/>
  <c r="BN10" i="71"/>
  <c r="O13" i="71"/>
  <c r="AV13" i="71"/>
  <c r="CB13" i="71"/>
  <c r="P14" i="71"/>
  <c r="AG14" i="71"/>
  <c r="R13" i="71"/>
  <c r="AI13" i="71"/>
  <c r="CF13" i="71"/>
  <c r="O14" i="71"/>
  <c r="BQ13" i="71"/>
  <c r="BY13" i="71"/>
  <c r="CC13" i="71"/>
  <c r="CG13" i="71"/>
  <c r="N13" i="71"/>
  <c r="BR13" i="71"/>
  <c r="BV13" i="71"/>
  <c r="BZ13" i="71"/>
  <c r="CD13" i="71"/>
  <c r="N14" i="71"/>
  <c r="AE13" i="71"/>
  <c r="AE14" i="71"/>
  <c r="AU14" i="70"/>
  <c r="AT14" i="70"/>
  <c r="AS14" i="70"/>
  <c r="AR14" i="70"/>
  <c r="AQ14" i="70"/>
  <c r="AP14" i="70"/>
  <c r="AO14" i="70"/>
  <c r="AN14" i="70"/>
  <c r="AM14" i="70"/>
  <c r="AL14" i="70"/>
  <c r="AK14" i="70"/>
  <c r="AJ14" i="70"/>
  <c r="AD14" i="70"/>
  <c r="AC14" i="70"/>
  <c r="AB14" i="70"/>
  <c r="AA14" i="70"/>
  <c r="Z14" i="70"/>
  <c r="Y14" i="70"/>
  <c r="X14" i="70"/>
  <c r="W14" i="70"/>
  <c r="V14" i="70"/>
  <c r="U14" i="70"/>
  <c r="T14" i="70"/>
  <c r="S14" i="70"/>
  <c r="M14" i="70"/>
  <c r="L14" i="70"/>
  <c r="Q14" i="70" s="1"/>
  <c r="K14" i="70"/>
  <c r="J14" i="70"/>
  <c r="I14" i="70"/>
  <c r="H14" i="70"/>
  <c r="P14" i="70" s="1"/>
  <c r="G14" i="70"/>
  <c r="F14" i="70"/>
  <c r="E14" i="70"/>
  <c r="D14" i="70"/>
  <c r="C14" i="70"/>
  <c r="B14" i="70"/>
  <c r="CB13" i="70"/>
  <c r="AV13" i="70"/>
  <c r="AD13" i="70"/>
  <c r="AC13" i="70"/>
  <c r="AB13" i="70"/>
  <c r="AH13" i="70" s="1"/>
  <c r="AA13" i="70"/>
  <c r="Z13" i="70"/>
  <c r="Y13" i="70"/>
  <c r="X13" i="70"/>
  <c r="AF13" i="70" s="1"/>
  <c r="W13" i="70"/>
  <c r="V13" i="70"/>
  <c r="U13" i="70"/>
  <c r="T13" i="70"/>
  <c r="S13" i="70"/>
  <c r="M13" i="70"/>
  <c r="L13" i="70"/>
  <c r="K13" i="70"/>
  <c r="J13" i="70"/>
  <c r="I13" i="70"/>
  <c r="H13" i="70"/>
  <c r="G13" i="70"/>
  <c r="F13" i="70"/>
  <c r="E13" i="70"/>
  <c r="O13" i="70" s="1"/>
  <c r="D13" i="70"/>
  <c r="C13" i="70"/>
  <c r="B13" i="70"/>
  <c r="CD12" i="70"/>
  <c r="CC12" i="70"/>
  <c r="CB12" i="70"/>
  <c r="CA12" i="70"/>
  <c r="BZ12" i="70"/>
  <c r="BY12" i="70"/>
  <c r="BX12" i="70"/>
  <c r="BW12" i="70"/>
  <c r="BV12" i="70"/>
  <c r="BU12" i="70"/>
  <c r="BT12" i="70"/>
  <c r="CB10" i="70"/>
  <c r="CA10" i="70"/>
  <c r="CG7" i="70"/>
  <c r="CF7" i="70"/>
  <c r="CF13" i="70" s="1"/>
  <c r="CE7" i="70"/>
  <c r="CE13" i="70" s="1"/>
  <c r="CD7" i="70"/>
  <c r="CD10" i="70" s="1"/>
  <c r="CC7" i="70"/>
  <c r="CB7" i="70"/>
  <c r="CA7" i="70"/>
  <c r="CA13" i="70" s="1"/>
  <c r="BZ7" i="70"/>
  <c r="BZ10" i="70" s="1"/>
  <c r="BY7" i="70"/>
  <c r="BX7" i="70"/>
  <c r="BX13" i="70" s="1"/>
  <c r="BW7" i="70"/>
  <c r="BW13" i="70" s="1"/>
  <c r="BV7" i="70"/>
  <c r="BV10" i="70" s="1"/>
  <c r="BU7" i="70"/>
  <c r="BU13" i="70" s="1"/>
  <c r="BT7" i="70"/>
  <c r="BT13" i="70" s="1"/>
  <c r="BS7" i="70"/>
  <c r="BS13" i="70" s="1"/>
  <c r="BR7" i="70"/>
  <c r="BR10" i="70" s="1"/>
  <c r="BQ7" i="70"/>
  <c r="BP7" i="70"/>
  <c r="BP13" i="70" s="1"/>
  <c r="BO7" i="70"/>
  <c r="BO13" i="70" s="1"/>
  <c r="BN7" i="70"/>
  <c r="BN13" i="70" s="1"/>
  <c r="BM7" i="70"/>
  <c r="BM13" i="70" s="1"/>
  <c r="BL7" i="70"/>
  <c r="BL13" i="70" s="1"/>
  <c r="BK7" i="70"/>
  <c r="BK13" i="70" s="1"/>
  <c r="BJ7" i="70"/>
  <c r="BJ13" i="70" s="1"/>
  <c r="BI7" i="70"/>
  <c r="BI13" i="70" s="1"/>
  <c r="BH7" i="70"/>
  <c r="BH13" i="70" s="1"/>
  <c r="BG7" i="70"/>
  <c r="BG13" i="70" s="1"/>
  <c r="BF7" i="70"/>
  <c r="BF13" i="70" s="1"/>
  <c r="BE7" i="70"/>
  <c r="BE13" i="70" s="1"/>
  <c r="BD7" i="70"/>
  <c r="BD13" i="70" s="1"/>
  <c r="BC7" i="70"/>
  <c r="BC13" i="70" s="1"/>
  <c r="BB7" i="70"/>
  <c r="BB13" i="70" s="1"/>
  <c r="BA7" i="70"/>
  <c r="BA13" i="70" s="1"/>
  <c r="AZ7" i="70"/>
  <c r="AZ13" i="70" s="1"/>
  <c r="AY7" i="70"/>
  <c r="AY13" i="70" s="1"/>
  <c r="AX7" i="70"/>
  <c r="AX13" i="70" s="1"/>
  <c r="AW7" i="70"/>
  <c r="AW13" i="70" s="1"/>
  <c r="AV7" i="70"/>
  <c r="AV10" i="70" s="1"/>
  <c r="AU7" i="70"/>
  <c r="AU13" i="70" s="1"/>
  <c r="AT7" i="70"/>
  <c r="AT13" i="70" s="1"/>
  <c r="AS7" i="70"/>
  <c r="AS13" i="70" s="1"/>
  <c r="AR7" i="70"/>
  <c r="AR13" i="70" s="1"/>
  <c r="AQ7" i="70"/>
  <c r="AQ13" i="70" s="1"/>
  <c r="AP7" i="70"/>
  <c r="AP13" i="70" s="1"/>
  <c r="AO7" i="70"/>
  <c r="AO13" i="70" s="1"/>
  <c r="AN7" i="70"/>
  <c r="AN13" i="70" s="1"/>
  <c r="AM7" i="70"/>
  <c r="AM13" i="70" s="1"/>
  <c r="AL7" i="70"/>
  <c r="AL13" i="70" s="1"/>
  <c r="AK7" i="70"/>
  <c r="AK13" i="70" s="1"/>
  <c r="AJ7" i="70"/>
  <c r="AJ13" i="70" s="1"/>
  <c r="AI7" i="70"/>
  <c r="AH7" i="70"/>
  <c r="AG7" i="70"/>
  <c r="AF7" i="70"/>
  <c r="AE7" i="70"/>
  <c r="R7" i="70"/>
  <c r="Q7" i="70"/>
  <c r="P7" i="70"/>
  <c r="O7" i="70"/>
  <c r="N7" i="70"/>
  <c r="BU6" i="70"/>
  <c r="BU10" i="70" s="1"/>
  <c r="BT6" i="70"/>
  <c r="BT10" i="70" s="1"/>
  <c r="BS6" i="70"/>
  <c r="BS10" i="70" s="1"/>
  <c r="BP6" i="70"/>
  <c r="BO6" i="70"/>
  <c r="BO10" i="70" s="1"/>
  <c r="BN6" i="70"/>
  <c r="BN10" i="70" s="1"/>
  <c r="BM6" i="70"/>
  <c r="BL6" i="70"/>
  <c r="BL10" i="70" s="1"/>
  <c r="BK6" i="70"/>
  <c r="BK10" i="70" s="1"/>
  <c r="BJ6" i="70"/>
  <c r="BJ10" i="70" s="1"/>
  <c r="BI6" i="70"/>
  <c r="BH6" i="70"/>
  <c r="BG6" i="70"/>
  <c r="BG10" i="70" s="1"/>
  <c r="BF6" i="70"/>
  <c r="BF10" i="70" s="1"/>
  <c r="BE6" i="70"/>
  <c r="BD6" i="70"/>
  <c r="BD10" i="70" s="1"/>
  <c r="BC6" i="70"/>
  <c r="BC10" i="70" s="1"/>
  <c r="BB6" i="70"/>
  <c r="BB10" i="70" s="1"/>
  <c r="BA6" i="70"/>
  <c r="AZ6" i="70"/>
  <c r="AY6" i="70"/>
  <c r="AY10" i="70" s="1"/>
  <c r="AX6" i="70"/>
  <c r="AX10" i="70" s="1"/>
  <c r="AW6" i="70"/>
  <c r="AI5" i="70"/>
  <c r="AH5" i="70"/>
  <c r="AG5" i="70"/>
  <c r="AF5" i="70"/>
  <c r="AE5" i="70"/>
  <c r="R5" i="70"/>
  <c r="Q5" i="70"/>
  <c r="P5" i="70"/>
  <c r="O5" i="70"/>
  <c r="N5" i="70"/>
  <c r="AI4" i="70"/>
  <c r="AH4" i="70"/>
  <c r="AG4" i="70"/>
  <c r="AF4" i="70"/>
  <c r="AE4" i="70"/>
  <c r="R4" i="70"/>
  <c r="Q4" i="70"/>
  <c r="P4" i="70"/>
  <c r="O4" i="70"/>
  <c r="N4" i="70"/>
  <c r="BX10" i="70" l="1"/>
  <c r="AI14" i="70"/>
  <c r="Q13" i="70"/>
  <c r="AG13" i="70"/>
  <c r="AH14" i="70"/>
  <c r="CF10" i="70"/>
  <c r="AI13" i="70"/>
  <c r="AZ10" i="70"/>
  <c r="BH10" i="70"/>
  <c r="BP10" i="70"/>
  <c r="R14" i="70"/>
  <c r="P13" i="70"/>
  <c r="AF14" i="70"/>
  <c r="AG14" i="70"/>
  <c r="BW10" i="70"/>
  <c r="R13" i="70"/>
  <c r="O14" i="70"/>
  <c r="CE10" i="70"/>
  <c r="BQ10" i="70"/>
  <c r="BQ13" i="70"/>
  <c r="CC10" i="70"/>
  <c r="CC13" i="70"/>
  <c r="BY10" i="70"/>
  <c r="BY13" i="70"/>
  <c r="CG10" i="70"/>
  <c r="CG13" i="70"/>
  <c r="AW10" i="70"/>
  <c r="BA10" i="70"/>
  <c r="BE10" i="70"/>
  <c r="BI10" i="70"/>
  <c r="BM10" i="70"/>
  <c r="N13" i="70"/>
  <c r="BR13" i="70"/>
  <c r="BV13" i="70"/>
  <c r="BZ13" i="70"/>
  <c r="CD13" i="70"/>
  <c r="N14" i="70"/>
  <c r="AE13" i="70"/>
  <c r="AE14" i="70"/>
  <c r="CG7" i="69"/>
  <c r="CG10" i="69" s="1"/>
  <c r="AU14" i="69"/>
  <c r="AT14" i="69"/>
  <c r="AS14" i="69"/>
  <c r="AR14" i="69"/>
  <c r="AQ14" i="69"/>
  <c r="AP14" i="69"/>
  <c r="AO14" i="69"/>
  <c r="AN14" i="69"/>
  <c r="AM14" i="69"/>
  <c r="AL14" i="69"/>
  <c r="AK14" i="69"/>
  <c r="AJ14" i="69"/>
  <c r="AD14" i="69"/>
  <c r="AC14" i="69"/>
  <c r="AB14" i="69"/>
  <c r="AA14" i="69"/>
  <c r="Z14" i="69"/>
  <c r="Y14" i="69"/>
  <c r="X14" i="69"/>
  <c r="W14" i="69"/>
  <c r="V14" i="69"/>
  <c r="U14" i="69"/>
  <c r="T14" i="69"/>
  <c r="S14" i="69"/>
  <c r="M14" i="69"/>
  <c r="L14" i="69"/>
  <c r="K14" i="69"/>
  <c r="Q14" i="69" s="1"/>
  <c r="J14" i="69"/>
  <c r="I14" i="69"/>
  <c r="H14" i="69"/>
  <c r="G14" i="69"/>
  <c r="F14" i="69"/>
  <c r="E14" i="69"/>
  <c r="D14" i="69"/>
  <c r="C14" i="69"/>
  <c r="B14" i="69"/>
  <c r="BS13" i="69"/>
  <c r="BG13" i="69"/>
  <c r="AD13" i="69"/>
  <c r="AC13" i="69"/>
  <c r="AB13" i="69"/>
  <c r="AA13" i="69"/>
  <c r="Z13" i="69"/>
  <c r="Y13" i="69"/>
  <c r="X13" i="69"/>
  <c r="W13" i="69"/>
  <c r="V13" i="69"/>
  <c r="U13" i="69"/>
  <c r="T13" i="69"/>
  <c r="S13" i="69"/>
  <c r="M13" i="69"/>
  <c r="L13" i="69"/>
  <c r="K13" i="69"/>
  <c r="J13" i="69"/>
  <c r="I13" i="69"/>
  <c r="H13" i="69"/>
  <c r="G13" i="69"/>
  <c r="F13" i="69"/>
  <c r="E13" i="69"/>
  <c r="D13" i="69"/>
  <c r="C13" i="69"/>
  <c r="B13" i="69"/>
  <c r="CD12" i="69"/>
  <c r="CC12" i="69"/>
  <c r="CB12" i="69"/>
  <c r="CA12" i="69"/>
  <c r="BZ12" i="69"/>
  <c r="BY12" i="69"/>
  <c r="BX12" i="69"/>
  <c r="BW12" i="69"/>
  <c r="BV12" i="69"/>
  <c r="BU12" i="69"/>
  <c r="BT12" i="69"/>
  <c r="CA10" i="69"/>
  <c r="CF7" i="69"/>
  <c r="CF10" i="69" s="1"/>
  <c r="CE7" i="69"/>
  <c r="CE10" i="69" s="1"/>
  <c r="CD7" i="69"/>
  <c r="CD13" i="69" s="1"/>
  <c r="CC7" i="69"/>
  <c r="CC13" i="69" s="1"/>
  <c r="CB7" i="69"/>
  <c r="CB10" i="69" s="1"/>
  <c r="CA7" i="69"/>
  <c r="CA13" i="69" s="1"/>
  <c r="BZ7" i="69"/>
  <c r="BZ13" i="69" s="1"/>
  <c r="BY7" i="69"/>
  <c r="BY13" i="69" s="1"/>
  <c r="BX7" i="69"/>
  <c r="BX10" i="69" s="1"/>
  <c r="BW7" i="69"/>
  <c r="BW10" i="69" s="1"/>
  <c r="BV7" i="69"/>
  <c r="BV13" i="69" s="1"/>
  <c r="BU7" i="69"/>
  <c r="BU13" i="69" s="1"/>
  <c r="BT7" i="69"/>
  <c r="BT13" i="69" s="1"/>
  <c r="BS7" i="69"/>
  <c r="BR7" i="69"/>
  <c r="BR13" i="69" s="1"/>
  <c r="BQ7" i="69"/>
  <c r="BQ13" i="69" s="1"/>
  <c r="BP7" i="69"/>
  <c r="BP13" i="69" s="1"/>
  <c r="BO7" i="69"/>
  <c r="BO13" i="69" s="1"/>
  <c r="BN7" i="69"/>
  <c r="BN13" i="69" s="1"/>
  <c r="BM7" i="69"/>
  <c r="BM13" i="69" s="1"/>
  <c r="BL7" i="69"/>
  <c r="BL13" i="69" s="1"/>
  <c r="BK7" i="69"/>
  <c r="BK13" i="69" s="1"/>
  <c r="BJ7" i="69"/>
  <c r="BJ13" i="69" s="1"/>
  <c r="BI7" i="69"/>
  <c r="BI13" i="69" s="1"/>
  <c r="BH7" i="69"/>
  <c r="BH13" i="69" s="1"/>
  <c r="BG7" i="69"/>
  <c r="BF7" i="69"/>
  <c r="BF13" i="69" s="1"/>
  <c r="BE7" i="69"/>
  <c r="BE13" i="69" s="1"/>
  <c r="BD7" i="69"/>
  <c r="BD13" i="69" s="1"/>
  <c r="BC7" i="69"/>
  <c r="BC13" i="69" s="1"/>
  <c r="BB7" i="69"/>
  <c r="BB13" i="69" s="1"/>
  <c r="BA7" i="69"/>
  <c r="BA13" i="69" s="1"/>
  <c r="AZ7" i="69"/>
  <c r="AZ13" i="69" s="1"/>
  <c r="AY7" i="69"/>
  <c r="AY13" i="69" s="1"/>
  <c r="AX7" i="69"/>
  <c r="AX13" i="69" s="1"/>
  <c r="AW7" i="69"/>
  <c r="AW13" i="69" s="1"/>
  <c r="AV7" i="69"/>
  <c r="AV10" i="69" s="1"/>
  <c r="AU7" i="69"/>
  <c r="AU13" i="69" s="1"/>
  <c r="AT7" i="69"/>
  <c r="AT13" i="69" s="1"/>
  <c r="AS7" i="69"/>
  <c r="AS13" i="69" s="1"/>
  <c r="AR7" i="69"/>
  <c r="AR13" i="69" s="1"/>
  <c r="AQ7" i="69"/>
  <c r="AQ13" i="69" s="1"/>
  <c r="AP7" i="69"/>
  <c r="AP13" i="69" s="1"/>
  <c r="AO7" i="69"/>
  <c r="AO13" i="69" s="1"/>
  <c r="AN7" i="69"/>
  <c r="AN13" i="69" s="1"/>
  <c r="AM7" i="69"/>
  <c r="AM13" i="69" s="1"/>
  <c r="AL7" i="69"/>
  <c r="AL13" i="69" s="1"/>
  <c r="AK7" i="69"/>
  <c r="AK13" i="69" s="1"/>
  <c r="AJ7" i="69"/>
  <c r="AJ13" i="69" s="1"/>
  <c r="AI7" i="69"/>
  <c r="AH7" i="69"/>
  <c r="AG7" i="69"/>
  <c r="AF7" i="69"/>
  <c r="AE7" i="69"/>
  <c r="R7" i="69"/>
  <c r="Q7" i="69"/>
  <c r="P7" i="69"/>
  <c r="O7" i="69"/>
  <c r="N7" i="69"/>
  <c r="BU6" i="69"/>
  <c r="BU10" i="69" s="1"/>
  <c r="BT6" i="69"/>
  <c r="BT10" i="69" s="1"/>
  <c r="BS6" i="69"/>
  <c r="BS10" i="69" s="1"/>
  <c r="BP6" i="69"/>
  <c r="BO6" i="69"/>
  <c r="BO10" i="69" s="1"/>
  <c r="BN6" i="69"/>
  <c r="BN10" i="69" s="1"/>
  <c r="BM6" i="69"/>
  <c r="BL6" i="69"/>
  <c r="BK6" i="69"/>
  <c r="BK10" i="69" s="1"/>
  <c r="BJ6" i="69"/>
  <c r="BJ10" i="69" s="1"/>
  <c r="BI6" i="69"/>
  <c r="BI10" i="69" s="1"/>
  <c r="BH6" i="69"/>
  <c r="BG6" i="69"/>
  <c r="BG10" i="69" s="1"/>
  <c r="BF6" i="69"/>
  <c r="BF10" i="69" s="1"/>
  <c r="BE6" i="69"/>
  <c r="BD6" i="69"/>
  <c r="BC6" i="69"/>
  <c r="BC10" i="69" s="1"/>
  <c r="BB6" i="69"/>
  <c r="BB10" i="69" s="1"/>
  <c r="BA6" i="69"/>
  <c r="BA10" i="69" s="1"/>
  <c r="AZ6" i="69"/>
  <c r="AY6" i="69"/>
  <c r="AY10" i="69" s="1"/>
  <c r="AX6" i="69"/>
  <c r="AX10" i="69" s="1"/>
  <c r="AW6" i="69"/>
  <c r="AI5" i="69"/>
  <c r="AH5" i="69"/>
  <c r="AG5" i="69"/>
  <c r="AF5" i="69"/>
  <c r="AE5" i="69"/>
  <c r="R5" i="69"/>
  <c r="Q5" i="69"/>
  <c r="P5" i="69"/>
  <c r="O5" i="69"/>
  <c r="N5" i="69"/>
  <c r="AI4" i="69"/>
  <c r="AH4" i="69"/>
  <c r="AG4" i="69"/>
  <c r="AF4" i="69"/>
  <c r="AE4" i="69"/>
  <c r="R4" i="69"/>
  <c r="Q4" i="69"/>
  <c r="P4" i="69"/>
  <c r="O4" i="69"/>
  <c r="N4" i="69"/>
  <c r="AH14" i="69" l="1"/>
  <c r="BW13" i="69"/>
  <c r="AF13" i="69"/>
  <c r="AE13" i="69"/>
  <c r="R14" i="69"/>
  <c r="AI14" i="69"/>
  <c r="AW10" i="69"/>
  <c r="BM10" i="69"/>
  <c r="CC10" i="69"/>
  <c r="AF14" i="69"/>
  <c r="BH10" i="69"/>
  <c r="BE10" i="69"/>
  <c r="R13" i="69"/>
  <c r="AZ10" i="69"/>
  <c r="BD10" i="69"/>
  <c r="BL10" i="69"/>
  <c r="BP10" i="69"/>
  <c r="O13" i="69"/>
  <c r="Q13" i="69"/>
  <c r="AH13" i="69"/>
  <c r="P14" i="69"/>
  <c r="AG14" i="69"/>
  <c r="BQ10" i="69"/>
  <c r="BY10" i="69"/>
  <c r="P13" i="69"/>
  <c r="AG13" i="69"/>
  <c r="O14" i="69"/>
  <c r="CG13" i="69"/>
  <c r="CE13" i="69"/>
  <c r="AI13" i="69"/>
  <c r="BR10" i="69"/>
  <c r="BV10" i="69"/>
  <c r="BZ10" i="69"/>
  <c r="CD10" i="69"/>
  <c r="AV13" i="69"/>
  <c r="BX13" i="69"/>
  <c r="CB13" i="69"/>
  <c r="CF13" i="69"/>
  <c r="N14" i="69"/>
  <c r="N13" i="69"/>
  <c r="AE14" i="69"/>
  <c r="AU14" i="68"/>
  <c r="AT14" i="68"/>
  <c r="AS14" i="68"/>
  <c r="AR14" i="68"/>
  <c r="AQ14" i="68"/>
  <c r="AP14" i="68"/>
  <c r="AO14" i="68"/>
  <c r="AN14" i="68"/>
  <c r="AM14" i="68"/>
  <c r="AL14" i="68"/>
  <c r="AK14" i="68"/>
  <c r="AJ14" i="68"/>
  <c r="AD14" i="68"/>
  <c r="AC14" i="68"/>
  <c r="AB14" i="68"/>
  <c r="AA14" i="68"/>
  <c r="Z14" i="68"/>
  <c r="Y14" i="68"/>
  <c r="X14" i="68"/>
  <c r="W14" i="68"/>
  <c r="V14" i="68"/>
  <c r="U14" i="68"/>
  <c r="T14" i="68"/>
  <c r="S14" i="68"/>
  <c r="M14" i="68"/>
  <c r="L14" i="68"/>
  <c r="K14" i="68"/>
  <c r="J14" i="68"/>
  <c r="I14" i="68"/>
  <c r="H14" i="68"/>
  <c r="G14" i="68"/>
  <c r="F14" i="68"/>
  <c r="E14" i="68"/>
  <c r="D14" i="68"/>
  <c r="C14" i="68"/>
  <c r="B14" i="68"/>
  <c r="BW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CD12" i="68"/>
  <c r="CC12" i="68"/>
  <c r="CB12" i="68"/>
  <c r="CA12" i="68"/>
  <c r="BZ12" i="68"/>
  <c r="BY12" i="68"/>
  <c r="BX12" i="68"/>
  <c r="BW12" i="68"/>
  <c r="BV12" i="68"/>
  <c r="BU12" i="68"/>
  <c r="BT12" i="68"/>
  <c r="CA10" i="68"/>
  <c r="CF7" i="68"/>
  <c r="CF10" i="68" s="1"/>
  <c r="CE7" i="68"/>
  <c r="CE13" i="68" s="1"/>
  <c r="CD7" i="68"/>
  <c r="CD13" i="68" s="1"/>
  <c r="CC7" i="68"/>
  <c r="CC13" i="68" s="1"/>
  <c r="CB7" i="68"/>
  <c r="CB10" i="68" s="1"/>
  <c r="CA7" i="68"/>
  <c r="CA13" i="68" s="1"/>
  <c r="BZ7" i="68"/>
  <c r="BZ13" i="68" s="1"/>
  <c r="BY7" i="68"/>
  <c r="BY10" i="68" s="1"/>
  <c r="BX7" i="68"/>
  <c r="BX10" i="68" s="1"/>
  <c r="BW7" i="68"/>
  <c r="BW10" i="68" s="1"/>
  <c r="BV7" i="68"/>
  <c r="BV13" i="68" s="1"/>
  <c r="BU7" i="68"/>
  <c r="BU13" i="68" s="1"/>
  <c r="BT7" i="68"/>
  <c r="BT13" i="68" s="1"/>
  <c r="BS7" i="68"/>
  <c r="BS13" i="68" s="1"/>
  <c r="BR7" i="68"/>
  <c r="BR13" i="68" s="1"/>
  <c r="BQ7" i="68"/>
  <c r="BQ10" i="68" s="1"/>
  <c r="BP7" i="68"/>
  <c r="BP13" i="68" s="1"/>
  <c r="BO7" i="68"/>
  <c r="BO13" i="68" s="1"/>
  <c r="BN7" i="68"/>
  <c r="BN13" i="68" s="1"/>
  <c r="BM7" i="68"/>
  <c r="BM13" i="68" s="1"/>
  <c r="BL7" i="68"/>
  <c r="BL13" i="68" s="1"/>
  <c r="BK7" i="68"/>
  <c r="BK13" i="68" s="1"/>
  <c r="BJ7" i="68"/>
  <c r="BJ13" i="68" s="1"/>
  <c r="BI7" i="68"/>
  <c r="BI13" i="68" s="1"/>
  <c r="BH7" i="68"/>
  <c r="BH13" i="68" s="1"/>
  <c r="BG7" i="68"/>
  <c r="BG13" i="68" s="1"/>
  <c r="BF7" i="68"/>
  <c r="BF13" i="68" s="1"/>
  <c r="BE7" i="68"/>
  <c r="BE13" i="68" s="1"/>
  <c r="BD7" i="68"/>
  <c r="BD13" i="68" s="1"/>
  <c r="BC7" i="68"/>
  <c r="BC13" i="68" s="1"/>
  <c r="BB7" i="68"/>
  <c r="BB13" i="68" s="1"/>
  <c r="BA7" i="68"/>
  <c r="BA13" i="68" s="1"/>
  <c r="AZ7" i="68"/>
  <c r="AZ13" i="68" s="1"/>
  <c r="AY7" i="68"/>
  <c r="AY13" i="68" s="1"/>
  <c r="AX7" i="68"/>
  <c r="AX13" i="68" s="1"/>
  <c r="AW7" i="68"/>
  <c r="AW13" i="68" s="1"/>
  <c r="AV7" i="68"/>
  <c r="AV10" i="68" s="1"/>
  <c r="AU7" i="68"/>
  <c r="AU13" i="68" s="1"/>
  <c r="AT7" i="68"/>
  <c r="AT13" i="68" s="1"/>
  <c r="AS7" i="68"/>
  <c r="AS13" i="68" s="1"/>
  <c r="AR7" i="68"/>
  <c r="AR13" i="68" s="1"/>
  <c r="AQ7" i="68"/>
  <c r="AQ13" i="68" s="1"/>
  <c r="AP7" i="68"/>
  <c r="AP13" i="68" s="1"/>
  <c r="AO7" i="68"/>
  <c r="AO13" i="68" s="1"/>
  <c r="AN7" i="68"/>
  <c r="AN13" i="68" s="1"/>
  <c r="AM7" i="68"/>
  <c r="AM13" i="68" s="1"/>
  <c r="AL7" i="68"/>
  <c r="AL13" i="68" s="1"/>
  <c r="AK7" i="68"/>
  <c r="AK13" i="68" s="1"/>
  <c r="AJ7" i="68"/>
  <c r="AJ13" i="68" s="1"/>
  <c r="AI7" i="68"/>
  <c r="AH7" i="68"/>
  <c r="AG7" i="68"/>
  <c r="AF7" i="68"/>
  <c r="AE7" i="68"/>
  <c r="R7" i="68"/>
  <c r="Q7" i="68"/>
  <c r="P7" i="68"/>
  <c r="O7" i="68"/>
  <c r="N7" i="68"/>
  <c r="BU6" i="68"/>
  <c r="BU10" i="68" s="1"/>
  <c r="BT6" i="68"/>
  <c r="BT10" i="68" s="1"/>
  <c r="BS6" i="68"/>
  <c r="BS10" i="68" s="1"/>
  <c r="BP6" i="68"/>
  <c r="BO6" i="68"/>
  <c r="BO10" i="68" s="1"/>
  <c r="BN6" i="68"/>
  <c r="BN10" i="68" s="1"/>
  <c r="BM6" i="68"/>
  <c r="BM10" i="68" s="1"/>
  <c r="BL6" i="68"/>
  <c r="BK6" i="68"/>
  <c r="BK10" i="68" s="1"/>
  <c r="BJ6" i="68"/>
  <c r="BJ10" i="68" s="1"/>
  <c r="BI6" i="68"/>
  <c r="BI10" i="68" s="1"/>
  <c r="BH6" i="68"/>
  <c r="BG6" i="68"/>
  <c r="BG10" i="68" s="1"/>
  <c r="BF6" i="68"/>
  <c r="BF10" i="68" s="1"/>
  <c r="BE6" i="68"/>
  <c r="BE10" i="68" s="1"/>
  <c r="BD6" i="68"/>
  <c r="BC6" i="68"/>
  <c r="BC10" i="68" s="1"/>
  <c r="BB6" i="68"/>
  <c r="BB10" i="68" s="1"/>
  <c r="BA6" i="68"/>
  <c r="BA10" i="68" s="1"/>
  <c r="AZ6" i="68"/>
  <c r="AY6" i="68"/>
  <c r="AY10" i="68" s="1"/>
  <c r="AX6" i="68"/>
  <c r="AX10" i="68" s="1"/>
  <c r="AW6" i="68"/>
  <c r="AW10" i="68" s="1"/>
  <c r="AI5" i="68"/>
  <c r="AH5" i="68"/>
  <c r="AG5" i="68"/>
  <c r="AF5" i="68"/>
  <c r="AE5" i="68"/>
  <c r="R5" i="68"/>
  <c r="Q5" i="68"/>
  <c r="P5" i="68"/>
  <c r="O5" i="68"/>
  <c r="N5" i="68"/>
  <c r="AI4" i="68"/>
  <c r="AH4" i="68"/>
  <c r="AG4" i="68"/>
  <c r="AF4" i="68"/>
  <c r="AE4" i="68"/>
  <c r="R4" i="68"/>
  <c r="Q4" i="68"/>
  <c r="P4" i="68"/>
  <c r="O4" i="68"/>
  <c r="N4" i="68"/>
  <c r="AH14" i="68" l="1"/>
  <c r="AF13" i="68"/>
  <c r="AI14" i="68"/>
  <c r="R14" i="68"/>
  <c r="CC10" i="68"/>
  <c r="R13" i="68"/>
  <c r="AI13" i="68"/>
  <c r="BQ13" i="68"/>
  <c r="BY13" i="68"/>
  <c r="Q14" i="68"/>
  <c r="BH10" i="68"/>
  <c r="BP10" i="68"/>
  <c r="O13" i="68"/>
  <c r="Q13" i="68"/>
  <c r="AH13" i="68"/>
  <c r="P14" i="68"/>
  <c r="AG14" i="68"/>
  <c r="AZ10" i="68"/>
  <c r="BD10" i="68"/>
  <c r="BL10" i="68"/>
  <c r="P13" i="68"/>
  <c r="AG13" i="68"/>
  <c r="O14" i="68"/>
  <c r="AF14" i="68"/>
  <c r="CE10" i="68"/>
  <c r="AE13" i="68"/>
  <c r="BR10" i="68"/>
  <c r="BV10" i="68"/>
  <c r="BZ10" i="68"/>
  <c r="CD10" i="68"/>
  <c r="AV13" i="68"/>
  <c r="BX13" i="68"/>
  <c r="CB13" i="68"/>
  <c r="CF13" i="68"/>
  <c r="N14" i="68"/>
  <c r="N13" i="68"/>
  <c r="AE14" i="68"/>
  <c r="CF7" i="67"/>
  <c r="CF13" i="67" s="1"/>
  <c r="AU14" i="67"/>
  <c r="AT14" i="67"/>
  <c r="AS14" i="67"/>
  <c r="AR14" i="67"/>
  <c r="AQ14" i="67"/>
  <c r="AP14" i="67"/>
  <c r="AO14" i="67"/>
  <c r="AN14" i="67"/>
  <c r="AM14" i="67"/>
  <c r="AL14" i="67"/>
  <c r="AK14" i="67"/>
  <c r="AJ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AE14" i="67" s="1"/>
  <c r="M14" i="67"/>
  <c r="L14" i="67"/>
  <c r="K14" i="67"/>
  <c r="J14" i="67"/>
  <c r="I14" i="67"/>
  <c r="H14" i="67"/>
  <c r="G14" i="67"/>
  <c r="F14" i="67"/>
  <c r="E14" i="67"/>
  <c r="D14" i="67"/>
  <c r="C14" i="67"/>
  <c r="B14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CD12" i="67"/>
  <c r="CC12" i="67"/>
  <c r="CB12" i="67"/>
  <c r="CA12" i="67"/>
  <c r="BZ12" i="67"/>
  <c r="BY12" i="67"/>
  <c r="BX12" i="67"/>
  <c r="BW12" i="67"/>
  <c r="BV12" i="67"/>
  <c r="BU12" i="67"/>
  <c r="BT12" i="67"/>
  <c r="CE7" i="67"/>
  <c r="CE13" i="67" s="1"/>
  <c r="CD7" i="67"/>
  <c r="CD13" i="67" s="1"/>
  <c r="CC7" i="67"/>
  <c r="CC13" i="67" s="1"/>
  <c r="CB7" i="67"/>
  <c r="CB13" i="67" s="1"/>
  <c r="CA7" i="67"/>
  <c r="CA13" i="67" s="1"/>
  <c r="BZ7" i="67"/>
  <c r="BZ13" i="67" s="1"/>
  <c r="BY7" i="67"/>
  <c r="BY13" i="67" s="1"/>
  <c r="BX7" i="67"/>
  <c r="BX13" i="67" s="1"/>
  <c r="BW7" i="67"/>
  <c r="BW13" i="67" s="1"/>
  <c r="BV7" i="67"/>
  <c r="BV13" i="67" s="1"/>
  <c r="BU7" i="67"/>
  <c r="BU13" i="67" s="1"/>
  <c r="BT7" i="67"/>
  <c r="BT13" i="67" s="1"/>
  <c r="BS7" i="67"/>
  <c r="BS13" i="67" s="1"/>
  <c r="BR7" i="67"/>
  <c r="BR13" i="67" s="1"/>
  <c r="BQ7" i="67"/>
  <c r="BQ10" i="67" s="1"/>
  <c r="BP7" i="67"/>
  <c r="BP13" i="67" s="1"/>
  <c r="BO7" i="67"/>
  <c r="BO13" i="67" s="1"/>
  <c r="BN7" i="67"/>
  <c r="BN13" i="67" s="1"/>
  <c r="BM7" i="67"/>
  <c r="BM13" i="67" s="1"/>
  <c r="BL7" i="67"/>
  <c r="BL13" i="67" s="1"/>
  <c r="BK7" i="67"/>
  <c r="BK13" i="67" s="1"/>
  <c r="BJ7" i="67"/>
  <c r="BJ13" i="67" s="1"/>
  <c r="BI7" i="67"/>
  <c r="BH7" i="67"/>
  <c r="BH13" i="67" s="1"/>
  <c r="BG7" i="67"/>
  <c r="BG13" i="67" s="1"/>
  <c r="BF7" i="67"/>
  <c r="BF13" i="67" s="1"/>
  <c r="BE7" i="67"/>
  <c r="BE13" i="67" s="1"/>
  <c r="BD7" i="67"/>
  <c r="BD13" i="67" s="1"/>
  <c r="BC7" i="67"/>
  <c r="BC13" i="67" s="1"/>
  <c r="BB7" i="67"/>
  <c r="BB13" i="67" s="1"/>
  <c r="BA7" i="67"/>
  <c r="AZ7" i="67"/>
  <c r="AZ13" i="67" s="1"/>
  <c r="AY7" i="67"/>
  <c r="AY13" i="67" s="1"/>
  <c r="AX7" i="67"/>
  <c r="AX13" i="67" s="1"/>
  <c r="AW7" i="67"/>
  <c r="AW13" i="67" s="1"/>
  <c r="AV7" i="67"/>
  <c r="AV13" i="67" s="1"/>
  <c r="AU7" i="67"/>
  <c r="AU13" i="67" s="1"/>
  <c r="AT7" i="67"/>
  <c r="AT13" i="67" s="1"/>
  <c r="AS7" i="67"/>
  <c r="AS13" i="67" s="1"/>
  <c r="AR7" i="67"/>
  <c r="AR13" i="67" s="1"/>
  <c r="AQ7" i="67"/>
  <c r="AQ13" i="67" s="1"/>
  <c r="AP7" i="67"/>
  <c r="AP13" i="67" s="1"/>
  <c r="AO7" i="67"/>
  <c r="AO13" i="67" s="1"/>
  <c r="AN7" i="67"/>
  <c r="AN13" i="67" s="1"/>
  <c r="AM7" i="67"/>
  <c r="AM13" i="67" s="1"/>
  <c r="AL7" i="67"/>
  <c r="AL13" i="67" s="1"/>
  <c r="AK7" i="67"/>
  <c r="AK13" i="67" s="1"/>
  <c r="AJ7" i="67"/>
  <c r="AJ13" i="67" s="1"/>
  <c r="AI7" i="67"/>
  <c r="AH7" i="67"/>
  <c r="AG7" i="67"/>
  <c r="AF7" i="67"/>
  <c r="AE7" i="67"/>
  <c r="R7" i="67"/>
  <c r="Q7" i="67"/>
  <c r="P7" i="67"/>
  <c r="O7" i="67"/>
  <c r="N7" i="67"/>
  <c r="BU6" i="67"/>
  <c r="BU10" i="67" s="1"/>
  <c r="BT6" i="67"/>
  <c r="BT10" i="67" s="1"/>
  <c r="BS6" i="67"/>
  <c r="BS10" i="67" s="1"/>
  <c r="BP6" i="67"/>
  <c r="BO6" i="67"/>
  <c r="BN6" i="67"/>
  <c r="BN10" i="67" s="1"/>
  <c r="BM6" i="67"/>
  <c r="BL6" i="67"/>
  <c r="BK6" i="67"/>
  <c r="BJ6" i="67"/>
  <c r="BJ10" i="67" s="1"/>
  <c r="BI6" i="67"/>
  <c r="BH6" i="67"/>
  <c r="BG6" i="67"/>
  <c r="BF6" i="67"/>
  <c r="BF10" i="67" s="1"/>
  <c r="BE6" i="67"/>
  <c r="BD6" i="67"/>
  <c r="BC6" i="67"/>
  <c r="BB6" i="67"/>
  <c r="BB10" i="67" s="1"/>
  <c r="BA6" i="67"/>
  <c r="AZ6" i="67"/>
  <c r="AY6" i="67"/>
  <c r="AX6" i="67"/>
  <c r="AX10" i="67" s="1"/>
  <c r="AW6" i="67"/>
  <c r="AI5" i="67"/>
  <c r="AH5" i="67"/>
  <c r="AG5" i="67"/>
  <c r="AF5" i="67"/>
  <c r="AE5" i="67"/>
  <c r="R5" i="67"/>
  <c r="Q5" i="67"/>
  <c r="P5" i="67"/>
  <c r="O5" i="67"/>
  <c r="N5" i="67"/>
  <c r="AI4" i="67"/>
  <c r="AH4" i="67"/>
  <c r="AG4" i="67"/>
  <c r="AF4" i="67"/>
  <c r="AE4" i="67"/>
  <c r="R4" i="67"/>
  <c r="Q4" i="67"/>
  <c r="P4" i="67"/>
  <c r="O4" i="67"/>
  <c r="N4" i="67"/>
  <c r="AI13" i="67" l="1"/>
  <c r="R13" i="67"/>
  <c r="R14" i="67"/>
  <c r="AF13" i="67"/>
  <c r="AH13" i="67"/>
  <c r="O14" i="67"/>
  <c r="Q14" i="67"/>
  <c r="CF10" i="67"/>
  <c r="BC10" i="67"/>
  <c r="BK10" i="67"/>
  <c r="BA10" i="67"/>
  <c r="P13" i="67"/>
  <c r="AG13" i="67"/>
  <c r="P14" i="67"/>
  <c r="AG14" i="67"/>
  <c r="CE10" i="67"/>
  <c r="AY10" i="67"/>
  <c r="BG10" i="67"/>
  <c r="BO10" i="67"/>
  <c r="BI10" i="67"/>
  <c r="O13" i="67"/>
  <c r="Q13" i="67"/>
  <c r="AF14" i="67"/>
  <c r="AH14" i="67"/>
  <c r="AW10" i="67"/>
  <c r="BE10" i="67"/>
  <c r="BM10" i="67"/>
  <c r="BY10" i="67"/>
  <c r="BA13" i="67"/>
  <c r="BI13" i="67"/>
  <c r="BQ13" i="67"/>
  <c r="AI14" i="67"/>
  <c r="BR10" i="67"/>
  <c r="BV10" i="67"/>
  <c r="BZ10" i="67"/>
  <c r="CD10" i="67"/>
  <c r="N13" i="67"/>
  <c r="CC10" i="67"/>
  <c r="BW10" i="67"/>
  <c r="CA10" i="67"/>
  <c r="AE13" i="67"/>
  <c r="AV10" i="67"/>
  <c r="AZ10" i="67"/>
  <c r="BD10" i="67"/>
  <c r="BH10" i="67"/>
  <c r="BL10" i="67"/>
  <c r="BP10" i="67"/>
  <c r="BX10" i="67"/>
  <c r="CB10" i="67"/>
  <c r="N14" i="67"/>
  <c r="AU14" i="66"/>
  <c r="AT14" i="66"/>
  <c r="AS14" i="66"/>
  <c r="AR14" i="66"/>
  <c r="AQ14" i="66"/>
  <c r="AP14" i="66"/>
  <c r="AO14" i="66"/>
  <c r="AN14" i="66"/>
  <c r="AM14" i="66"/>
  <c r="AL14" i="66"/>
  <c r="AK14" i="66"/>
  <c r="AJ14" i="66"/>
  <c r="AD14" i="66"/>
  <c r="AC14" i="66"/>
  <c r="AB14" i="66"/>
  <c r="AA14" i="66"/>
  <c r="Z14" i="66"/>
  <c r="Y14" i="66"/>
  <c r="X14" i="66"/>
  <c r="W14" i="66"/>
  <c r="V14" i="66"/>
  <c r="U14" i="66"/>
  <c r="T14" i="66"/>
  <c r="S14" i="66"/>
  <c r="M14" i="66"/>
  <c r="L14" i="66"/>
  <c r="K14" i="66"/>
  <c r="J14" i="66"/>
  <c r="I14" i="66"/>
  <c r="H14" i="66"/>
  <c r="P14" i="66" s="1"/>
  <c r="G14" i="66"/>
  <c r="F14" i="66"/>
  <c r="E14" i="66"/>
  <c r="D14" i="66"/>
  <c r="C14" i="66"/>
  <c r="B14" i="66"/>
  <c r="AD13" i="66"/>
  <c r="AC13" i="66"/>
  <c r="AB13" i="66"/>
  <c r="AA13" i="66"/>
  <c r="Z13" i="66"/>
  <c r="Y13" i="66"/>
  <c r="X13" i="66"/>
  <c r="W13" i="66"/>
  <c r="V13" i="66"/>
  <c r="AF13" i="66" s="1"/>
  <c r="U13" i="66"/>
  <c r="T13" i="66"/>
  <c r="S13" i="66"/>
  <c r="M13" i="66"/>
  <c r="L13" i="66"/>
  <c r="K13" i="66"/>
  <c r="Q13" i="66" s="1"/>
  <c r="J13" i="66"/>
  <c r="I13" i="66"/>
  <c r="H13" i="66"/>
  <c r="P13" i="66" s="1"/>
  <c r="G13" i="66"/>
  <c r="F13" i="66"/>
  <c r="O13" i="66" s="1"/>
  <c r="E13" i="66"/>
  <c r="D13" i="66"/>
  <c r="C13" i="66"/>
  <c r="B13" i="66"/>
  <c r="N13" i="66" s="1"/>
  <c r="CD12" i="66"/>
  <c r="CC12" i="66"/>
  <c r="CB12" i="66"/>
  <c r="CA12" i="66"/>
  <c r="BZ12" i="66"/>
  <c r="BY12" i="66"/>
  <c r="BX12" i="66"/>
  <c r="BW12" i="66"/>
  <c r="BV12" i="66"/>
  <c r="BU12" i="66"/>
  <c r="BT12" i="66"/>
  <c r="CE7" i="66"/>
  <c r="CE13" i="66" s="1"/>
  <c r="CD7" i="66"/>
  <c r="CD10" i="66" s="1"/>
  <c r="CC7" i="66"/>
  <c r="CC13" i="66" s="1"/>
  <c r="CB7" i="66"/>
  <c r="CB13" i="66" s="1"/>
  <c r="CA7" i="66"/>
  <c r="CA10" i="66" s="1"/>
  <c r="BZ7" i="66"/>
  <c r="BZ13" i="66" s="1"/>
  <c r="BY7" i="66"/>
  <c r="BY13" i="66" s="1"/>
  <c r="BX7" i="66"/>
  <c r="BX13" i="66" s="1"/>
  <c r="BW7" i="66"/>
  <c r="BW10" i="66" s="1"/>
  <c r="BV7" i="66"/>
  <c r="BV10" i="66" s="1"/>
  <c r="BU7" i="66"/>
  <c r="BU13" i="66" s="1"/>
  <c r="BT7" i="66"/>
  <c r="BT13" i="66" s="1"/>
  <c r="BS7" i="66"/>
  <c r="BS13" i="66" s="1"/>
  <c r="BR7" i="66"/>
  <c r="BR13" i="66" s="1"/>
  <c r="BQ7" i="66"/>
  <c r="BQ13" i="66" s="1"/>
  <c r="BP7" i="66"/>
  <c r="BP13" i="66" s="1"/>
  <c r="BO7" i="66"/>
  <c r="BN7" i="66"/>
  <c r="BN13" i="66" s="1"/>
  <c r="BM7" i="66"/>
  <c r="BM13" i="66" s="1"/>
  <c r="BL7" i="66"/>
  <c r="BL13" i="66" s="1"/>
  <c r="BK7" i="66"/>
  <c r="BK10" i="66" s="1"/>
  <c r="BJ7" i="66"/>
  <c r="BJ10" i="66" s="1"/>
  <c r="BI7" i="66"/>
  <c r="BI13" i="66" s="1"/>
  <c r="BH7" i="66"/>
  <c r="BH13" i="66" s="1"/>
  <c r="BG7" i="66"/>
  <c r="BG13" i="66" s="1"/>
  <c r="BF7" i="66"/>
  <c r="BF13" i="66" s="1"/>
  <c r="BE7" i="66"/>
  <c r="BE13" i="66" s="1"/>
  <c r="BD7" i="66"/>
  <c r="BD13" i="66" s="1"/>
  <c r="BC7" i="66"/>
  <c r="BC13" i="66" s="1"/>
  <c r="BB7" i="66"/>
  <c r="BB10" i="66" s="1"/>
  <c r="BA7" i="66"/>
  <c r="BA13" i="66" s="1"/>
  <c r="AZ7" i="66"/>
  <c r="AZ13" i="66" s="1"/>
  <c r="AY7" i="66"/>
  <c r="AY13" i="66" s="1"/>
  <c r="AX7" i="66"/>
  <c r="AX13" i="66" s="1"/>
  <c r="AW7" i="66"/>
  <c r="AW13" i="66" s="1"/>
  <c r="AV7" i="66"/>
  <c r="AV13" i="66" s="1"/>
  <c r="AU7" i="66"/>
  <c r="AU13" i="66" s="1"/>
  <c r="AT7" i="66"/>
  <c r="AT13" i="66" s="1"/>
  <c r="AS7" i="66"/>
  <c r="AS13" i="66" s="1"/>
  <c r="AR7" i="66"/>
  <c r="AR13" i="66" s="1"/>
  <c r="AQ7" i="66"/>
  <c r="AQ13" i="66" s="1"/>
  <c r="AP7" i="66"/>
  <c r="AP13" i="66" s="1"/>
  <c r="AO7" i="66"/>
  <c r="AO13" i="66" s="1"/>
  <c r="AN7" i="66"/>
  <c r="AN13" i="66" s="1"/>
  <c r="AM7" i="66"/>
  <c r="AM13" i="66" s="1"/>
  <c r="AL7" i="66"/>
  <c r="AL13" i="66" s="1"/>
  <c r="AK7" i="66"/>
  <c r="AK13" i="66" s="1"/>
  <c r="AJ7" i="66"/>
  <c r="AJ13" i="66" s="1"/>
  <c r="AI7" i="66"/>
  <c r="AH7" i="66"/>
  <c r="AG7" i="66"/>
  <c r="AF7" i="66"/>
  <c r="AE7" i="66"/>
  <c r="R7" i="66"/>
  <c r="Q7" i="66"/>
  <c r="P7" i="66"/>
  <c r="O7" i="66"/>
  <c r="N7" i="66"/>
  <c r="BU6" i="66"/>
  <c r="BU10" i="66" s="1"/>
  <c r="BT6" i="66"/>
  <c r="BT10" i="66" s="1"/>
  <c r="BS6" i="66"/>
  <c r="BS10" i="66" s="1"/>
  <c r="BP6" i="66"/>
  <c r="BP10" i="66" s="1"/>
  <c r="BO6" i="66"/>
  <c r="BN6" i="66"/>
  <c r="BM6" i="66"/>
  <c r="BM10" i="66" s="1"/>
  <c r="BL6" i="66"/>
  <c r="BK6" i="66"/>
  <c r="BJ6" i="66"/>
  <c r="BI6" i="66"/>
  <c r="BH6" i="66"/>
  <c r="BH10" i="66" s="1"/>
  <c r="BG6" i="66"/>
  <c r="BF6" i="66"/>
  <c r="BE6" i="66"/>
  <c r="BE10" i="66" s="1"/>
  <c r="BD6" i="66"/>
  <c r="BC6" i="66"/>
  <c r="BB6" i="66"/>
  <c r="BA6" i="66"/>
  <c r="AZ6" i="66"/>
  <c r="AZ10" i="66" s="1"/>
  <c r="AY6" i="66"/>
  <c r="AX6" i="66"/>
  <c r="AW6" i="66"/>
  <c r="AW10" i="66" s="1"/>
  <c r="AI5" i="66"/>
  <c r="AH5" i="66"/>
  <c r="AG5" i="66"/>
  <c r="AF5" i="66"/>
  <c r="AE5" i="66"/>
  <c r="R5" i="66"/>
  <c r="Q5" i="66"/>
  <c r="P5" i="66"/>
  <c r="O5" i="66"/>
  <c r="N5" i="66"/>
  <c r="AI4" i="66"/>
  <c r="AH4" i="66"/>
  <c r="AG4" i="66"/>
  <c r="AF4" i="66"/>
  <c r="AE4" i="66"/>
  <c r="R4" i="66"/>
  <c r="Q4" i="66"/>
  <c r="P4" i="66"/>
  <c r="O4" i="66"/>
  <c r="N4" i="66"/>
  <c r="BA10" i="66" l="1"/>
  <c r="AG13" i="66"/>
  <c r="Q14" i="66"/>
  <c r="AG14" i="66"/>
  <c r="AH13" i="66"/>
  <c r="BI10" i="66"/>
  <c r="R14" i="66"/>
  <c r="AF14" i="66"/>
  <c r="BD10" i="66"/>
  <c r="BL10" i="66"/>
  <c r="O14" i="66"/>
  <c r="BO10" i="66"/>
  <c r="AI13" i="66"/>
  <c r="AI14" i="66"/>
  <c r="AH14" i="66"/>
  <c r="AX10" i="66"/>
  <c r="BF10" i="66"/>
  <c r="BR10" i="66"/>
  <c r="BZ10" i="66"/>
  <c r="R13" i="66"/>
  <c r="BB13" i="66"/>
  <c r="BJ13" i="66"/>
  <c r="BV13" i="66"/>
  <c r="CD13" i="66"/>
  <c r="AY10" i="66"/>
  <c r="BC10" i="66"/>
  <c r="BG10" i="66"/>
  <c r="AE13" i="66"/>
  <c r="BK13" i="66"/>
  <c r="BO13" i="66"/>
  <c r="BW13" i="66"/>
  <c r="CA13" i="66"/>
  <c r="AV10" i="66"/>
  <c r="BX10" i="66"/>
  <c r="CB10" i="66"/>
  <c r="N14" i="66"/>
  <c r="BN10" i="66"/>
  <c r="BQ10" i="66"/>
  <c r="BY10" i="66"/>
  <c r="CC10" i="66"/>
  <c r="AE14" i="66"/>
  <c r="CE7" i="65"/>
  <c r="CE13" i="65" s="1"/>
  <c r="AU14" i="65" l="1"/>
  <c r="AT14" i="65"/>
  <c r="AS14" i="65"/>
  <c r="AR14" i="65"/>
  <c r="AQ14" i="65"/>
  <c r="AP14" i="65"/>
  <c r="AO14" i="65"/>
  <c r="AN14" i="65"/>
  <c r="AM14" i="65"/>
  <c r="AL14" i="65"/>
  <c r="AK14" i="65"/>
  <c r="AJ14" i="65"/>
  <c r="AD14" i="65"/>
  <c r="AC14" i="65"/>
  <c r="AB14" i="65"/>
  <c r="AA14" i="65"/>
  <c r="Z14" i="65"/>
  <c r="Y14" i="65"/>
  <c r="X14" i="65"/>
  <c r="W14" i="65"/>
  <c r="V14" i="65"/>
  <c r="U14" i="65"/>
  <c r="T14" i="65"/>
  <c r="S14" i="65"/>
  <c r="M14" i="65"/>
  <c r="L14" i="65"/>
  <c r="K14" i="65"/>
  <c r="Q14" i="65" s="1"/>
  <c r="J14" i="65"/>
  <c r="I14" i="65"/>
  <c r="H14" i="65"/>
  <c r="P14" i="65" s="1"/>
  <c r="G14" i="65"/>
  <c r="F14" i="65"/>
  <c r="E14" i="65"/>
  <c r="D14" i="65"/>
  <c r="C14" i="65"/>
  <c r="B14" i="65"/>
  <c r="AD13" i="65"/>
  <c r="AC13" i="65"/>
  <c r="AB13" i="65"/>
  <c r="AA13" i="65"/>
  <c r="Z13" i="65"/>
  <c r="Y13" i="65"/>
  <c r="X13" i="65"/>
  <c r="W13" i="65"/>
  <c r="V13" i="65"/>
  <c r="U13" i="65"/>
  <c r="T13" i="65"/>
  <c r="S13" i="65"/>
  <c r="AI13" i="65" s="1"/>
  <c r="M13" i="65"/>
  <c r="L13" i="65"/>
  <c r="K13" i="65"/>
  <c r="J13" i="65"/>
  <c r="I13" i="65"/>
  <c r="H13" i="65"/>
  <c r="G13" i="65"/>
  <c r="F13" i="65"/>
  <c r="E13" i="65"/>
  <c r="D13" i="65"/>
  <c r="C13" i="65"/>
  <c r="B13" i="65"/>
  <c r="CD12" i="65"/>
  <c r="CC12" i="65"/>
  <c r="CB12" i="65"/>
  <c r="CA12" i="65"/>
  <c r="BZ12" i="65"/>
  <c r="BY12" i="65"/>
  <c r="BX12" i="65"/>
  <c r="BW12" i="65"/>
  <c r="BV12" i="65"/>
  <c r="BU12" i="65"/>
  <c r="BT12" i="65"/>
  <c r="CA10" i="65"/>
  <c r="CD7" i="65"/>
  <c r="CD13" i="65" s="1"/>
  <c r="CC7" i="65"/>
  <c r="CC13" i="65" s="1"/>
  <c r="CB7" i="65"/>
  <c r="CB13" i="65" s="1"/>
  <c r="CA7" i="65"/>
  <c r="CA13" i="65" s="1"/>
  <c r="BZ7" i="65"/>
  <c r="BZ13" i="65" s="1"/>
  <c r="BY7" i="65"/>
  <c r="BY13" i="65" s="1"/>
  <c r="BX7" i="65"/>
  <c r="BX13" i="65" s="1"/>
  <c r="BW7" i="65"/>
  <c r="BW13" i="65" s="1"/>
  <c r="BV7" i="65"/>
  <c r="BV13" i="65" s="1"/>
  <c r="BU7" i="65"/>
  <c r="BU13" i="65" s="1"/>
  <c r="BT7" i="65"/>
  <c r="BT13" i="65" s="1"/>
  <c r="BS7" i="65"/>
  <c r="BS13" i="65" s="1"/>
  <c r="BR7" i="65"/>
  <c r="BR13" i="65" s="1"/>
  <c r="BQ7" i="65"/>
  <c r="BQ13" i="65" s="1"/>
  <c r="BP7" i="65"/>
  <c r="BP13" i="65" s="1"/>
  <c r="BO7" i="65"/>
  <c r="BO13" i="65" s="1"/>
  <c r="BN7" i="65"/>
  <c r="BN13" i="65" s="1"/>
  <c r="BM7" i="65"/>
  <c r="BM13" i="65" s="1"/>
  <c r="BL7" i="65"/>
  <c r="BL13" i="65" s="1"/>
  <c r="BK7" i="65"/>
  <c r="BK13" i="65" s="1"/>
  <c r="BJ7" i="65"/>
  <c r="BJ13" i="65" s="1"/>
  <c r="BI7" i="65"/>
  <c r="BI13" i="65" s="1"/>
  <c r="BH7" i="65"/>
  <c r="BH13" i="65" s="1"/>
  <c r="BG7" i="65"/>
  <c r="BG13" i="65" s="1"/>
  <c r="BF7" i="65"/>
  <c r="BF13" i="65" s="1"/>
  <c r="BE7" i="65"/>
  <c r="BE13" i="65" s="1"/>
  <c r="BD7" i="65"/>
  <c r="BD13" i="65" s="1"/>
  <c r="BC7" i="65"/>
  <c r="BC13" i="65" s="1"/>
  <c r="BB7" i="65"/>
  <c r="BB13" i="65" s="1"/>
  <c r="BA7" i="65"/>
  <c r="BA13" i="65" s="1"/>
  <c r="AZ7" i="65"/>
  <c r="AZ13" i="65" s="1"/>
  <c r="AY7" i="65"/>
  <c r="AY13" i="65" s="1"/>
  <c r="AX7" i="65"/>
  <c r="AX13" i="65" s="1"/>
  <c r="AW7" i="65"/>
  <c r="AW13" i="65" s="1"/>
  <c r="AV7" i="65"/>
  <c r="AV13" i="65" s="1"/>
  <c r="AU7" i="65"/>
  <c r="AU13" i="65" s="1"/>
  <c r="AT7" i="65"/>
  <c r="AT13" i="65" s="1"/>
  <c r="AS7" i="65"/>
  <c r="AS13" i="65" s="1"/>
  <c r="AR7" i="65"/>
  <c r="AR13" i="65" s="1"/>
  <c r="AQ7" i="65"/>
  <c r="AQ13" i="65" s="1"/>
  <c r="AP7" i="65"/>
  <c r="AP13" i="65" s="1"/>
  <c r="AO7" i="65"/>
  <c r="AO13" i="65" s="1"/>
  <c r="AN7" i="65"/>
  <c r="AN13" i="65" s="1"/>
  <c r="AM7" i="65"/>
  <c r="AM13" i="65" s="1"/>
  <c r="AL7" i="65"/>
  <c r="AL13" i="65" s="1"/>
  <c r="AK7" i="65"/>
  <c r="AK13" i="65" s="1"/>
  <c r="AJ7" i="65"/>
  <c r="AJ13" i="65" s="1"/>
  <c r="AI7" i="65"/>
  <c r="AH7" i="65"/>
  <c r="AG7" i="65"/>
  <c r="AF7" i="65"/>
  <c r="AE7" i="65"/>
  <c r="R7" i="65"/>
  <c r="Q7" i="65"/>
  <c r="P7" i="65"/>
  <c r="O7" i="65"/>
  <c r="N7" i="65"/>
  <c r="BU6" i="65"/>
  <c r="BU10" i="65" s="1"/>
  <c r="BT6" i="65"/>
  <c r="BT10" i="65" s="1"/>
  <c r="BS6" i="65"/>
  <c r="BS10" i="65" s="1"/>
  <c r="BP6" i="65"/>
  <c r="BO6" i="65"/>
  <c r="BN6" i="65"/>
  <c r="BN10" i="65" s="1"/>
  <c r="BM6" i="65"/>
  <c r="BM10" i="65" s="1"/>
  <c r="BL6" i="65"/>
  <c r="BL10" i="65" s="1"/>
  <c r="BK6" i="65"/>
  <c r="BJ6" i="65"/>
  <c r="BJ10" i="65" s="1"/>
  <c r="BI6" i="65"/>
  <c r="BH6" i="65"/>
  <c r="BG6" i="65"/>
  <c r="BF6" i="65"/>
  <c r="BF10" i="65" s="1"/>
  <c r="BE6" i="65"/>
  <c r="BE10" i="65" s="1"/>
  <c r="BD6" i="65"/>
  <c r="BD10" i="65" s="1"/>
  <c r="BC6" i="65"/>
  <c r="BB6" i="65"/>
  <c r="BB10" i="65" s="1"/>
  <c r="BA6" i="65"/>
  <c r="AZ6" i="65"/>
  <c r="AY6" i="65"/>
  <c r="AX6" i="65"/>
  <c r="AX10" i="65" s="1"/>
  <c r="AW6" i="65"/>
  <c r="AW10" i="65" s="1"/>
  <c r="AI5" i="65"/>
  <c r="AH5" i="65"/>
  <c r="AG5" i="65"/>
  <c r="AF5" i="65"/>
  <c r="AE5" i="65"/>
  <c r="R5" i="65"/>
  <c r="Q5" i="65"/>
  <c r="P5" i="65"/>
  <c r="O5" i="65"/>
  <c r="N5" i="65"/>
  <c r="AI4" i="65"/>
  <c r="AH4" i="65"/>
  <c r="AG4" i="65"/>
  <c r="AF4" i="65"/>
  <c r="AE4" i="65"/>
  <c r="R4" i="65"/>
  <c r="Q4" i="65"/>
  <c r="P4" i="65"/>
  <c r="O4" i="65"/>
  <c r="N4" i="65"/>
  <c r="AH14" i="65" l="1"/>
  <c r="AZ10" i="65"/>
  <c r="BH10" i="65"/>
  <c r="BP10" i="65"/>
  <c r="AF13" i="65"/>
  <c r="BI10" i="65"/>
  <c r="R13" i="65"/>
  <c r="BG10" i="65"/>
  <c r="AF14" i="65"/>
  <c r="AY10" i="65"/>
  <c r="BA10" i="65"/>
  <c r="BC10" i="65"/>
  <c r="BK10" i="65"/>
  <c r="AG14" i="65"/>
  <c r="BO10" i="65"/>
  <c r="O13" i="65"/>
  <c r="Q13" i="65"/>
  <c r="BW10" i="65"/>
  <c r="P13" i="65"/>
  <c r="AG13" i="65"/>
  <c r="R14" i="65"/>
  <c r="AI14" i="65"/>
  <c r="BQ10" i="65"/>
  <c r="BY10" i="65"/>
  <c r="AH13" i="65"/>
  <c r="O14" i="65"/>
  <c r="CC10" i="65"/>
  <c r="BR10" i="65"/>
  <c r="BV10" i="65"/>
  <c r="BZ10" i="65"/>
  <c r="CD10" i="65"/>
  <c r="N13" i="65"/>
  <c r="AE13" i="65"/>
  <c r="N14" i="65"/>
  <c r="AV10" i="65"/>
  <c r="BX10" i="65"/>
  <c r="CB10" i="65"/>
  <c r="AE14" i="65"/>
  <c r="AU14" i="64"/>
  <c r="AT14" i="64"/>
  <c r="AS14" i="64"/>
  <c r="AR14" i="64"/>
  <c r="AQ14" i="64"/>
  <c r="AP14" i="64"/>
  <c r="AO14" i="64"/>
  <c r="AN14" i="64"/>
  <c r="AM14" i="64"/>
  <c r="AL14" i="64"/>
  <c r="AK14" i="64"/>
  <c r="AJ14" i="64"/>
  <c r="AD14" i="64"/>
  <c r="AC14" i="64"/>
  <c r="AB14" i="64"/>
  <c r="AA14" i="64"/>
  <c r="Z14" i="64"/>
  <c r="Y14" i="64"/>
  <c r="X14" i="64"/>
  <c r="AF14" i="64" s="1"/>
  <c r="W14" i="64"/>
  <c r="V14" i="64"/>
  <c r="U14" i="64"/>
  <c r="T14" i="64"/>
  <c r="S14" i="64"/>
  <c r="AI14" i="64" s="1"/>
  <c r="M14" i="64"/>
  <c r="L14" i="64"/>
  <c r="Q14" i="64" s="1"/>
  <c r="K14" i="64"/>
  <c r="J14" i="64"/>
  <c r="I14" i="64"/>
  <c r="H14" i="64"/>
  <c r="P14" i="64" s="1"/>
  <c r="G14" i="64"/>
  <c r="F14" i="64"/>
  <c r="E14" i="64"/>
  <c r="D14" i="64"/>
  <c r="C14" i="64"/>
  <c r="B14" i="64"/>
  <c r="BU13" i="64"/>
  <c r="BE13" i="64"/>
  <c r="AO13" i="64"/>
  <c r="AD13" i="64"/>
  <c r="AC13" i="64"/>
  <c r="AH13" i="64" s="1"/>
  <c r="AB13" i="64"/>
  <c r="AA13" i="64"/>
  <c r="Z13" i="64"/>
  <c r="Y13" i="64"/>
  <c r="X13" i="64"/>
  <c r="W13" i="64"/>
  <c r="V13" i="64"/>
  <c r="AF13" i="64" s="1"/>
  <c r="U13" i="64"/>
  <c r="T13" i="64"/>
  <c r="S13" i="64"/>
  <c r="AI13" i="64" s="1"/>
  <c r="M13" i="64"/>
  <c r="L13" i="64"/>
  <c r="K13" i="64"/>
  <c r="J13" i="64"/>
  <c r="I13" i="64"/>
  <c r="H13" i="64"/>
  <c r="P13" i="64" s="1"/>
  <c r="G13" i="64"/>
  <c r="F13" i="64"/>
  <c r="E13" i="64"/>
  <c r="D13" i="64"/>
  <c r="C13" i="64"/>
  <c r="B13" i="64"/>
  <c r="CD12" i="64"/>
  <c r="CC12" i="64"/>
  <c r="CB12" i="64"/>
  <c r="CA12" i="64"/>
  <c r="BZ12" i="64"/>
  <c r="BY12" i="64"/>
  <c r="BX12" i="64"/>
  <c r="BW12" i="64"/>
  <c r="BV12" i="64"/>
  <c r="BU12" i="64"/>
  <c r="BT12" i="64"/>
  <c r="CD10" i="64"/>
  <c r="BZ10" i="64"/>
  <c r="BR10" i="64"/>
  <c r="BM10" i="64"/>
  <c r="BE10" i="64"/>
  <c r="CD7" i="64"/>
  <c r="CD13" i="64" s="1"/>
  <c r="CC7" i="64"/>
  <c r="CC13" i="64" s="1"/>
  <c r="CB7" i="64"/>
  <c r="CB13" i="64" s="1"/>
  <c r="CA7" i="64"/>
  <c r="CA13" i="64" s="1"/>
  <c r="BZ7" i="64"/>
  <c r="BZ13" i="64" s="1"/>
  <c r="BY7" i="64"/>
  <c r="BY10" i="64" s="1"/>
  <c r="BX7" i="64"/>
  <c r="BX13" i="64" s="1"/>
  <c r="BW7" i="64"/>
  <c r="BW13" i="64" s="1"/>
  <c r="BV7" i="64"/>
  <c r="BV10" i="64" s="1"/>
  <c r="BU7" i="64"/>
  <c r="BT7" i="64"/>
  <c r="BT13" i="64" s="1"/>
  <c r="BS7" i="64"/>
  <c r="BS13" i="64" s="1"/>
  <c r="BR7" i="64"/>
  <c r="BR13" i="64" s="1"/>
  <c r="BQ7" i="64"/>
  <c r="BQ13" i="64" s="1"/>
  <c r="BP7" i="64"/>
  <c r="BP13" i="64" s="1"/>
  <c r="BO7" i="64"/>
  <c r="BO13" i="64" s="1"/>
  <c r="BN7" i="64"/>
  <c r="BN13" i="64" s="1"/>
  <c r="BM7" i="64"/>
  <c r="BM13" i="64" s="1"/>
  <c r="BL7" i="64"/>
  <c r="BL13" i="64" s="1"/>
  <c r="BK7" i="64"/>
  <c r="BK13" i="64" s="1"/>
  <c r="BJ7" i="64"/>
  <c r="BJ13" i="64" s="1"/>
  <c r="BI7" i="64"/>
  <c r="BI13" i="64" s="1"/>
  <c r="BH7" i="64"/>
  <c r="BH13" i="64" s="1"/>
  <c r="BG7" i="64"/>
  <c r="BG13" i="64" s="1"/>
  <c r="BF7" i="64"/>
  <c r="BF13" i="64" s="1"/>
  <c r="BE7" i="64"/>
  <c r="BD7" i="64"/>
  <c r="BD13" i="64" s="1"/>
  <c r="BC7" i="64"/>
  <c r="BC13" i="64" s="1"/>
  <c r="BB7" i="64"/>
  <c r="BB13" i="64" s="1"/>
  <c r="BA7" i="64"/>
  <c r="BA13" i="64" s="1"/>
  <c r="AZ7" i="64"/>
  <c r="AZ13" i="64" s="1"/>
  <c r="AY7" i="64"/>
  <c r="AY13" i="64" s="1"/>
  <c r="AX7" i="64"/>
  <c r="AX13" i="64" s="1"/>
  <c r="AW7" i="64"/>
  <c r="AW13" i="64" s="1"/>
  <c r="AV7" i="64"/>
  <c r="AV13" i="64" s="1"/>
  <c r="AU7" i="64"/>
  <c r="AU13" i="64" s="1"/>
  <c r="AT7" i="64"/>
  <c r="AT13" i="64" s="1"/>
  <c r="AS7" i="64"/>
  <c r="AS13" i="64" s="1"/>
  <c r="AR7" i="64"/>
  <c r="AR13" i="64" s="1"/>
  <c r="AQ7" i="64"/>
  <c r="AQ13" i="64" s="1"/>
  <c r="AP7" i="64"/>
  <c r="AP13" i="64" s="1"/>
  <c r="AO7" i="64"/>
  <c r="AN7" i="64"/>
  <c r="AN13" i="64" s="1"/>
  <c r="AM7" i="64"/>
  <c r="AM13" i="64" s="1"/>
  <c r="AL7" i="64"/>
  <c r="AL13" i="64" s="1"/>
  <c r="AK7" i="64"/>
  <c r="AK13" i="64" s="1"/>
  <c r="AJ7" i="64"/>
  <c r="AJ13" i="64" s="1"/>
  <c r="AI7" i="64"/>
  <c r="AH7" i="64"/>
  <c r="AG7" i="64"/>
  <c r="AF7" i="64"/>
  <c r="AE7" i="64"/>
  <c r="R7" i="64"/>
  <c r="Q7" i="64"/>
  <c r="P7" i="64"/>
  <c r="O7" i="64"/>
  <c r="N7" i="64"/>
  <c r="BU6" i="64"/>
  <c r="BU10" i="64" s="1"/>
  <c r="BT6" i="64"/>
  <c r="BT10" i="64" s="1"/>
  <c r="BS6" i="64"/>
  <c r="BS10" i="64" s="1"/>
  <c r="BP6" i="64"/>
  <c r="BP10" i="64" s="1"/>
  <c r="BO6" i="64"/>
  <c r="BO10" i="64" s="1"/>
  <c r="BN6" i="64"/>
  <c r="BN10" i="64" s="1"/>
  <c r="BM6" i="64"/>
  <c r="BL6" i="64"/>
  <c r="BL10" i="64" s="1"/>
  <c r="BK6" i="64"/>
  <c r="BJ6" i="64"/>
  <c r="BJ10" i="64" s="1"/>
  <c r="BI6" i="64"/>
  <c r="BI10" i="64" s="1"/>
  <c r="BH6" i="64"/>
  <c r="BH10" i="64" s="1"/>
  <c r="BG6" i="64"/>
  <c r="BG10" i="64" s="1"/>
  <c r="BF6" i="64"/>
  <c r="BF10" i="64" s="1"/>
  <c r="BE6" i="64"/>
  <c r="BD6" i="64"/>
  <c r="BD10" i="64" s="1"/>
  <c r="BC6" i="64"/>
  <c r="BB6" i="64"/>
  <c r="BB10" i="64" s="1"/>
  <c r="BA6" i="64"/>
  <c r="BA10" i="64" s="1"/>
  <c r="AZ6" i="64"/>
  <c r="AZ10" i="64" s="1"/>
  <c r="AY6" i="64"/>
  <c r="AY10" i="64" s="1"/>
  <c r="AX6" i="64"/>
  <c r="AX10" i="64" s="1"/>
  <c r="AW6" i="64"/>
  <c r="AW10" i="64" s="1"/>
  <c r="AI5" i="64"/>
  <c r="AH5" i="64"/>
  <c r="AG5" i="64"/>
  <c r="AF5" i="64"/>
  <c r="AE5" i="64"/>
  <c r="R5" i="64"/>
  <c r="Q5" i="64"/>
  <c r="P5" i="64"/>
  <c r="O5" i="64"/>
  <c r="N5" i="64"/>
  <c r="AI4" i="64"/>
  <c r="AH4" i="64"/>
  <c r="AG4" i="64"/>
  <c r="AF4" i="64"/>
  <c r="AE4" i="64"/>
  <c r="R4" i="64"/>
  <c r="Q4" i="64"/>
  <c r="P4" i="64"/>
  <c r="O4" i="64"/>
  <c r="N4" i="64"/>
  <c r="AG13" i="64" l="1"/>
  <c r="AG14" i="64"/>
  <c r="CC10" i="64"/>
  <c r="O13" i="64"/>
  <c r="Q13" i="64"/>
  <c r="BV13" i="64"/>
  <c r="O14" i="64"/>
  <c r="BY13" i="64"/>
  <c r="BQ10" i="64"/>
  <c r="AH14" i="64"/>
  <c r="BK10" i="64"/>
  <c r="BC10" i="64"/>
  <c r="N13" i="64"/>
  <c r="R14" i="64"/>
  <c r="R13" i="64"/>
  <c r="BW10" i="64"/>
  <c r="CA10" i="64"/>
  <c r="AE13" i="64"/>
  <c r="N14" i="64"/>
  <c r="AV10" i="64"/>
  <c r="BX10" i="64"/>
  <c r="CB10" i="64"/>
  <c r="AE14" i="64"/>
  <c r="CD7" i="63"/>
  <c r="CD10" i="63" s="1"/>
  <c r="CD12" i="63"/>
  <c r="AU14" i="63"/>
  <c r="AT14" i="63"/>
  <c r="AS14" i="63"/>
  <c r="AR14" i="63"/>
  <c r="AQ14" i="63"/>
  <c r="AP14" i="63"/>
  <c r="AO14" i="63"/>
  <c r="AN14" i="63"/>
  <c r="AM14" i="63"/>
  <c r="AL14" i="63"/>
  <c r="AK14" i="63"/>
  <c r="AJ14" i="63"/>
  <c r="AD14" i="63"/>
  <c r="AC14" i="63"/>
  <c r="AB14" i="63"/>
  <c r="AA14" i="63"/>
  <c r="Z14" i="63"/>
  <c r="Y14" i="63"/>
  <c r="AG14" i="63" s="1"/>
  <c r="X14" i="63"/>
  <c r="W14" i="63"/>
  <c r="V14" i="63"/>
  <c r="U14" i="63"/>
  <c r="T14" i="63"/>
  <c r="S14" i="63"/>
  <c r="M14" i="63"/>
  <c r="L14" i="63"/>
  <c r="K14" i="63"/>
  <c r="J14" i="63"/>
  <c r="I14" i="63"/>
  <c r="H14" i="63"/>
  <c r="P14" i="63" s="1"/>
  <c r="G14" i="63"/>
  <c r="F14" i="63"/>
  <c r="E14" i="63"/>
  <c r="D14" i="63"/>
  <c r="C14" i="63"/>
  <c r="B14" i="63"/>
  <c r="AD13" i="63"/>
  <c r="AC13" i="63"/>
  <c r="AB13" i="63"/>
  <c r="AA13" i="63"/>
  <c r="Z13" i="63"/>
  <c r="Y13" i="63"/>
  <c r="AG13" i="63" s="1"/>
  <c r="X13" i="63"/>
  <c r="W13" i="63"/>
  <c r="V13" i="63"/>
  <c r="U13" i="63"/>
  <c r="T13" i="63"/>
  <c r="S13" i="63"/>
  <c r="M13" i="63"/>
  <c r="L13" i="63"/>
  <c r="Q13" i="63" s="1"/>
  <c r="K13" i="63"/>
  <c r="J13" i="63"/>
  <c r="I13" i="63"/>
  <c r="H13" i="63"/>
  <c r="P13" i="63" s="1"/>
  <c r="G13" i="63"/>
  <c r="F13" i="63"/>
  <c r="E13" i="63"/>
  <c r="D13" i="63"/>
  <c r="C13" i="63"/>
  <c r="B13" i="63"/>
  <c r="CC12" i="63"/>
  <c r="CB12" i="63"/>
  <c r="CA12" i="63"/>
  <c r="BZ12" i="63"/>
  <c r="BY12" i="63"/>
  <c r="BX12" i="63"/>
  <c r="BW12" i="63"/>
  <c r="BV12" i="63"/>
  <c r="BU12" i="63"/>
  <c r="BT12" i="63"/>
  <c r="BV10" i="63"/>
  <c r="CC7" i="63"/>
  <c r="CC10" i="63" s="1"/>
  <c r="CB7" i="63"/>
  <c r="CB13" i="63" s="1"/>
  <c r="CA7" i="63"/>
  <c r="CA13" i="63" s="1"/>
  <c r="BZ7" i="63"/>
  <c r="BZ13" i="63" s="1"/>
  <c r="BY7" i="63"/>
  <c r="BY10" i="63" s="1"/>
  <c r="BX7" i="63"/>
  <c r="BX13" i="63" s="1"/>
  <c r="BW7" i="63"/>
  <c r="BW13" i="63" s="1"/>
  <c r="BV7" i="63"/>
  <c r="BV13" i="63" s="1"/>
  <c r="BU7" i="63"/>
  <c r="BU13" i="63" s="1"/>
  <c r="BT7" i="63"/>
  <c r="BT13" i="63" s="1"/>
  <c r="BS7" i="63"/>
  <c r="BS13" i="63" s="1"/>
  <c r="BR7" i="63"/>
  <c r="BR13" i="63" s="1"/>
  <c r="BQ7" i="63"/>
  <c r="BQ10" i="63" s="1"/>
  <c r="BP7" i="63"/>
  <c r="BP13" i="63" s="1"/>
  <c r="BO7" i="63"/>
  <c r="BO13" i="63" s="1"/>
  <c r="BN7" i="63"/>
  <c r="BN13" i="63" s="1"/>
  <c r="BM7" i="63"/>
  <c r="BM13" i="63" s="1"/>
  <c r="BL7" i="63"/>
  <c r="BL13" i="63" s="1"/>
  <c r="BK7" i="63"/>
  <c r="BK13" i="63" s="1"/>
  <c r="BJ7" i="63"/>
  <c r="BJ13" i="63" s="1"/>
  <c r="BI7" i="63"/>
  <c r="BI13" i="63" s="1"/>
  <c r="BH7" i="63"/>
  <c r="BH13" i="63" s="1"/>
  <c r="BG7" i="63"/>
  <c r="BG13" i="63" s="1"/>
  <c r="BF7" i="63"/>
  <c r="BF13" i="63" s="1"/>
  <c r="BE7" i="63"/>
  <c r="BE13" i="63" s="1"/>
  <c r="BD7" i="63"/>
  <c r="BD13" i="63" s="1"/>
  <c r="BC7" i="63"/>
  <c r="BC13" i="63" s="1"/>
  <c r="BB7" i="63"/>
  <c r="BB13" i="63" s="1"/>
  <c r="BA7" i="63"/>
  <c r="BA13" i="63" s="1"/>
  <c r="AZ7" i="63"/>
  <c r="AZ13" i="63" s="1"/>
  <c r="AY7" i="63"/>
  <c r="AY13" i="63" s="1"/>
  <c r="AX7" i="63"/>
  <c r="AX13" i="63" s="1"/>
  <c r="AW7" i="63"/>
  <c r="AW13" i="63" s="1"/>
  <c r="AV7" i="63"/>
  <c r="AV10" i="63" s="1"/>
  <c r="AU7" i="63"/>
  <c r="AU13" i="63" s="1"/>
  <c r="AT7" i="63"/>
  <c r="AT13" i="63" s="1"/>
  <c r="AS7" i="63"/>
  <c r="AS13" i="63" s="1"/>
  <c r="AR7" i="63"/>
  <c r="AR13" i="63" s="1"/>
  <c r="AQ7" i="63"/>
  <c r="AQ13" i="63" s="1"/>
  <c r="AP7" i="63"/>
  <c r="AP13" i="63" s="1"/>
  <c r="AO7" i="63"/>
  <c r="AO13" i="63" s="1"/>
  <c r="AN7" i="63"/>
  <c r="AN13" i="63" s="1"/>
  <c r="AM7" i="63"/>
  <c r="AM13" i="63" s="1"/>
  <c r="AL7" i="63"/>
  <c r="AL13" i="63" s="1"/>
  <c r="AK7" i="63"/>
  <c r="AK13" i="63" s="1"/>
  <c r="AJ7" i="63"/>
  <c r="AJ13" i="63" s="1"/>
  <c r="AI7" i="63"/>
  <c r="AH7" i="63"/>
  <c r="AG7" i="63"/>
  <c r="AF7" i="63"/>
  <c r="AE7" i="63"/>
  <c r="R7" i="63"/>
  <c r="Q7" i="63"/>
  <c r="P7" i="63"/>
  <c r="O7" i="63"/>
  <c r="N7" i="63"/>
  <c r="BU6" i="63"/>
  <c r="BU10" i="63" s="1"/>
  <c r="BT6" i="63"/>
  <c r="BT10" i="63" s="1"/>
  <c r="BS6" i="63"/>
  <c r="BS10" i="63" s="1"/>
  <c r="BP6" i="63"/>
  <c r="BO6" i="63"/>
  <c r="BO10" i="63" s="1"/>
  <c r="BN6" i="63"/>
  <c r="BN10" i="63" s="1"/>
  <c r="BM6" i="63"/>
  <c r="BM10" i="63" s="1"/>
  <c r="BL6" i="63"/>
  <c r="BL10" i="63" s="1"/>
  <c r="BK6" i="63"/>
  <c r="BK10" i="63" s="1"/>
  <c r="BJ6" i="63"/>
  <c r="BJ10" i="63" s="1"/>
  <c r="BI6" i="63"/>
  <c r="BI10" i="63" s="1"/>
  <c r="BH6" i="63"/>
  <c r="BG6" i="63"/>
  <c r="BG10" i="63" s="1"/>
  <c r="BF6" i="63"/>
  <c r="BF10" i="63" s="1"/>
  <c r="BE6" i="63"/>
  <c r="BE10" i="63" s="1"/>
  <c r="BD6" i="63"/>
  <c r="BD10" i="63" s="1"/>
  <c r="BC6" i="63"/>
  <c r="BC10" i="63" s="1"/>
  <c r="BB6" i="63"/>
  <c r="BB10" i="63" s="1"/>
  <c r="BA6" i="63"/>
  <c r="BA10" i="63" s="1"/>
  <c r="AZ6" i="63"/>
  <c r="AY6" i="63"/>
  <c r="AY10" i="63" s="1"/>
  <c r="AX6" i="63"/>
  <c r="AX10" i="63" s="1"/>
  <c r="AW6" i="63"/>
  <c r="AW10" i="63" s="1"/>
  <c r="AI5" i="63"/>
  <c r="AH5" i="63"/>
  <c r="AG5" i="63"/>
  <c r="AF5" i="63"/>
  <c r="AE5" i="63"/>
  <c r="R5" i="63"/>
  <c r="Q5" i="63"/>
  <c r="P5" i="63"/>
  <c r="O5" i="63"/>
  <c r="N5" i="63"/>
  <c r="AI4" i="63"/>
  <c r="AH4" i="63"/>
  <c r="AG4" i="63"/>
  <c r="AF4" i="63"/>
  <c r="AE4" i="63"/>
  <c r="R4" i="63"/>
  <c r="Q4" i="63"/>
  <c r="P4" i="63"/>
  <c r="O4" i="63"/>
  <c r="N4" i="63"/>
  <c r="AZ10" i="63" l="1"/>
  <c r="BH10" i="63"/>
  <c r="BP10" i="63"/>
  <c r="R13" i="63"/>
  <c r="R14" i="63"/>
  <c r="AF13" i="63"/>
  <c r="Q14" i="63"/>
  <c r="AF14" i="63"/>
  <c r="O13" i="63"/>
  <c r="O14" i="63"/>
  <c r="BR10" i="63"/>
  <c r="AI13" i="63"/>
  <c r="AI14" i="63"/>
  <c r="CD13" i="63"/>
  <c r="AH13" i="63"/>
  <c r="AH14" i="63"/>
  <c r="BZ10" i="63"/>
  <c r="AV13" i="63"/>
  <c r="BW10" i="63"/>
  <c r="CA10" i="63"/>
  <c r="BQ13" i="63"/>
  <c r="BY13" i="63"/>
  <c r="CC13" i="63"/>
  <c r="BX10" i="63"/>
  <c r="CB10" i="63"/>
  <c r="N13" i="63"/>
  <c r="N14" i="63"/>
  <c r="AE13" i="63"/>
  <c r="AE14" i="63"/>
  <c r="AU14" i="62"/>
  <c r="AT14" i="62"/>
  <c r="AS14" i="62"/>
  <c r="AR14" i="62"/>
  <c r="AQ14" i="62"/>
  <c r="AP14" i="62"/>
  <c r="AO14" i="62"/>
  <c r="AN14" i="62"/>
  <c r="AM14" i="62"/>
  <c r="AL14" i="62"/>
  <c r="AK14" i="62"/>
  <c r="AJ14" i="62"/>
  <c r="AD14" i="62"/>
  <c r="AC14" i="62"/>
  <c r="AB14" i="62"/>
  <c r="AH14" i="62" s="1"/>
  <c r="AA14" i="62"/>
  <c r="Z14" i="62"/>
  <c r="Y14" i="62"/>
  <c r="X14" i="62"/>
  <c r="AF14" i="62" s="1"/>
  <c r="W14" i="62"/>
  <c r="V14" i="62"/>
  <c r="U14" i="62"/>
  <c r="T14" i="62"/>
  <c r="S14" i="62"/>
  <c r="M14" i="62"/>
  <c r="L14" i="62"/>
  <c r="K14" i="62"/>
  <c r="J14" i="62"/>
  <c r="I14" i="62"/>
  <c r="H14" i="62"/>
  <c r="G14" i="62"/>
  <c r="F14" i="62"/>
  <c r="E14" i="62"/>
  <c r="O14" i="62" s="1"/>
  <c r="D14" i="62"/>
  <c r="C14" i="62"/>
  <c r="B14" i="62"/>
  <c r="AD13" i="62"/>
  <c r="AC13" i="62"/>
  <c r="AB13" i="62"/>
  <c r="AH13" i="62" s="1"/>
  <c r="AA13" i="62"/>
  <c r="Z13" i="62"/>
  <c r="Y13" i="62"/>
  <c r="X13" i="62"/>
  <c r="AF13" i="62" s="1"/>
  <c r="W13" i="62"/>
  <c r="V13" i="62"/>
  <c r="U13" i="62"/>
  <c r="T13" i="62"/>
  <c r="S13" i="62"/>
  <c r="M13" i="62"/>
  <c r="L13" i="62"/>
  <c r="K13" i="62"/>
  <c r="J13" i="62"/>
  <c r="I13" i="62"/>
  <c r="H13" i="62"/>
  <c r="G13" i="62"/>
  <c r="F13" i="62"/>
  <c r="E13" i="62"/>
  <c r="O13" i="62" s="1"/>
  <c r="D13" i="62"/>
  <c r="C13" i="62"/>
  <c r="B13" i="62"/>
  <c r="CC12" i="62"/>
  <c r="CB12" i="62"/>
  <c r="CA12" i="62"/>
  <c r="BZ12" i="62"/>
  <c r="BY12" i="62"/>
  <c r="BX12" i="62"/>
  <c r="BW12" i="62"/>
  <c r="BV12" i="62"/>
  <c r="BU12" i="62"/>
  <c r="BT12" i="62"/>
  <c r="BS10" i="62"/>
  <c r="BR10" i="62"/>
  <c r="CC7" i="62"/>
  <c r="CC10" i="62" s="1"/>
  <c r="CB7" i="62"/>
  <c r="CB13" i="62" s="1"/>
  <c r="CA7" i="62"/>
  <c r="CA13" i="62" s="1"/>
  <c r="BZ7" i="62"/>
  <c r="BZ13" i="62" s="1"/>
  <c r="BY7" i="62"/>
  <c r="BY10" i="62" s="1"/>
  <c r="BX7" i="62"/>
  <c r="BX10" i="62" s="1"/>
  <c r="BW7" i="62"/>
  <c r="BW13" i="62" s="1"/>
  <c r="BV7" i="62"/>
  <c r="BV13" i="62" s="1"/>
  <c r="BU7" i="62"/>
  <c r="BU13" i="62" s="1"/>
  <c r="BT7" i="62"/>
  <c r="BT13" i="62" s="1"/>
  <c r="BS7" i="62"/>
  <c r="BS13" i="62" s="1"/>
  <c r="BR7" i="62"/>
  <c r="BR13" i="62" s="1"/>
  <c r="BQ7" i="62"/>
  <c r="BQ10" i="62" s="1"/>
  <c r="BP7" i="62"/>
  <c r="BP13" i="62" s="1"/>
  <c r="BO7" i="62"/>
  <c r="BO13" i="62" s="1"/>
  <c r="BN7" i="62"/>
  <c r="BN13" i="62" s="1"/>
  <c r="BM7" i="62"/>
  <c r="BM13" i="62" s="1"/>
  <c r="BL7" i="62"/>
  <c r="BL13" i="62" s="1"/>
  <c r="BK7" i="62"/>
  <c r="BK13" i="62" s="1"/>
  <c r="BJ7" i="62"/>
  <c r="BJ13" i="62" s="1"/>
  <c r="BI7" i="62"/>
  <c r="BI13" i="62" s="1"/>
  <c r="BH7" i="62"/>
  <c r="BH13" i="62" s="1"/>
  <c r="BG7" i="62"/>
  <c r="BG13" i="62" s="1"/>
  <c r="BF7" i="62"/>
  <c r="BF13" i="62" s="1"/>
  <c r="BE7" i="62"/>
  <c r="BE13" i="62" s="1"/>
  <c r="BD7" i="62"/>
  <c r="BD13" i="62" s="1"/>
  <c r="BC7" i="62"/>
  <c r="BC13" i="62" s="1"/>
  <c r="BB7" i="62"/>
  <c r="BB13" i="62" s="1"/>
  <c r="BA7" i="62"/>
  <c r="BA13" i="62" s="1"/>
  <c r="AZ7" i="62"/>
  <c r="AZ13" i="62" s="1"/>
  <c r="AY7" i="62"/>
  <c r="AY13" i="62" s="1"/>
  <c r="AX7" i="62"/>
  <c r="AX13" i="62" s="1"/>
  <c r="AW7" i="62"/>
  <c r="AW13" i="62" s="1"/>
  <c r="AV7" i="62"/>
  <c r="AV10" i="62" s="1"/>
  <c r="AU7" i="62"/>
  <c r="AU13" i="62" s="1"/>
  <c r="AT7" i="62"/>
  <c r="AT13" i="62" s="1"/>
  <c r="AS7" i="62"/>
  <c r="AS13" i="62" s="1"/>
  <c r="AR7" i="62"/>
  <c r="AR13" i="62" s="1"/>
  <c r="AQ7" i="62"/>
  <c r="AQ13" i="62" s="1"/>
  <c r="AP7" i="62"/>
  <c r="AP13" i="62" s="1"/>
  <c r="AO7" i="62"/>
  <c r="AO13" i="62" s="1"/>
  <c r="AN7" i="62"/>
  <c r="AN13" i="62" s="1"/>
  <c r="AM7" i="62"/>
  <c r="AM13" i="62" s="1"/>
  <c r="AL7" i="62"/>
  <c r="AL13" i="62" s="1"/>
  <c r="AK7" i="62"/>
  <c r="AK13" i="62" s="1"/>
  <c r="AJ7" i="62"/>
  <c r="AJ13" i="62" s="1"/>
  <c r="AI7" i="62"/>
  <c r="AH7" i="62"/>
  <c r="AG7" i="62"/>
  <c r="AF7" i="62"/>
  <c r="AE7" i="62"/>
  <c r="R7" i="62"/>
  <c r="Q7" i="62"/>
  <c r="P7" i="62"/>
  <c r="O7" i="62"/>
  <c r="N7" i="62"/>
  <c r="BU6" i="62"/>
  <c r="BU10" i="62" s="1"/>
  <c r="BT6" i="62"/>
  <c r="BT10" i="62" s="1"/>
  <c r="BS6" i="62"/>
  <c r="BP6" i="62"/>
  <c r="BP10" i="62" s="1"/>
  <c r="BO6" i="62"/>
  <c r="BN6" i="62"/>
  <c r="BM6" i="62"/>
  <c r="BM10" i="62" s="1"/>
  <c r="BL6" i="62"/>
  <c r="BL10" i="62" s="1"/>
  <c r="BK6" i="62"/>
  <c r="BK10" i="62" s="1"/>
  <c r="BJ6" i="62"/>
  <c r="BJ10" i="62" s="1"/>
  <c r="BI6" i="62"/>
  <c r="BH6" i="62"/>
  <c r="BH10" i="62" s="1"/>
  <c r="BG6" i="62"/>
  <c r="BF6" i="62"/>
  <c r="BE6" i="62"/>
  <c r="BE10" i="62" s="1"/>
  <c r="BD6" i="62"/>
  <c r="BD10" i="62" s="1"/>
  <c r="BC6" i="62"/>
  <c r="BC10" i="62" s="1"/>
  <c r="BB6" i="62"/>
  <c r="BB10" i="62" s="1"/>
  <c r="BA6" i="62"/>
  <c r="AZ6" i="62"/>
  <c r="AZ10" i="62" s="1"/>
  <c r="AY6" i="62"/>
  <c r="AX6" i="62"/>
  <c r="AW6" i="62"/>
  <c r="AW10" i="62" s="1"/>
  <c r="AI5" i="62"/>
  <c r="AH5" i="62"/>
  <c r="AG5" i="62"/>
  <c r="AF5" i="62"/>
  <c r="AE5" i="62"/>
  <c r="R5" i="62"/>
  <c r="Q5" i="62"/>
  <c r="P5" i="62"/>
  <c r="O5" i="62"/>
  <c r="N5" i="62"/>
  <c r="AI4" i="62"/>
  <c r="AH4" i="62"/>
  <c r="AG4" i="62"/>
  <c r="AF4" i="62"/>
  <c r="AE4" i="62"/>
  <c r="R4" i="62"/>
  <c r="Q4" i="62"/>
  <c r="P4" i="62"/>
  <c r="O4" i="62"/>
  <c r="N4" i="62"/>
  <c r="AX10" i="62" l="1"/>
  <c r="BF10" i="62"/>
  <c r="BN10" i="62"/>
  <c r="BV10" i="62"/>
  <c r="Q13" i="62"/>
  <c r="AG13" i="62"/>
  <c r="Q14" i="62"/>
  <c r="AG14" i="62"/>
  <c r="BO10" i="62"/>
  <c r="BZ10" i="62"/>
  <c r="AI13" i="62"/>
  <c r="AI14" i="62"/>
  <c r="BA10" i="62"/>
  <c r="BI10" i="62"/>
  <c r="CA10" i="62"/>
  <c r="AY10" i="62"/>
  <c r="BW10" i="62"/>
  <c r="P13" i="62"/>
  <c r="P14" i="62"/>
  <c r="BG10" i="62"/>
  <c r="R13" i="62"/>
  <c r="R14" i="62"/>
  <c r="AV13" i="62"/>
  <c r="BX13" i="62"/>
  <c r="CC13" i="62"/>
  <c r="CB10" i="62"/>
  <c r="N13" i="62"/>
  <c r="N14" i="62"/>
  <c r="BQ13" i="62"/>
  <c r="BY13" i="62"/>
  <c r="AE13" i="62"/>
  <c r="AE14" i="62"/>
  <c r="CC7" i="61"/>
  <c r="CC10" i="61" s="1"/>
  <c r="CC12" i="61"/>
  <c r="AU14" i="61"/>
  <c r="AT14" i="61"/>
  <c r="AS14" i="61"/>
  <c r="AR14" i="61"/>
  <c r="AQ14" i="61"/>
  <c r="AP14" i="61"/>
  <c r="AO14" i="61"/>
  <c r="AN14" i="61"/>
  <c r="AM14" i="61"/>
  <c r="AL14" i="61"/>
  <c r="AK14" i="61"/>
  <c r="AJ14" i="61"/>
  <c r="AD14" i="61"/>
  <c r="AC14" i="61"/>
  <c r="AB14" i="61"/>
  <c r="AA14" i="61"/>
  <c r="Z14" i="61"/>
  <c r="Y14" i="61"/>
  <c r="AG14" i="61" s="1"/>
  <c r="X14" i="61"/>
  <c r="W14" i="61"/>
  <c r="V14" i="61"/>
  <c r="U14" i="61"/>
  <c r="T14" i="61"/>
  <c r="S14" i="61"/>
  <c r="M14" i="61"/>
  <c r="L14" i="61"/>
  <c r="K14" i="61"/>
  <c r="J14" i="61"/>
  <c r="I14" i="61"/>
  <c r="H14" i="61"/>
  <c r="P14" i="61" s="1"/>
  <c r="G14" i="61"/>
  <c r="O14" i="61" s="1"/>
  <c r="F14" i="61"/>
  <c r="E14" i="61"/>
  <c r="D14" i="61"/>
  <c r="C14" i="61"/>
  <c r="B14" i="61"/>
  <c r="AD13" i="61"/>
  <c r="AC13" i="61"/>
  <c r="AB13" i="61"/>
  <c r="AA13" i="61"/>
  <c r="Z13" i="61"/>
  <c r="Y13" i="61"/>
  <c r="X13" i="61"/>
  <c r="W13" i="61"/>
  <c r="V13" i="61"/>
  <c r="U13" i="61"/>
  <c r="T13" i="61"/>
  <c r="S13" i="61"/>
  <c r="M13" i="61"/>
  <c r="L13" i="61"/>
  <c r="K13" i="61"/>
  <c r="J13" i="61"/>
  <c r="I13" i="61"/>
  <c r="H13" i="61"/>
  <c r="G13" i="61"/>
  <c r="F13" i="61"/>
  <c r="E13" i="61"/>
  <c r="O13" i="61" s="1"/>
  <c r="D13" i="61"/>
  <c r="C13" i="61"/>
  <c r="B13" i="61"/>
  <c r="CB12" i="61"/>
  <c r="CA12" i="61"/>
  <c r="BZ12" i="61"/>
  <c r="BY12" i="61"/>
  <c r="BX12" i="61"/>
  <c r="BW12" i="61"/>
  <c r="BV12" i="61"/>
  <c r="BU12" i="61"/>
  <c r="BT12" i="61"/>
  <c r="CB7" i="61"/>
  <c r="CB13" i="61" s="1"/>
  <c r="CA7" i="61"/>
  <c r="CA13" i="61" s="1"/>
  <c r="BZ7" i="61"/>
  <c r="BZ10" i="61" s="1"/>
  <c r="BY7" i="61"/>
  <c r="BY10" i="61" s="1"/>
  <c r="BX7" i="61"/>
  <c r="BX13" i="61" s="1"/>
  <c r="BW7" i="61"/>
  <c r="BW13" i="61" s="1"/>
  <c r="BV7" i="61"/>
  <c r="BV13" i="61" s="1"/>
  <c r="BU7" i="61"/>
  <c r="BU13" i="61" s="1"/>
  <c r="BT7" i="61"/>
  <c r="BT13" i="61" s="1"/>
  <c r="BS7" i="61"/>
  <c r="BS13" i="61" s="1"/>
  <c r="BR7" i="61"/>
  <c r="BR13" i="61" s="1"/>
  <c r="BQ7" i="61"/>
  <c r="BQ10" i="61" s="1"/>
  <c r="BP7" i="61"/>
  <c r="BP13" i="61" s="1"/>
  <c r="BO7" i="61"/>
  <c r="BO13" i="61" s="1"/>
  <c r="BN7" i="61"/>
  <c r="BN13" i="61" s="1"/>
  <c r="BM7" i="61"/>
  <c r="BM13" i="61" s="1"/>
  <c r="BL7" i="61"/>
  <c r="BL13" i="61" s="1"/>
  <c r="BK7" i="61"/>
  <c r="BK13" i="61" s="1"/>
  <c r="BJ7" i="61"/>
  <c r="BJ13" i="61" s="1"/>
  <c r="BI7" i="61"/>
  <c r="BI13" i="61" s="1"/>
  <c r="BH7" i="61"/>
  <c r="BH13" i="61" s="1"/>
  <c r="BG7" i="61"/>
  <c r="BG13" i="61" s="1"/>
  <c r="BF7" i="61"/>
  <c r="BF13" i="61" s="1"/>
  <c r="BE7" i="61"/>
  <c r="BE13" i="61" s="1"/>
  <c r="BD7" i="61"/>
  <c r="BD13" i="61" s="1"/>
  <c r="BC7" i="61"/>
  <c r="BC13" i="61" s="1"/>
  <c r="BB7" i="61"/>
  <c r="BA7" i="61"/>
  <c r="BA13" i="61" s="1"/>
  <c r="AZ7" i="61"/>
  <c r="AZ13" i="61" s="1"/>
  <c r="AY7" i="61"/>
  <c r="AY13" i="61" s="1"/>
  <c r="AX7" i="61"/>
  <c r="AX13" i="61" s="1"/>
  <c r="AW7" i="61"/>
  <c r="AW13" i="61" s="1"/>
  <c r="AV7" i="61"/>
  <c r="AV13" i="61" s="1"/>
  <c r="AU7" i="61"/>
  <c r="AU13" i="61" s="1"/>
  <c r="AT7" i="61"/>
  <c r="AT13" i="61" s="1"/>
  <c r="AS7" i="61"/>
  <c r="AS13" i="61" s="1"/>
  <c r="AR7" i="61"/>
  <c r="AR13" i="61" s="1"/>
  <c r="AQ7" i="61"/>
  <c r="AQ13" i="61" s="1"/>
  <c r="AP7" i="61"/>
  <c r="AP13" i="61" s="1"/>
  <c r="AO7" i="61"/>
  <c r="AO13" i="61" s="1"/>
  <c r="AN7" i="61"/>
  <c r="AN13" i="61" s="1"/>
  <c r="AM7" i="61"/>
  <c r="AM13" i="61" s="1"/>
  <c r="AL7" i="61"/>
  <c r="AL13" i="61" s="1"/>
  <c r="AK7" i="61"/>
  <c r="AK13" i="61" s="1"/>
  <c r="AJ7" i="61"/>
  <c r="AJ13" i="61" s="1"/>
  <c r="AI7" i="61"/>
  <c r="AH7" i="61"/>
  <c r="AG7" i="61"/>
  <c r="AF7" i="61"/>
  <c r="AE7" i="61"/>
  <c r="R7" i="61"/>
  <c r="Q7" i="61"/>
  <c r="P7" i="61"/>
  <c r="O7" i="61"/>
  <c r="N7" i="61"/>
  <c r="BU6" i="61"/>
  <c r="BU10" i="61" s="1"/>
  <c r="BT6" i="61"/>
  <c r="BT10" i="61" s="1"/>
  <c r="BS6" i="61"/>
  <c r="BS10" i="61" s="1"/>
  <c r="BP6" i="61"/>
  <c r="BP10" i="61" s="1"/>
  <c r="BO6" i="61"/>
  <c r="BN6" i="61"/>
  <c r="BM6" i="61"/>
  <c r="BM10" i="61" s="1"/>
  <c r="BL6" i="61"/>
  <c r="BK6" i="61"/>
  <c r="BJ6" i="61"/>
  <c r="BI6" i="61"/>
  <c r="BI10" i="61" s="1"/>
  <c r="BH6" i="61"/>
  <c r="BH10" i="61" s="1"/>
  <c r="BG6" i="61"/>
  <c r="BF6" i="61"/>
  <c r="BE6" i="61"/>
  <c r="BE10" i="61" s="1"/>
  <c r="BD6" i="61"/>
  <c r="BC6" i="61"/>
  <c r="BB6" i="61"/>
  <c r="BA6" i="61"/>
  <c r="BA10" i="61" s="1"/>
  <c r="AZ6" i="61"/>
  <c r="AZ10" i="61" s="1"/>
  <c r="AY6" i="61"/>
  <c r="AX6" i="61"/>
  <c r="AW6" i="61"/>
  <c r="AW10" i="61" s="1"/>
  <c r="AI5" i="61"/>
  <c r="AH5" i="61"/>
  <c r="AG5" i="61"/>
  <c r="AF5" i="61"/>
  <c r="AE5" i="61"/>
  <c r="R5" i="61"/>
  <c r="Q5" i="61"/>
  <c r="P5" i="61"/>
  <c r="O5" i="61"/>
  <c r="N5" i="61"/>
  <c r="AI4" i="61"/>
  <c r="AH4" i="61"/>
  <c r="AG4" i="61"/>
  <c r="AF4" i="61"/>
  <c r="AE4" i="61"/>
  <c r="R4" i="61"/>
  <c r="Q4" i="61"/>
  <c r="P4" i="61"/>
  <c r="O4" i="61"/>
  <c r="N4" i="61"/>
  <c r="AF13" i="61" l="1"/>
  <c r="AH13" i="61"/>
  <c r="BD10" i="61"/>
  <c r="AX10" i="61"/>
  <c r="BF10" i="61"/>
  <c r="BN10" i="61"/>
  <c r="Q13" i="61"/>
  <c r="BL10" i="61"/>
  <c r="BB10" i="61"/>
  <c r="BR10" i="61"/>
  <c r="R13" i="61"/>
  <c r="AI13" i="61"/>
  <c r="BQ13" i="61"/>
  <c r="BY13" i="61"/>
  <c r="AF14" i="61"/>
  <c r="BV10" i="61"/>
  <c r="BB13" i="61"/>
  <c r="R14" i="61"/>
  <c r="AI14" i="61"/>
  <c r="BJ10" i="61"/>
  <c r="P13" i="61"/>
  <c r="AG13" i="61"/>
  <c r="Q14" i="61"/>
  <c r="AH14" i="61"/>
  <c r="BZ13" i="61"/>
  <c r="CC13" i="61"/>
  <c r="AY10" i="61"/>
  <c r="BC10" i="61"/>
  <c r="BG10" i="61"/>
  <c r="BK10" i="61"/>
  <c r="BO10" i="61"/>
  <c r="BW10" i="61"/>
  <c r="CA10" i="61"/>
  <c r="AE13" i="61"/>
  <c r="AV10" i="61"/>
  <c r="BX10" i="61"/>
  <c r="CB10" i="61"/>
  <c r="N13" i="61"/>
  <c r="AE14" i="61"/>
  <c r="N14" i="61"/>
  <c r="AU14" i="60"/>
  <c r="AT14" i="60"/>
  <c r="AS14" i="60"/>
  <c r="AR14" i="60"/>
  <c r="AQ14" i="60"/>
  <c r="AP14" i="60"/>
  <c r="AO14" i="60"/>
  <c r="AN14" i="60"/>
  <c r="AM14" i="60"/>
  <c r="AL14" i="60"/>
  <c r="AK14" i="60"/>
  <c r="AJ14" i="60"/>
  <c r="AD14" i="60"/>
  <c r="AC14" i="60"/>
  <c r="AB14" i="60"/>
  <c r="AA14" i="60"/>
  <c r="Z14" i="60"/>
  <c r="Y14" i="60"/>
  <c r="X14" i="60"/>
  <c r="AF14" i="60" s="1"/>
  <c r="W14" i="60"/>
  <c r="V14" i="60"/>
  <c r="U14" i="60"/>
  <c r="T14" i="60"/>
  <c r="S14" i="60"/>
  <c r="M14" i="60"/>
  <c r="L14" i="60"/>
  <c r="K14" i="60"/>
  <c r="J14" i="60"/>
  <c r="I14" i="60"/>
  <c r="H14" i="60"/>
  <c r="P14" i="60" s="1"/>
  <c r="G14" i="60"/>
  <c r="F14" i="60"/>
  <c r="E14" i="60"/>
  <c r="D14" i="60"/>
  <c r="C14" i="60"/>
  <c r="B14" i="60"/>
  <c r="BS13" i="60"/>
  <c r="BK13" i="60"/>
  <c r="AM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M13" i="60"/>
  <c r="L13" i="60"/>
  <c r="K13" i="60"/>
  <c r="J13" i="60"/>
  <c r="I13" i="60"/>
  <c r="H13" i="60"/>
  <c r="G13" i="60"/>
  <c r="F13" i="60"/>
  <c r="E13" i="60"/>
  <c r="D13" i="60"/>
  <c r="C13" i="60"/>
  <c r="B13" i="60"/>
  <c r="R13" i="60" s="1"/>
  <c r="CB12" i="60"/>
  <c r="CA12" i="60"/>
  <c r="BZ12" i="60"/>
  <c r="BY12" i="60"/>
  <c r="BX12" i="60"/>
  <c r="BW12" i="60"/>
  <c r="BV12" i="60"/>
  <c r="BU12" i="60"/>
  <c r="BT12" i="60"/>
  <c r="CA10" i="60"/>
  <c r="BC10" i="60"/>
  <c r="CB7" i="60"/>
  <c r="CB13" i="60" s="1"/>
  <c r="CA7" i="60"/>
  <c r="CA13" i="60" s="1"/>
  <c r="BZ7" i="60"/>
  <c r="BZ13" i="60" s="1"/>
  <c r="BY7" i="60"/>
  <c r="BY13" i="60" s="1"/>
  <c r="BX7" i="60"/>
  <c r="BX13" i="60" s="1"/>
  <c r="BW7" i="60"/>
  <c r="BW10" i="60" s="1"/>
  <c r="BV7" i="60"/>
  <c r="BV13" i="60" s="1"/>
  <c r="BU7" i="60"/>
  <c r="BU13" i="60" s="1"/>
  <c r="BT7" i="60"/>
  <c r="BT13" i="60" s="1"/>
  <c r="BS7" i="60"/>
  <c r="BR7" i="60"/>
  <c r="BR13" i="60" s="1"/>
  <c r="BQ7" i="60"/>
  <c r="BQ13" i="60" s="1"/>
  <c r="BP7" i="60"/>
  <c r="BP13" i="60" s="1"/>
  <c r="BO7" i="60"/>
  <c r="BO13" i="60" s="1"/>
  <c r="BN7" i="60"/>
  <c r="BN13" i="60" s="1"/>
  <c r="BM7" i="60"/>
  <c r="BM13" i="60" s="1"/>
  <c r="BL7" i="60"/>
  <c r="BL13" i="60" s="1"/>
  <c r="BK7" i="60"/>
  <c r="BJ7" i="60"/>
  <c r="BJ13" i="60" s="1"/>
  <c r="BI7" i="60"/>
  <c r="BI13" i="60" s="1"/>
  <c r="BH7" i="60"/>
  <c r="BH13" i="60" s="1"/>
  <c r="BG7" i="60"/>
  <c r="BG13" i="60" s="1"/>
  <c r="BF7" i="60"/>
  <c r="BF13" i="60" s="1"/>
  <c r="BE7" i="60"/>
  <c r="BE13" i="60" s="1"/>
  <c r="BD7" i="60"/>
  <c r="BD13" i="60" s="1"/>
  <c r="BC7" i="60"/>
  <c r="BC13" i="60" s="1"/>
  <c r="BB7" i="60"/>
  <c r="BB13" i="60" s="1"/>
  <c r="BA7" i="60"/>
  <c r="BA13" i="60" s="1"/>
  <c r="AZ7" i="60"/>
  <c r="AZ13" i="60" s="1"/>
  <c r="AY7" i="60"/>
  <c r="AY13" i="60" s="1"/>
  <c r="AX7" i="60"/>
  <c r="AX13" i="60" s="1"/>
  <c r="AW7" i="60"/>
  <c r="AW13" i="60" s="1"/>
  <c r="AV7" i="60"/>
  <c r="AV13" i="60" s="1"/>
  <c r="AU7" i="60"/>
  <c r="AU13" i="60" s="1"/>
  <c r="AT7" i="60"/>
  <c r="AT13" i="60" s="1"/>
  <c r="AS7" i="60"/>
  <c r="AS13" i="60" s="1"/>
  <c r="AR7" i="60"/>
  <c r="AR13" i="60" s="1"/>
  <c r="AQ7" i="60"/>
  <c r="AQ13" i="60" s="1"/>
  <c r="AP7" i="60"/>
  <c r="AP13" i="60" s="1"/>
  <c r="AO7" i="60"/>
  <c r="AO13" i="60" s="1"/>
  <c r="AN7" i="60"/>
  <c r="AN13" i="60" s="1"/>
  <c r="AM7" i="60"/>
  <c r="AL7" i="60"/>
  <c r="AL13" i="60" s="1"/>
  <c r="AK7" i="60"/>
  <c r="AK13" i="60" s="1"/>
  <c r="AJ7" i="60"/>
  <c r="AJ13" i="60" s="1"/>
  <c r="AI7" i="60"/>
  <c r="AH7" i="60"/>
  <c r="AG7" i="60"/>
  <c r="AF7" i="60"/>
  <c r="AE7" i="60"/>
  <c r="R7" i="60"/>
  <c r="Q7" i="60"/>
  <c r="P7" i="60"/>
  <c r="O7" i="60"/>
  <c r="N7" i="60"/>
  <c r="BU6" i="60"/>
  <c r="BU10" i="60" s="1"/>
  <c r="BT6" i="60"/>
  <c r="BT10" i="60" s="1"/>
  <c r="BS6" i="60"/>
  <c r="BS10" i="60" s="1"/>
  <c r="BP6" i="60"/>
  <c r="BP10" i="60" s="1"/>
  <c r="BO6" i="60"/>
  <c r="BO10" i="60" s="1"/>
  <c r="BN6" i="60"/>
  <c r="BM6" i="60"/>
  <c r="BL6" i="60"/>
  <c r="BL10" i="60" s="1"/>
  <c r="BK6" i="60"/>
  <c r="BK10" i="60" s="1"/>
  <c r="BJ6" i="60"/>
  <c r="BJ10" i="60" s="1"/>
  <c r="BI6" i="60"/>
  <c r="BI10" i="60" s="1"/>
  <c r="BH6" i="60"/>
  <c r="BH10" i="60" s="1"/>
  <c r="BG6" i="60"/>
  <c r="BG10" i="60" s="1"/>
  <c r="BF6" i="60"/>
  <c r="BE6" i="60"/>
  <c r="BD6" i="60"/>
  <c r="BD10" i="60" s="1"/>
  <c r="BC6" i="60"/>
  <c r="BB6" i="60"/>
  <c r="BB10" i="60" s="1"/>
  <c r="BA6" i="60"/>
  <c r="BA10" i="60" s="1"/>
  <c r="AZ6" i="60"/>
  <c r="AZ10" i="60" s="1"/>
  <c r="AY6" i="60"/>
  <c r="AY10" i="60" s="1"/>
  <c r="AX6" i="60"/>
  <c r="AW6" i="60"/>
  <c r="AI5" i="60"/>
  <c r="AH5" i="60"/>
  <c r="AG5" i="60"/>
  <c r="AF5" i="60"/>
  <c r="AE5" i="60"/>
  <c r="R5" i="60"/>
  <c r="Q5" i="60"/>
  <c r="P5" i="60"/>
  <c r="O5" i="60"/>
  <c r="N5" i="60"/>
  <c r="AI4" i="60"/>
  <c r="AH4" i="60"/>
  <c r="AG4" i="60"/>
  <c r="AF4" i="60"/>
  <c r="AE4" i="60"/>
  <c r="R4" i="60"/>
  <c r="Q4" i="60"/>
  <c r="P4" i="60"/>
  <c r="O4" i="60"/>
  <c r="N4" i="60"/>
  <c r="P13" i="60" l="1"/>
  <c r="AI14" i="60"/>
  <c r="AF13" i="60"/>
  <c r="AH14" i="60"/>
  <c r="AW10" i="60"/>
  <c r="BE10" i="60"/>
  <c r="BM10" i="60"/>
  <c r="Q13" i="60"/>
  <c r="BW13" i="60"/>
  <c r="AX10" i="60"/>
  <c r="BF10" i="60"/>
  <c r="BN10" i="60"/>
  <c r="AG13" i="60"/>
  <c r="R14" i="60"/>
  <c r="Q14" i="60"/>
  <c r="AE13" i="60"/>
  <c r="AG14" i="60"/>
  <c r="O13" i="60"/>
  <c r="AH13" i="60"/>
  <c r="O14" i="60"/>
  <c r="AI13" i="60"/>
  <c r="AV10" i="60"/>
  <c r="BX10" i="60"/>
  <c r="CB10" i="60"/>
  <c r="BQ10" i="60"/>
  <c r="BY10" i="60"/>
  <c r="N14" i="60"/>
  <c r="BR10" i="60"/>
  <c r="BV10" i="60"/>
  <c r="BZ10" i="60"/>
  <c r="N13" i="60"/>
  <c r="AE14" i="60"/>
  <c r="CB12" i="59" l="1"/>
  <c r="CB7" i="59"/>
  <c r="CB10" i="59" s="1"/>
  <c r="AU14" i="59"/>
  <c r="AT14" i="59"/>
  <c r="AS14" i="59"/>
  <c r="AR14" i="59"/>
  <c r="AQ14" i="59"/>
  <c r="AP14" i="59"/>
  <c r="AO14" i="59"/>
  <c r="AN14" i="59"/>
  <c r="AM14" i="59"/>
  <c r="AL14" i="59"/>
  <c r="AK14" i="59"/>
  <c r="AJ14" i="59"/>
  <c r="AD14" i="59"/>
  <c r="AC14" i="59"/>
  <c r="AB14" i="59"/>
  <c r="AA14" i="59"/>
  <c r="Z14" i="59"/>
  <c r="Y14" i="59"/>
  <c r="AG14" i="59" s="1"/>
  <c r="X14" i="59"/>
  <c r="W14" i="59"/>
  <c r="V14" i="59"/>
  <c r="U14" i="59"/>
  <c r="T14" i="59"/>
  <c r="S14" i="59"/>
  <c r="M14" i="59"/>
  <c r="L14" i="59"/>
  <c r="K14" i="59"/>
  <c r="J14" i="59"/>
  <c r="I14" i="59"/>
  <c r="H14" i="59"/>
  <c r="P14" i="59" s="1"/>
  <c r="G14" i="59"/>
  <c r="F14" i="59"/>
  <c r="E14" i="59"/>
  <c r="D14" i="59"/>
  <c r="C14" i="59"/>
  <c r="B14" i="59"/>
  <c r="BA13" i="59"/>
  <c r="AD13" i="59"/>
  <c r="AC13" i="59"/>
  <c r="AB13" i="59"/>
  <c r="AA13" i="59"/>
  <c r="Z13" i="59"/>
  <c r="Y13" i="59"/>
  <c r="X13" i="59"/>
  <c r="W13" i="59"/>
  <c r="V13" i="59"/>
  <c r="U13" i="59"/>
  <c r="T13" i="59"/>
  <c r="S13" i="59"/>
  <c r="M13" i="59"/>
  <c r="L13" i="59"/>
  <c r="K13" i="59"/>
  <c r="J13" i="59"/>
  <c r="I13" i="59"/>
  <c r="H13" i="59"/>
  <c r="G13" i="59"/>
  <c r="F13" i="59"/>
  <c r="E13" i="59"/>
  <c r="D13" i="59"/>
  <c r="C13" i="59"/>
  <c r="B13" i="59"/>
  <c r="CA12" i="59"/>
  <c r="BZ12" i="59"/>
  <c r="BY12" i="59"/>
  <c r="BX12" i="59"/>
  <c r="BW12" i="59"/>
  <c r="BV12" i="59"/>
  <c r="BU12" i="59"/>
  <c r="BT12" i="59"/>
  <c r="CA7" i="59"/>
  <c r="CA10" i="59" s="1"/>
  <c r="BZ7" i="59"/>
  <c r="BZ10" i="59" s="1"/>
  <c r="BY7" i="59"/>
  <c r="BY10" i="59" s="1"/>
  <c r="BX7" i="59"/>
  <c r="BX13" i="59" s="1"/>
  <c r="BW7" i="59"/>
  <c r="BW10" i="59" s="1"/>
  <c r="BV7" i="59"/>
  <c r="BV10" i="59" s="1"/>
  <c r="BU7" i="59"/>
  <c r="BU13" i="59" s="1"/>
  <c r="BT7" i="59"/>
  <c r="BT13" i="59" s="1"/>
  <c r="BS7" i="59"/>
  <c r="BS13" i="59" s="1"/>
  <c r="BR7" i="59"/>
  <c r="BR10" i="59" s="1"/>
  <c r="BQ7" i="59"/>
  <c r="BQ10" i="59" s="1"/>
  <c r="BP7" i="59"/>
  <c r="BP13" i="59" s="1"/>
  <c r="BO7" i="59"/>
  <c r="BN7" i="59"/>
  <c r="BN13" i="59" s="1"/>
  <c r="BM7" i="59"/>
  <c r="BM13" i="59" s="1"/>
  <c r="BL7" i="59"/>
  <c r="BL13" i="59" s="1"/>
  <c r="BK7" i="59"/>
  <c r="BJ7" i="59"/>
  <c r="BJ13" i="59" s="1"/>
  <c r="BI7" i="59"/>
  <c r="BI13" i="59" s="1"/>
  <c r="BH7" i="59"/>
  <c r="BH13" i="59" s="1"/>
  <c r="BG7" i="59"/>
  <c r="BF7" i="59"/>
  <c r="BF13" i="59" s="1"/>
  <c r="BE7" i="59"/>
  <c r="BE13" i="59" s="1"/>
  <c r="BD7" i="59"/>
  <c r="BD13" i="59" s="1"/>
  <c r="BC7" i="59"/>
  <c r="BB7" i="59"/>
  <c r="BB13" i="59" s="1"/>
  <c r="BA7" i="59"/>
  <c r="AZ7" i="59"/>
  <c r="AZ13" i="59" s="1"/>
  <c r="AY7" i="59"/>
  <c r="AX7" i="59"/>
  <c r="AX13" i="59" s="1"/>
  <c r="AW7" i="59"/>
  <c r="AW13" i="59" s="1"/>
  <c r="AV7" i="59"/>
  <c r="AV13" i="59" s="1"/>
  <c r="AU7" i="59"/>
  <c r="AU13" i="59" s="1"/>
  <c r="AT7" i="59"/>
  <c r="AT13" i="59" s="1"/>
  <c r="AS7" i="59"/>
  <c r="AS13" i="59" s="1"/>
  <c r="AR7" i="59"/>
  <c r="AR13" i="59" s="1"/>
  <c r="AQ7" i="59"/>
  <c r="AQ13" i="59" s="1"/>
  <c r="AP7" i="59"/>
  <c r="AP13" i="59" s="1"/>
  <c r="AO7" i="59"/>
  <c r="AO13" i="59" s="1"/>
  <c r="AN7" i="59"/>
  <c r="AN13" i="59" s="1"/>
  <c r="AM7" i="59"/>
  <c r="AM13" i="59" s="1"/>
  <c r="AL7" i="59"/>
  <c r="AL13" i="59" s="1"/>
  <c r="AK7" i="59"/>
  <c r="AK13" i="59" s="1"/>
  <c r="AJ7" i="59"/>
  <c r="AJ13" i="59" s="1"/>
  <c r="AI7" i="59"/>
  <c r="AH7" i="59"/>
  <c r="AG7" i="59"/>
  <c r="AF7" i="59"/>
  <c r="AE7" i="59"/>
  <c r="R7" i="59"/>
  <c r="Q7" i="59"/>
  <c r="P7" i="59"/>
  <c r="O7" i="59"/>
  <c r="N7" i="59"/>
  <c r="BU6" i="59"/>
  <c r="BU10" i="59" s="1"/>
  <c r="BT6" i="59"/>
  <c r="BT10" i="59" s="1"/>
  <c r="BS6" i="59"/>
  <c r="BS10" i="59" s="1"/>
  <c r="BP6" i="59"/>
  <c r="BO6" i="59"/>
  <c r="BN6" i="59"/>
  <c r="BN10" i="59" s="1"/>
  <c r="BM6" i="59"/>
  <c r="BL6" i="59"/>
  <c r="BK6" i="59"/>
  <c r="BJ6" i="59"/>
  <c r="BJ10" i="59" s="1"/>
  <c r="BI6" i="59"/>
  <c r="BH6" i="59"/>
  <c r="BG6" i="59"/>
  <c r="BF6" i="59"/>
  <c r="BF10" i="59" s="1"/>
  <c r="BE6" i="59"/>
  <c r="BD6" i="59"/>
  <c r="BC6" i="59"/>
  <c r="BB6" i="59"/>
  <c r="BB10" i="59" s="1"/>
  <c r="BA6" i="59"/>
  <c r="AZ6" i="59"/>
  <c r="AY6" i="59"/>
  <c r="AX6" i="59"/>
  <c r="AX10" i="59" s="1"/>
  <c r="AW6" i="59"/>
  <c r="AI5" i="59"/>
  <c r="AH5" i="59"/>
  <c r="AG5" i="59"/>
  <c r="AF5" i="59"/>
  <c r="AE5" i="59"/>
  <c r="R5" i="59"/>
  <c r="Q5" i="59"/>
  <c r="P5" i="59"/>
  <c r="O5" i="59"/>
  <c r="N5" i="59"/>
  <c r="AI4" i="59"/>
  <c r="AH4" i="59"/>
  <c r="AG4" i="59"/>
  <c r="AF4" i="59"/>
  <c r="AE4" i="59"/>
  <c r="R4" i="59"/>
  <c r="Q4" i="59"/>
  <c r="P4" i="59"/>
  <c r="O4" i="59"/>
  <c r="N4" i="59"/>
  <c r="BQ13" i="59" l="1"/>
  <c r="AI13" i="59"/>
  <c r="Q14" i="59"/>
  <c r="AF14" i="59"/>
  <c r="R13" i="59"/>
  <c r="AH14" i="59"/>
  <c r="AZ10" i="59"/>
  <c r="BD10" i="59"/>
  <c r="BH10" i="59"/>
  <c r="BL10" i="59"/>
  <c r="BP10" i="59"/>
  <c r="P13" i="59"/>
  <c r="AG13" i="59"/>
  <c r="BY13" i="59"/>
  <c r="AW10" i="59"/>
  <c r="BA10" i="59"/>
  <c r="BE10" i="59"/>
  <c r="BI10" i="59"/>
  <c r="BM10" i="59"/>
  <c r="AY10" i="59"/>
  <c r="BC10" i="59"/>
  <c r="BG10" i="59"/>
  <c r="BK10" i="59"/>
  <c r="BO10" i="59"/>
  <c r="O13" i="59"/>
  <c r="Q13" i="59"/>
  <c r="AF13" i="59"/>
  <c r="AH13" i="59"/>
  <c r="R14" i="59"/>
  <c r="O14" i="59"/>
  <c r="AI14" i="59"/>
  <c r="CB13" i="59"/>
  <c r="AV10" i="59"/>
  <c r="BX10" i="59"/>
  <c r="N13" i="59"/>
  <c r="BR13" i="59"/>
  <c r="BV13" i="59"/>
  <c r="BZ13" i="59"/>
  <c r="AE13" i="59"/>
  <c r="AY13" i="59"/>
  <c r="BC13" i="59"/>
  <c r="BG13" i="59"/>
  <c r="BK13" i="59"/>
  <c r="BO13" i="59"/>
  <c r="BW13" i="59"/>
  <c r="CA13" i="59"/>
  <c r="N14" i="59"/>
  <c r="AE14" i="59"/>
  <c r="AU14" i="58"/>
  <c r="AT14" i="58"/>
  <c r="AS14" i="58"/>
  <c r="AR14" i="58"/>
  <c r="AQ14" i="58"/>
  <c r="AP14" i="58"/>
  <c r="AO14" i="58"/>
  <c r="AN14" i="58"/>
  <c r="AM14" i="58"/>
  <c r="AL14" i="58"/>
  <c r="AK14" i="58"/>
  <c r="AJ14" i="58"/>
  <c r="AD14" i="58"/>
  <c r="AC14" i="58"/>
  <c r="AB14" i="58"/>
  <c r="AH14" i="58" s="1"/>
  <c r="AA14" i="58"/>
  <c r="Z14" i="58"/>
  <c r="Y14" i="58"/>
  <c r="X14" i="58"/>
  <c r="W14" i="58"/>
  <c r="V14" i="58"/>
  <c r="AF14" i="58" s="1"/>
  <c r="U14" i="58"/>
  <c r="T14" i="58"/>
  <c r="S14" i="58"/>
  <c r="AI14" i="58" s="1"/>
  <c r="M14" i="58"/>
  <c r="L14" i="58"/>
  <c r="K14" i="58"/>
  <c r="Q14" i="58" s="1"/>
  <c r="J14" i="58"/>
  <c r="I14" i="58"/>
  <c r="H14" i="58"/>
  <c r="P14" i="58" s="1"/>
  <c r="G14" i="58"/>
  <c r="F14" i="58"/>
  <c r="O14" i="58" s="1"/>
  <c r="E14" i="58"/>
  <c r="D14" i="58"/>
  <c r="C14" i="58"/>
  <c r="B14" i="58"/>
  <c r="BQ13" i="58"/>
  <c r="BI13" i="58"/>
  <c r="AD13" i="58"/>
  <c r="AC13" i="58"/>
  <c r="AB13" i="58"/>
  <c r="AA13" i="58"/>
  <c r="Z13" i="58"/>
  <c r="Y13" i="58"/>
  <c r="X13" i="58"/>
  <c r="W13" i="58"/>
  <c r="V13" i="58"/>
  <c r="AF13" i="58" s="1"/>
  <c r="U13" i="58"/>
  <c r="T13" i="58"/>
  <c r="S13" i="58"/>
  <c r="M13" i="58"/>
  <c r="L13" i="58"/>
  <c r="K13" i="58"/>
  <c r="J13" i="58"/>
  <c r="I13" i="58"/>
  <c r="H13" i="58"/>
  <c r="P13" i="58" s="1"/>
  <c r="G13" i="58"/>
  <c r="F13" i="58"/>
  <c r="E13" i="58"/>
  <c r="O13" i="58" s="1"/>
  <c r="D13" i="58"/>
  <c r="C13" i="58"/>
  <c r="B13" i="58"/>
  <c r="CA12" i="58"/>
  <c r="BZ12" i="58"/>
  <c r="BY12" i="58"/>
  <c r="BX12" i="58"/>
  <c r="BW12" i="58"/>
  <c r="BV12" i="58"/>
  <c r="BU12" i="58"/>
  <c r="BT12" i="58"/>
  <c r="CA7" i="58"/>
  <c r="CA10" i="58" s="1"/>
  <c r="BZ7" i="58"/>
  <c r="BZ10" i="58" s="1"/>
  <c r="BY7" i="58"/>
  <c r="BY10" i="58" s="1"/>
  <c r="BX7" i="58"/>
  <c r="BX13" i="58" s="1"/>
  <c r="BW7" i="58"/>
  <c r="BW10" i="58" s="1"/>
  <c r="BV7" i="58"/>
  <c r="BV10" i="58" s="1"/>
  <c r="BU7" i="58"/>
  <c r="BU13" i="58" s="1"/>
  <c r="BT7" i="58"/>
  <c r="BT13" i="58" s="1"/>
  <c r="BS7" i="58"/>
  <c r="BS13" i="58" s="1"/>
  <c r="BR7" i="58"/>
  <c r="BR10" i="58" s="1"/>
  <c r="BQ7" i="58"/>
  <c r="BQ10" i="58" s="1"/>
  <c r="BP7" i="58"/>
  <c r="BP13" i="58" s="1"/>
  <c r="BO7" i="58"/>
  <c r="BN7" i="58"/>
  <c r="BN13" i="58" s="1"/>
  <c r="BM7" i="58"/>
  <c r="BM13" i="58" s="1"/>
  <c r="BL7" i="58"/>
  <c r="BL13" i="58" s="1"/>
  <c r="BK7" i="58"/>
  <c r="BJ7" i="58"/>
  <c r="BJ13" i="58" s="1"/>
  <c r="BI7" i="58"/>
  <c r="BH7" i="58"/>
  <c r="BH13" i="58" s="1"/>
  <c r="BG7" i="58"/>
  <c r="BF7" i="58"/>
  <c r="BF13" i="58" s="1"/>
  <c r="BE7" i="58"/>
  <c r="BE13" i="58" s="1"/>
  <c r="BD7" i="58"/>
  <c r="BD13" i="58" s="1"/>
  <c r="BC7" i="58"/>
  <c r="BB7" i="58"/>
  <c r="BB13" i="58" s="1"/>
  <c r="BA7" i="58"/>
  <c r="BA13" i="58" s="1"/>
  <c r="AZ7" i="58"/>
  <c r="AZ13" i="58" s="1"/>
  <c r="AY7" i="58"/>
  <c r="AX7" i="58"/>
  <c r="AX13" i="58" s="1"/>
  <c r="AW7" i="58"/>
  <c r="AW13" i="58" s="1"/>
  <c r="AV7" i="58"/>
  <c r="AV13" i="58" s="1"/>
  <c r="AU7" i="58"/>
  <c r="AU13" i="58" s="1"/>
  <c r="AT7" i="58"/>
  <c r="AT13" i="58" s="1"/>
  <c r="AS7" i="58"/>
  <c r="AS13" i="58" s="1"/>
  <c r="AR7" i="58"/>
  <c r="AR13" i="58" s="1"/>
  <c r="AQ7" i="58"/>
  <c r="AQ13" i="58" s="1"/>
  <c r="AP7" i="58"/>
  <c r="AP13" i="58" s="1"/>
  <c r="AO7" i="58"/>
  <c r="AO13" i="58" s="1"/>
  <c r="AN7" i="58"/>
  <c r="AN13" i="58" s="1"/>
  <c r="AM7" i="58"/>
  <c r="AM13" i="58" s="1"/>
  <c r="AL7" i="58"/>
  <c r="AL13" i="58" s="1"/>
  <c r="AK7" i="58"/>
  <c r="AK13" i="58" s="1"/>
  <c r="AJ7" i="58"/>
  <c r="AJ13" i="58" s="1"/>
  <c r="AI7" i="58"/>
  <c r="AH7" i="58"/>
  <c r="AG7" i="58"/>
  <c r="AF7" i="58"/>
  <c r="AE7" i="58"/>
  <c r="R7" i="58"/>
  <c r="Q7" i="58"/>
  <c r="P7" i="58"/>
  <c r="O7" i="58"/>
  <c r="N7" i="58"/>
  <c r="BU6" i="58"/>
  <c r="BU10" i="58" s="1"/>
  <c r="BT6" i="58"/>
  <c r="BT10" i="58" s="1"/>
  <c r="BS6" i="58"/>
  <c r="BS10" i="58" s="1"/>
  <c r="BP6" i="58"/>
  <c r="BP10" i="58" s="1"/>
  <c r="BO6" i="58"/>
  <c r="BN6" i="58"/>
  <c r="BN10" i="58" s="1"/>
  <c r="BM6" i="58"/>
  <c r="BM10" i="58" s="1"/>
  <c r="BL6" i="58"/>
  <c r="BK6" i="58"/>
  <c r="BJ6" i="58"/>
  <c r="BI6" i="58"/>
  <c r="BI10" i="58" s="1"/>
  <c r="BH6" i="58"/>
  <c r="BH10" i="58" s="1"/>
  <c r="BG6" i="58"/>
  <c r="BF6" i="58"/>
  <c r="BF10" i="58" s="1"/>
  <c r="BE6" i="58"/>
  <c r="BE10" i="58" s="1"/>
  <c r="BD6" i="58"/>
  <c r="BC6" i="58"/>
  <c r="BB6" i="58"/>
  <c r="BA6" i="58"/>
  <c r="BA10" i="58" s="1"/>
  <c r="AZ6" i="58"/>
  <c r="AZ10" i="58" s="1"/>
  <c r="AY6" i="58"/>
  <c r="AX6" i="58"/>
  <c r="AX10" i="58" s="1"/>
  <c r="AW6" i="58"/>
  <c r="AW10" i="58" s="1"/>
  <c r="AI5" i="58"/>
  <c r="AH5" i="58"/>
  <c r="AG5" i="58"/>
  <c r="AF5" i="58"/>
  <c r="AE5" i="58"/>
  <c r="R5" i="58"/>
  <c r="Q5" i="58"/>
  <c r="P5" i="58"/>
  <c r="O5" i="58"/>
  <c r="N5" i="58"/>
  <c r="AI4" i="58"/>
  <c r="AH4" i="58"/>
  <c r="AG4" i="58"/>
  <c r="AF4" i="58"/>
  <c r="AE4" i="58"/>
  <c r="R4" i="58"/>
  <c r="Q4" i="58"/>
  <c r="P4" i="58"/>
  <c r="O4" i="58"/>
  <c r="N4" i="58"/>
  <c r="BC10" i="58" l="1"/>
  <c r="BK10" i="58"/>
  <c r="R13" i="58"/>
  <c r="BB10" i="58"/>
  <c r="BJ10" i="58"/>
  <c r="BD10" i="58"/>
  <c r="BL10" i="58"/>
  <c r="AG13" i="58"/>
  <c r="R14" i="58"/>
  <c r="AY10" i="58"/>
  <c r="BG10" i="58"/>
  <c r="BO10" i="58"/>
  <c r="Q13" i="58"/>
  <c r="AI13" i="58"/>
  <c r="AG14" i="58"/>
  <c r="AH13" i="58"/>
  <c r="BY13" i="58"/>
  <c r="AV10" i="58"/>
  <c r="BX10" i="58"/>
  <c r="N13" i="58"/>
  <c r="BR13" i="58"/>
  <c r="BV13" i="58"/>
  <c r="BZ13" i="58"/>
  <c r="AE13" i="58"/>
  <c r="AY13" i="58"/>
  <c r="BC13" i="58"/>
  <c r="BG13" i="58"/>
  <c r="BK13" i="58"/>
  <c r="BO13" i="58"/>
  <c r="BW13" i="58"/>
  <c r="CA13" i="58"/>
  <c r="N14" i="58"/>
  <c r="AE14" i="58"/>
  <c r="BU12" i="57"/>
  <c r="BV12" i="57"/>
  <c r="BW12" i="57"/>
  <c r="BX12" i="57"/>
  <c r="BY12" i="57"/>
  <c r="BZ12" i="57"/>
  <c r="CA12" i="57"/>
  <c r="BT12" i="57"/>
  <c r="CA7" i="57"/>
  <c r="CA13" i="57" s="1"/>
  <c r="BT6" i="57"/>
  <c r="BU6" i="57"/>
  <c r="BT7" i="57"/>
  <c r="BU7" i="57"/>
  <c r="BV7" i="57"/>
  <c r="BW7" i="57"/>
  <c r="BX7" i="57"/>
  <c r="BY7" i="57"/>
  <c r="BZ7" i="57"/>
  <c r="CA10" i="57" l="1"/>
  <c r="AU14" i="57"/>
  <c r="AT14" i="57"/>
  <c r="AS14" i="57"/>
  <c r="AR14" i="57"/>
  <c r="AQ14" i="57"/>
  <c r="AP14" i="57"/>
  <c r="AO14" i="57"/>
  <c r="AN14" i="57"/>
  <c r="AM14" i="57"/>
  <c r="AL14" i="57"/>
  <c r="AK14" i="57"/>
  <c r="AJ14" i="57"/>
  <c r="AD14" i="57"/>
  <c r="AC14" i="57"/>
  <c r="AB14" i="57"/>
  <c r="AH14" i="57" s="1"/>
  <c r="AA14" i="57"/>
  <c r="Z14" i="57"/>
  <c r="Y14" i="57"/>
  <c r="AG14" i="57" s="1"/>
  <c r="X14" i="57"/>
  <c r="W14" i="57"/>
  <c r="V14" i="57"/>
  <c r="U14" i="57"/>
  <c r="T14" i="57"/>
  <c r="S14" i="57"/>
  <c r="M14" i="57"/>
  <c r="L14" i="57"/>
  <c r="K14" i="57"/>
  <c r="J14" i="57"/>
  <c r="I14" i="57"/>
  <c r="H14" i="57"/>
  <c r="P14" i="57" s="1"/>
  <c r="G14" i="57"/>
  <c r="O14" i="57" s="1"/>
  <c r="F14" i="57"/>
  <c r="E14" i="57"/>
  <c r="D14" i="57"/>
  <c r="C14" i="57"/>
  <c r="B14" i="57"/>
  <c r="AD13" i="57"/>
  <c r="AC13" i="57"/>
  <c r="AB13" i="57"/>
  <c r="AH13" i="57" s="1"/>
  <c r="AA13" i="57"/>
  <c r="Z13" i="57"/>
  <c r="Y13" i="57"/>
  <c r="AG13" i="57" s="1"/>
  <c r="X13" i="57"/>
  <c r="W13" i="57"/>
  <c r="V13" i="57"/>
  <c r="U13" i="57"/>
  <c r="T13" i="57"/>
  <c r="S13" i="57"/>
  <c r="M13" i="57"/>
  <c r="L13" i="57"/>
  <c r="K13" i="57"/>
  <c r="J13" i="57"/>
  <c r="I13" i="57"/>
  <c r="H13" i="57"/>
  <c r="G13" i="57"/>
  <c r="F13" i="57"/>
  <c r="E13" i="57"/>
  <c r="D13" i="57"/>
  <c r="C13" i="57"/>
  <c r="B13" i="57"/>
  <c r="BZ10" i="57"/>
  <c r="BV10" i="57"/>
  <c r="BR10" i="57"/>
  <c r="BZ13" i="57"/>
  <c r="BY10" i="57"/>
  <c r="BX13" i="57"/>
  <c r="BW13" i="57"/>
  <c r="BV13" i="57"/>
  <c r="BU13" i="57"/>
  <c r="BT13" i="57"/>
  <c r="BS7" i="57"/>
  <c r="BS13" i="57" s="1"/>
  <c r="BR7" i="57"/>
  <c r="BR13" i="57" s="1"/>
  <c r="BQ7" i="57"/>
  <c r="BQ10" i="57" s="1"/>
  <c r="BP7" i="57"/>
  <c r="BP13" i="57" s="1"/>
  <c r="BO7" i="57"/>
  <c r="BO13" i="57" s="1"/>
  <c r="BN7" i="57"/>
  <c r="BN13" i="57" s="1"/>
  <c r="BM7" i="57"/>
  <c r="BL7" i="57"/>
  <c r="BL13" i="57" s="1"/>
  <c r="BK7" i="57"/>
  <c r="BK13" i="57" s="1"/>
  <c r="BJ7" i="57"/>
  <c r="BJ13" i="57" s="1"/>
  <c r="BI7" i="57"/>
  <c r="BH7" i="57"/>
  <c r="BH13" i="57" s="1"/>
  <c r="BG7" i="57"/>
  <c r="BG13" i="57" s="1"/>
  <c r="BF7" i="57"/>
  <c r="BF13" i="57" s="1"/>
  <c r="BE7" i="57"/>
  <c r="BD7" i="57"/>
  <c r="BD13" i="57" s="1"/>
  <c r="BC7" i="57"/>
  <c r="BC13" i="57" s="1"/>
  <c r="BB7" i="57"/>
  <c r="BB13" i="57" s="1"/>
  <c r="BA7" i="57"/>
  <c r="AZ7" i="57"/>
  <c r="AZ13" i="57" s="1"/>
  <c r="AY7" i="57"/>
  <c r="AY13" i="57" s="1"/>
  <c r="AX7" i="57"/>
  <c r="AX13" i="57" s="1"/>
  <c r="AW7" i="57"/>
  <c r="AV7" i="57"/>
  <c r="AV13" i="57" s="1"/>
  <c r="AU7" i="57"/>
  <c r="AU13" i="57" s="1"/>
  <c r="AT7" i="57"/>
  <c r="AT13" i="57" s="1"/>
  <c r="AS7" i="57"/>
  <c r="AS13" i="57" s="1"/>
  <c r="AR7" i="57"/>
  <c r="AR13" i="57" s="1"/>
  <c r="AQ7" i="57"/>
  <c r="AQ13" i="57" s="1"/>
  <c r="AP7" i="57"/>
  <c r="AP13" i="57" s="1"/>
  <c r="AO7" i="57"/>
  <c r="AO13" i="57" s="1"/>
  <c r="AN7" i="57"/>
  <c r="AN13" i="57" s="1"/>
  <c r="AM7" i="57"/>
  <c r="AM13" i="57" s="1"/>
  <c r="AL7" i="57"/>
  <c r="AL13" i="57" s="1"/>
  <c r="AK7" i="57"/>
  <c r="AK13" i="57" s="1"/>
  <c r="AJ7" i="57"/>
  <c r="AJ13" i="57" s="1"/>
  <c r="AI7" i="57"/>
  <c r="AH7" i="57"/>
  <c r="AG7" i="57"/>
  <c r="AF7" i="57"/>
  <c r="AE7" i="57"/>
  <c r="R7" i="57"/>
  <c r="Q7" i="57"/>
  <c r="P7" i="57"/>
  <c r="O7" i="57"/>
  <c r="N7" i="57"/>
  <c r="BU10" i="57"/>
  <c r="BT10" i="57"/>
  <c r="BS6" i="57"/>
  <c r="BS10" i="57" s="1"/>
  <c r="BP6" i="57"/>
  <c r="BP10" i="57" s="1"/>
  <c r="BO6" i="57"/>
  <c r="BO10" i="57" s="1"/>
  <c r="BN6" i="57"/>
  <c r="BN10" i="57" s="1"/>
  <c r="BM6" i="57"/>
  <c r="BL6" i="57"/>
  <c r="BL10" i="57" s="1"/>
  <c r="BK6" i="57"/>
  <c r="BJ6" i="57"/>
  <c r="BJ10" i="57" s="1"/>
  <c r="BI6" i="57"/>
  <c r="BH6" i="57"/>
  <c r="BH10" i="57" s="1"/>
  <c r="BG6" i="57"/>
  <c r="BG10" i="57" s="1"/>
  <c r="BF6" i="57"/>
  <c r="BF10" i="57" s="1"/>
  <c r="BE6" i="57"/>
  <c r="BD6" i="57"/>
  <c r="BD10" i="57" s="1"/>
  <c r="BC6" i="57"/>
  <c r="BB6" i="57"/>
  <c r="BB10" i="57" s="1"/>
  <c r="BA6" i="57"/>
  <c r="AZ6" i="57"/>
  <c r="AZ10" i="57" s="1"/>
  <c r="AY6" i="57"/>
  <c r="AY10" i="57" s="1"/>
  <c r="AX6" i="57"/>
  <c r="AX10" i="57" s="1"/>
  <c r="AW6" i="57"/>
  <c r="AI5" i="57"/>
  <c r="AH5" i="57"/>
  <c r="AG5" i="57"/>
  <c r="AF5" i="57"/>
  <c r="AE5" i="57"/>
  <c r="R5" i="57"/>
  <c r="Q5" i="57"/>
  <c r="P5" i="57"/>
  <c r="O5" i="57"/>
  <c r="N5" i="57"/>
  <c r="AI4" i="57"/>
  <c r="AH4" i="57"/>
  <c r="AG4" i="57"/>
  <c r="AF4" i="57"/>
  <c r="AE4" i="57"/>
  <c r="R4" i="57"/>
  <c r="Q4" i="57"/>
  <c r="P4" i="57"/>
  <c r="O4" i="57"/>
  <c r="N4" i="57"/>
  <c r="P13" i="57" l="1"/>
  <c r="BC10" i="57"/>
  <c r="BK10" i="57"/>
  <c r="AW10" i="57"/>
  <c r="BE10" i="57"/>
  <c r="BM10" i="57"/>
  <c r="R13" i="57"/>
  <c r="R14" i="57"/>
  <c r="AF13" i="57"/>
  <c r="Q14" i="57"/>
  <c r="AF14" i="57"/>
  <c r="BA10" i="57"/>
  <c r="BI10" i="57"/>
  <c r="O13" i="57"/>
  <c r="Q13" i="57"/>
  <c r="AI13" i="57"/>
  <c r="AI14" i="57"/>
  <c r="AW13" i="57"/>
  <c r="BE13" i="57"/>
  <c r="BM13" i="57"/>
  <c r="BW10" i="57"/>
  <c r="N13" i="57"/>
  <c r="BA13" i="57"/>
  <c r="BI13" i="57"/>
  <c r="BQ13" i="57"/>
  <c r="BY13" i="57"/>
  <c r="AV10" i="57"/>
  <c r="BX10" i="57"/>
  <c r="AE13" i="57"/>
  <c r="N14" i="57"/>
  <c r="AE14" i="57"/>
  <c r="BZ7" i="56"/>
  <c r="BZ10" i="56" s="1"/>
  <c r="AU14" i="56"/>
  <c r="AT14" i="56"/>
  <c r="AS14" i="56"/>
  <c r="AR14" i="56"/>
  <c r="AQ14" i="56"/>
  <c r="AP14" i="56"/>
  <c r="AO14" i="56"/>
  <c r="AN14" i="56"/>
  <c r="AM14" i="56"/>
  <c r="AL14" i="56"/>
  <c r="AK14" i="56"/>
  <c r="AJ14" i="56"/>
  <c r="AD14" i="56"/>
  <c r="AC14" i="56"/>
  <c r="AB14" i="56"/>
  <c r="AH14" i="56" s="1"/>
  <c r="AA14" i="56"/>
  <c r="Z14" i="56"/>
  <c r="Y14" i="56"/>
  <c r="AG14" i="56" s="1"/>
  <c r="X14" i="56"/>
  <c r="W14" i="56"/>
  <c r="V14" i="56"/>
  <c r="U14" i="56"/>
  <c r="T14" i="56"/>
  <c r="S14" i="56"/>
  <c r="M14" i="56"/>
  <c r="L14" i="56"/>
  <c r="K14" i="56"/>
  <c r="J14" i="56"/>
  <c r="I14" i="56"/>
  <c r="H14" i="56"/>
  <c r="G14" i="56"/>
  <c r="F14" i="56"/>
  <c r="E14" i="56"/>
  <c r="D14" i="56"/>
  <c r="C14" i="56"/>
  <c r="B14" i="56"/>
  <c r="AD13" i="56"/>
  <c r="AC13" i="56"/>
  <c r="AB13" i="56"/>
  <c r="AH13" i="56" s="1"/>
  <c r="AA13" i="56"/>
  <c r="Z13" i="56"/>
  <c r="Y13" i="56"/>
  <c r="X13" i="56"/>
  <c r="W13" i="56"/>
  <c r="V13" i="56"/>
  <c r="U13" i="56"/>
  <c r="T13" i="56"/>
  <c r="S13" i="56"/>
  <c r="M13" i="56"/>
  <c r="L13" i="56"/>
  <c r="K13" i="56"/>
  <c r="J13" i="56"/>
  <c r="I13" i="56"/>
  <c r="H13" i="56"/>
  <c r="G13" i="56"/>
  <c r="F13" i="56"/>
  <c r="E13" i="56"/>
  <c r="D13" i="56"/>
  <c r="C13" i="56"/>
  <c r="B13" i="56"/>
  <c r="BY7" i="56"/>
  <c r="BY13" i="56" s="1"/>
  <c r="BX7" i="56"/>
  <c r="BX13" i="56" s="1"/>
  <c r="BW7" i="56"/>
  <c r="BW13" i="56" s="1"/>
  <c r="BV7" i="56"/>
  <c r="BV13" i="56" s="1"/>
  <c r="BU7" i="56"/>
  <c r="BU13" i="56" s="1"/>
  <c r="BT7" i="56"/>
  <c r="BT13" i="56" s="1"/>
  <c r="BS7" i="56"/>
  <c r="BS13" i="56" s="1"/>
  <c r="BR7" i="56"/>
  <c r="BR13" i="56" s="1"/>
  <c r="BQ7" i="56"/>
  <c r="BQ13" i="56" s="1"/>
  <c r="BP7" i="56"/>
  <c r="BP13" i="56" s="1"/>
  <c r="BO7" i="56"/>
  <c r="BO13" i="56" s="1"/>
  <c r="BN7" i="56"/>
  <c r="BN13" i="56" s="1"/>
  <c r="BM7" i="56"/>
  <c r="BM13" i="56" s="1"/>
  <c r="BL7" i="56"/>
  <c r="BL13" i="56" s="1"/>
  <c r="BK7" i="56"/>
  <c r="BK13" i="56" s="1"/>
  <c r="BJ7" i="56"/>
  <c r="BJ13" i="56" s="1"/>
  <c r="BI7" i="56"/>
  <c r="BI13" i="56" s="1"/>
  <c r="BH7" i="56"/>
  <c r="BH13" i="56" s="1"/>
  <c r="BG7" i="56"/>
  <c r="BG13" i="56" s="1"/>
  <c r="BF7" i="56"/>
  <c r="BF13" i="56" s="1"/>
  <c r="BE7" i="56"/>
  <c r="BE13" i="56" s="1"/>
  <c r="BD7" i="56"/>
  <c r="BD13" i="56" s="1"/>
  <c r="BC7" i="56"/>
  <c r="BC13" i="56" s="1"/>
  <c r="BB7" i="56"/>
  <c r="BB13" i="56" s="1"/>
  <c r="BA7" i="56"/>
  <c r="BA13" i="56" s="1"/>
  <c r="AZ7" i="56"/>
  <c r="AZ13" i="56" s="1"/>
  <c r="AY7" i="56"/>
  <c r="AY13" i="56" s="1"/>
  <c r="AX7" i="56"/>
  <c r="AX13" i="56" s="1"/>
  <c r="AW7" i="56"/>
  <c r="AW13" i="56" s="1"/>
  <c r="AV7" i="56"/>
  <c r="AV13" i="56" s="1"/>
  <c r="AU7" i="56"/>
  <c r="AU13" i="56" s="1"/>
  <c r="AT7" i="56"/>
  <c r="AT13" i="56" s="1"/>
  <c r="AS7" i="56"/>
  <c r="AS13" i="56" s="1"/>
  <c r="AR7" i="56"/>
  <c r="AR13" i="56" s="1"/>
  <c r="AQ7" i="56"/>
  <c r="AQ13" i="56" s="1"/>
  <c r="AP7" i="56"/>
  <c r="AP13" i="56" s="1"/>
  <c r="AO7" i="56"/>
  <c r="AO13" i="56" s="1"/>
  <c r="AN7" i="56"/>
  <c r="AN13" i="56" s="1"/>
  <c r="AM7" i="56"/>
  <c r="AM13" i="56" s="1"/>
  <c r="AL7" i="56"/>
  <c r="AL13" i="56" s="1"/>
  <c r="AK7" i="56"/>
  <c r="AK13" i="56" s="1"/>
  <c r="AJ7" i="56"/>
  <c r="AJ13" i="56" s="1"/>
  <c r="AI7" i="56"/>
  <c r="AH7" i="56"/>
  <c r="AG7" i="56"/>
  <c r="AF7" i="56"/>
  <c r="AE7" i="56"/>
  <c r="R7" i="56"/>
  <c r="Q7" i="56"/>
  <c r="P7" i="56"/>
  <c r="O7" i="56"/>
  <c r="N7" i="56"/>
  <c r="BU6" i="56"/>
  <c r="BU10" i="56" s="1"/>
  <c r="BT6" i="56"/>
  <c r="BT10" i="56" s="1"/>
  <c r="BS6" i="56"/>
  <c r="BS10" i="56" s="1"/>
  <c r="BP6" i="56"/>
  <c r="BO6" i="56"/>
  <c r="BO10" i="56" s="1"/>
  <c r="BN6" i="56"/>
  <c r="BN10" i="56" s="1"/>
  <c r="BM6" i="56"/>
  <c r="BL6" i="56"/>
  <c r="BK6" i="56"/>
  <c r="BK10" i="56" s="1"/>
  <c r="BJ6" i="56"/>
  <c r="BJ10" i="56" s="1"/>
  <c r="BI6" i="56"/>
  <c r="BI10" i="56" s="1"/>
  <c r="BH6" i="56"/>
  <c r="BG6" i="56"/>
  <c r="BG10" i="56" s="1"/>
  <c r="BF6" i="56"/>
  <c r="BF10" i="56" s="1"/>
  <c r="BE6" i="56"/>
  <c r="BD6" i="56"/>
  <c r="BC6" i="56"/>
  <c r="BC10" i="56" s="1"/>
  <c r="BB6" i="56"/>
  <c r="BB10" i="56" s="1"/>
  <c r="BA6" i="56"/>
  <c r="AZ6" i="56"/>
  <c r="AY6" i="56"/>
  <c r="AY10" i="56" s="1"/>
  <c r="AX6" i="56"/>
  <c r="AX10" i="56" s="1"/>
  <c r="AW6" i="56"/>
  <c r="AI5" i="56"/>
  <c r="AH5" i="56"/>
  <c r="AG5" i="56"/>
  <c r="AF5" i="56"/>
  <c r="AE5" i="56"/>
  <c r="R5" i="56"/>
  <c r="Q5" i="56"/>
  <c r="P5" i="56"/>
  <c r="O5" i="56"/>
  <c r="N5" i="56"/>
  <c r="AI4" i="56"/>
  <c r="AH4" i="56"/>
  <c r="AG4" i="56"/>
  <c r="AF4" i="56"/>
  <c r="AE4" i="56"/>
  <c r="R4" i="56"/>
  <c r="Q4" i="56"/>
  <c r="P4" i="56"/>
  <c r="O4" i="56"/>
  <c r="N4" i="56"/>
  <c r="AI13" i="56" l="1"/>
  <c r="BM10" i="56"/>
  <c r="R13" i="56"/>
  <c r="AF13" i="56"/>
  <c r="Q13" i="56"/>
  <c r="Q14" i="56"/>
  <c r="AF14" i="56"/>
  <c r="P14" i="56"/>
  <c r="AZ10" i="56"/>
  <c r="BD10" i="56"/>
  <c r="BH10" i="56"/>
  <c r="BL10" i="56"/>
  <c r="BP10" i="56"/>
  <c r="AV10" i="56"/>
  <c r="P13" i="56"/>
  <c r="AG13" i="56"/>
  <c r="O14" i="56"/>
  <c r="AW10" i="56"/>
  <c r="BA10" i="56"/>
  <c r="BE10" i="56"/>
  <c r="O13" i="56"/>
  <c r="R14" i="56"/>
  <c r="AI14" i="56"/>
  <c r="BX10" i="56"/>
  <c r="BZ13" i="56"/>
  <c r="BQ10" i="56"/>
  <c r="BY10" i="56"/>
  <c r="BR10" i="56"/>
  <c r="BV10" i="56"/>
  <c r="N13" i="56"/>
  <c r="N14" i="56"/>
  <c r="BW10" i="56"/>
  <c r="AE13" i="56"/>
  <c r="AE14" i="56"/>
  <c r="AU14" i="54"/>
  <c r="AT14" i="54"/>
  <c r="AS14" i="54"/>
  <c r="AR14" i="54"/>
  <c r="AQ14" i="54"/>
  <c r="AP14" i="54"/>
  <c r="AO14" i="54"/>
  <c r="AN14" i="54"/>
  <c r="AM14" i="54"/>
  <c r="AL14" i="54"/>
  <c r="AK14" i="54"/>
  <c r="AJ14" i="54"/>
  <c r="AD14" i="54"/>
  <c r="AC14" i="54"/>
  <c r="AB14" i="54"/>
  <c r="AA14" i="54"/>
  <c r="Z14" i="54"/>
  <c r="Y14" i="54"/>
  <c r="AG14" i="54" s="1"/>
  <c r="X14" i="54"/>
  <c r="W14" i="54"/>
  <c r="V14" i="54"/>
  <c r="U14" i="54"/>
  <c r="T14" i="54"/>
  <c r="S14" i="54"/>
  <c r="M14" i="54"/>
  <c r="L14" i="54"/>
  <c r="K14" i="54"/>
  <c r="Q14" i="54" s="1"/>
  <c r="J14" i="54"/>
  <c r="I14" i="54"/>
  <c r="H14" i="54"/>
  <c r="G14" i="54"/>
  <c r="F14" i="54"/>
  <c r="E14" i="54"/>
  <c r="O14" i="54" s="1"/>
  <c r="D14" i="54"/>
  <c r="C14" i="54"/>
  <c r="B14" i="54"/>
  <c r="R14" i="54" s="1"/>
  <c r="BT13" i="54"/>
  <c r="AV13" i="54"/>
  <c r="AD13" i="54"/>
  <c r="AC13" i="54"/>
  <c r="AB13" i="54"/>
  <c r="AA13" i="54"/>
  <c r="Z13" i="54"/>
  <c r="Y13" i="54"/>
  <c r="X13" i="54"/>
  <c r="AF13" i="54" s="1"/>
  <c r="W13" i="54"/>
  <c r="V13" i="54"/>
  <c r="U13" i="54"/>
  <c r="T13" i="54"/>
  <c r="S13" i="54"/>
  <c r="M13" i="54"/>
  <c r="L13" i="54"/>
  <c r="K13" i="54"/>
  <c r="J13" i="54"/>
  <c r="I13" i="54"/>
  <c r="H13" i="54"/>
  <c r="P13" i="54" s="1"/>
  <c r="G13" i="54"/>
  <c r="F13" i="54"/>
  <c r="E13" i="54"/>
  <c r="O13" i="54" s="1"/>
  <c r="D13" i="54"/>
  <c r="C13" i="54"/>
  <c r="B13" i="54"/>
  <c r="BY7" i="54"/>
  <c r="BY13" i="54" s="1"/>
  <c r="BX7" i="54"/>
  <c r="BX13" i="54" s="1"/>
  <c r="BW7" i="54"/>
  <c r="BW13" i="54" s="1"/>
  <c r="BV7" i="54"/>
  <c r="BV13" i="54" s="1"/>
  <c r="BU7" i="54"/>
  <c r="BU13" i="54" s="1"/>
  <c r="BT7" i="54"/>
  <c r="BS7" i="54"/>
  <c r="BS13" i="54" s="1"/>
  <c r="BR7" i="54"/>
  <c r="BR13" i="54" s="1"/>
  <c r="BQ7" i="54"/>
  <c r="BQ13" i="54" s="1"/>
  <c r="BP7" i="54"/>
  <c r="BP13" i="54" s="1"/>
  <c r="BO7" i="54"/>
  <c r="BO13" i="54" s="1"/>
  <c r="BN7" i="54"/>
  <c r="BN13" i="54" s="1"/>
  <c r="BM7" i="54"/>
  <c r="BM13" i="54" s="1"/>
  <c r="BL7" i="54"/>
  <c r="BL13" i="54" s="1"/>
  <c r="BK7" i="54"/>
  <c r="BK13" i="54" s="1"/>
  <c r="BJ7" i="54"/>
  <c r="BJ13" i="54" s="1"/>
  <c r="BI7" i="54"/>
  <c r="BI13" i="54" s="1"/>
  <c r="BH7" i="54"/>
  <c r="BH13" i="54" s="1"/>
  <c r="BG7" i="54"/>
  <c r="BG13" i="54" s="1"/>
  <c r="BF7" i="54"/>
  <c r="BF13" i="54" s="1"/>
  <c r="BE7" i="54"/>
  <c r="BE13" i="54" s="1"/>
  <c r="BD7" i="54"/>
  <c r="BD13" i="54" s="1"/>
  <c r="BC7" i="54"/>
  <c r="BC13" i="54" s="1"/>
  <c r="BB7" i="54"/>
  <c r="BB13" i="54" s="1"/>
  <c r="BA7" i="54"/>
  <c r="BA13" i="54" s="1"/>
  <c r="AZ7" i="54"/>
  <c r="AZ13" i="54" s="1"/>
  <c r="AY7" i="54"/>
  <c r="AY13" i="54" s="1"/>
  <c r="AX7" i="54"/>
  <c r="AX13" i="54" s="1"/>
  <c r="AW7" i="54"/>
  <c r="AW13" i="54" s="1"/>
  <c r="AV7" i="54"/>
  <c r="AV10" i="54" s="1"/>
  <c r="AU7" i="54"/>
  <c r="AU13" i="54" s="1"/>
  <c r="AT7" i="54"/>
  <c r="AT13" i="54" s="1"/>
  <c r="AS7" i="54"/>
  <c r="AS13" i="54" s="1"/>
  <c r="AR7" i="54"/>
  <c r="AR13" i="54" s="1"/>
  <c r="AQ7" i="54"/>
  <c r="AQ13" i="54" s="1"/>
  <c r="AP7" i="54"/>
  <c r="AP13" i="54" s="1"/>
  <c r="AO7" i="54"/>
  <c r="AO13" i="54" s="1"/>
  <c r="AN7" i="54"/>
  <c r="AN13" i="54" s="1"/>
  <c r="AM7" i="54"/>
  <c r="AM13" i="54" s="1"/>
  <c r="AL7" i="54"/>
  <c r="AL13" i="54" s="1"/>
  <c r="AK7" i="54"/>
  <c r="AK13" i="54" s="1"/>
  <c r="AJ7" i="54"/>
  <c r="AJ13" i="54" s="1"/>
  <c r="AI7" i="54"/>
  <c r="AH7" i="54"/>
  <c r="AG7" i="54"/>
  <c r="AF7" i="54"/>
  <c r="AE7" i="54"/>
  <c r="R7" i="54"/>
  <c r="Q7" i="54"/>
  <c r="P7" i="54"/>
  <c r="O7" i="54"/>
  <c r="N7" i="54"/>
  <c r="BY6" i="54"/>
  <c r="BY10" i="54" s="1"/>
  <c r="BX6" i="54"/>
  <c r="BX10" i="54" s="1"/>
  <c r="BW6" i="54"/>
  <c r="BV6" i="54"/>
  <c r="BV10" i="54" s="1"/>
  <c r="BU6" i="54"/>
  <c r="BU10" i="54" s="1"/>
  <c r="BT6" i="54"/>
  <c r="BT10" i="54" s="1"/>
  <c r="BS6" i="54"/>
  <c r="BS10" i="54" s="1"/>
  <c r="BP6" i="54"/>
  <c r="BO6" i="54"/>
  <c r="BN6" i="54"/>
  <c r="BN10" i="54" s="1"/>
  <c r="BM6" i="54"/>
  <c r="BM10" i="54" s="1"/>
  <c r="BL6" i="54"/>
  <c r="BL10" i="54" s="1"/>
  <c r="BK6" i="54"/>
  <c r="BK10" i="54" s="1"/>
  <c r="BJ6" i="54"/>
  <c r="BJ10" i="54" s="1"/>
  <c r="BI6" i="54"/>
  <c r="BI10" i="54" s="1"/>
  <c r="BH6" i="54"/>
  <c r="BG6" i="54"/>
  <c r="BF6" i="54"/>
  <c r="BF10" i="54" s="1"/>
  <c r="BE6" i="54"/>
  <c r="BE10" i="54" s="1"/>
  <c r="BD6" i="54"/>
  <c r="BD10" i="54" s="1"/>
  <c r="BC6" i="54"/>
  <c r="BC10" i="54" s="1"/>
  <c r="BB6" i="54"/>
  <c r="BB10" i="54" s="1"/>
  <c r="BA6" i="54"/>
  <c r="BA10" i="54" s="1"/>
  <c r="AZ6" i="54"/>
  <c r="AY6" i="54"/>
  <c r="AX6" i="54"/>
  <c r="AX10" i="54" s="1"/>
  <c r="AW6" i="54"/>
  <c r="AW10" i="54" s="1"/>
  <c r="AI5" i="54"/>
  <c r="AH5" i="54"/>
  <c r="AG5" i="54"/>
  <c r="AF5" i="54"/>
  <c r="AE5" i="54"/>
  <c r="R5" i="54"/>
  <c r="Q5" i="54"/>
  <c r="P5" i="54"/>
  <c r="O5" i="54"/>
  <c r="N5" i="54"/>
  <c r="AI4" i="54"/>
  <c r="AH4" i="54"/>
  <c r="AG4" i="54"/>
  <c r="AF4" i="54"/>
  <c r="AE4" i="54"/>
  <c r="R4" i="54"/>
  <c r="Q4" i="54"/>
  <c r="P4" i="54"/>
  <c r="O4" i="54"/>
  <c r="N4" i="54"/>
  <c r="AZ10" i="54" l="1"/>
  <c r="BH10" i="54"/>
  <c r="BP10" i="54"/>
  <c r="Q13" i="54"/>
  <c r="P14" i="54"/>
  <c r="AG13" i="54"/>
  <c r="AI13" i="54"/>
  <c r="AF14" i="54"/>
  <c r="AH13" i="54"/>
  <c r="BW10" i="54"/>
  <c r="AI14" i="54"/>
  <c r="AY10" i="54"/>
  <c r="BG10" i="54"/>
  <c r="BO10" i="54"/>
  <c r="R13" i="54"/>
  <c r="AH14" i="54"/>
  <c r="BQ10" i="54"/>
  <c r="BR10" i="54"/>
  <c r="N13" i="54"/>
  <c r="N14" i="54"/>
  <c r="AE13" i="54"/>
  <c r="AE14" i="54"/>
  <c r="AU14" i="55"/>
  <c r="AT14" i="55"/>
  <c r="AS14" i="55"/>
  <c r="AR14" i="55"/>
  <c r="AQ14" i="55"/>
  <c r="AP14" i="55"/>
  <c r="AO14" i="55"/>
  <c r="AN14" i="55"/>
  <c r="AM14" i="55"/>
  <c r="AL14" i="55"/>
  <c r="AK14" i="55"/>
  <c r="AJ14" i="55"/>
  <c r="AD14" i="55"/>
  <c r="AC14" i="55"/>
  <c r="AB14" i="55"/>
  <c r="AH14" i="55" s="1"/>
  <c r="AA14" i="55"/>
  <c r="Z14" i="55"/>
  <c r="Y14" i="55"/>
  <c r="X14" i="55"/>
  <c r="AF14" i="55" s="1"/>
  <c r="W14" i="55"/>
  <c r="V14" i="55"/>
  <c r="U14" i="55"/>
  <c r="T14" i="55"/>
  <c r="S14" i="55"/>
  <c r="AI14" i="55" s="1"/>
  <c r="M14" i="55"/>
  <c r="L14" i="55"/>
  <c r="K14" i="55"/>
  <c r="J14" i="55"/>
  <c r="I14" i="55"/>
  <c r="H14" i="55"/>
  <c r="P14" i="55" s="1"/>
  <c r="G14" i="55"/>
  <c r="F14" i="55"/>
  <c r="E14" i="55"/>
  <c r="D14" i="55"/>
  <c r="C14" i="55"/>
  <c r="B14" i="55"/>
  <c r="BH13" i="55"/>
  <c r="AD13" i="55"/>
  <c r="AC13" i="55"/>
  <c r="AB13" i="55"/>
  <c r="AA13" i="55"/>
  <c r="Z13" i="55"/>
  <c r="Y13" i="55"/>
  <c r="X13" i="55"/>
  <c r="W13" i="55"/>
  <c r="V13" i="55"/>
  <c r="U13" i="55"/>
  <c r="T13" i="55"/>
  <c r="S13" i="55"/>
  <c r="M13" i="55"/>
  <c r="L13" i="55"/>
  <c r="K13" i="55"/>
  <c r="J13" i="55"/>
  <c r="I13" i="55"/>
  <c r="H13" i="55"/>
  <c r="P13" i="55" s="1"/>
  <c r="G13" i="55"/>
  <c r="F13" i="55"/>
  <c r="E13" i="55"/>
  <c r="D13" i="55"/>
  <c r="C13" i="55"/>
  <c r="B13" i="55"/>
  <c r="AV10" i="55"/>
  <c r="BY7" i="55"/>
  <c r="BY13" i="55" s="1"/>
  <c r="BX7" i="55"/>
  <c r="BX10" i="55" s="1"/>
  <c r="BW7" i="55"/>
  <c r="BW13" i="55" s="1"/>
  <c r="BV7" i="55"/>
  <c r="BV13" i="55" s="1"/>
  <c r="BU7" i="55"/>
  <c r="BU13" i="55" s="1"/>
  <c r="BT7" i="55"/>
  <c r="BT13" i="55" s="1"/>
  <c r="BS7" i="55"/>
  <c r="BS13" i="55" s="1"/>
  <c r="BR7" i="55"/>
  <c r="BR13" i="55" s="1"/>
  <c r="BQ7" i="55"/>
  <c r="BQ13" i="55" s="1"/>
  <c r="BP7" i="55"/>
  <c r="BP13" i="55" s="1"/>
  <c r="BO7" i="55"/>
  <c r="BO13" i="55" s="1"/>
  <c r="BN7" i="55"/>
  <c r="BN13" i="55" s="1"/>
  <c r="BM7" i="55"/>
  <c r="BM13" i="55" s="1"/>
  <c r="BL7" i="55"/>
  <c r="BL13" i="55" s="1"/>
  <c r="BK7" i="55"/>
  <c r="BK13" i="55" s="1"/>
  <c r="BJ7" i="55"/>
  <c r="BJ13" i="55" s="1"/>
  <c r="BI7" i="55"/>
  <c r="BI13" i="55" s="1"/>
  <c r="BH7" i="55"/>
  <c r="BG7" i="55"/>
  <c r="BG13" i="55" s="1"/>
  <c r="BF7" i="55"/>
  <c r="BF13" i="55" s="1"/>
  <c r="BE7" i="55"/>
  <c r="BE13" i="55" s="1"/>
  <c r="BD7" i="55"/>
  <c r="BD13" i="55" s="1"/>
  <c r="BC7" i="55"/>
  <c r="BC13" i="55" s="1"/>
  <c r="BB7" i="55"/>
  <c r="BB13" i="55" s="1"/>
  <c r="BA7" i="55"/>
  <c r="BA13" i="55" s="1"/>
  <c r="AZ7" i="55"/>
  <c r="AZ13" i="55" s="1"/>
  <c r="AY7" i="55"/>
  <c r="AY13" i="55" s="1"/>
  <c r="AX7" i="55"/>
  <c r="AX13" i="55" s="1"/>
  <c r="AW7" i="55"/>
  <c r="AW13" i="55" s="1"/>
  <c r="AV7" i="55"/>
  <c r="AV13" i="55" s="1"/>
  <c r="AU7" i="55"/>
  <c r="AU13" i="55" s="1"/>
  <c r="AT7" i="55"/>
  <c r="AT13" i="55" s="1"/>
  <c r="AS7" i="55"/>
  <c r="AS13" i="55" s="1"/>
  <c r="AR7" i="55"/>
  <c r="AR13" i="55" s="1"/>
  <c r="AQ7" i="55"/>
  <c r="AQ13" i="55" s="1"/>
  <c r="AP7" i="55"/>
  <c r="AP13" i="55" s="1"/>
  <c r="AO7" i="55"/>
  <c r="AO13" i="55" s="1"/>
  <c r="AN7" i="55"/>
  <c r="AN13" i="55" s="1"/>
  <c r="AM7" i="55"/>
  <c r="AM13" i="55" s="1"/>
  <c r="AL7" i="55"/>
  <c r="AL13" i="55" s="1"/>
  <c r="AK7" i="55"/>
  <c r="AK13" i="55" s="1"/>
  <c r="AJ7" i="55"/>
  <c r="AJ13" i="55" s="1"/>
  <c r="AI7" i="55"/>
  <c r="AH7" i="55"/>
  <c r="AG7" i="55"/>
  <c r="AF7" i="55"/>
  <c r="AE7" i="55"/>
  <c r="R7" i="55"/>
  <c r="Q7" i="55"/>
  <c r="P7" i="55"/>
  <c r="O7" i="55"/>
  <c r="N7" i="55"/>
  <c r="BU6" i="55"/>
  <c r="BU10" i="55" s="1"/>
  <c r="BT6" i="55"/>
  <c r="BT10" i="55" s="1"/>
  <c r="BS6" i="55"/>
  <c r="BS10" i="55" s="1"/>
  <c r="BP6" i="55"/>
  <c r="BP10" i="55" s="1"/>
  <c r="BO6" i="55"/>
  <c r="BO10" i="55" s="1"/>
  <c r="BN6" i="55"/>
  <c r="BN10" i="55" s="1"/>
  <c r="BM6" i="55"/>
  <c r="BM10" i="55" s="1"/>
  <c r="BL6" i="55"/>
  <c r="BL10" i="55" s="1"/>
  <c r="BK6" i="55"/>
  <c r="BK10" i="55" s="1"/>
  <c r="BJ6" i="55"/>
  <c r="BI6" i="55"/>
  <c r="BI10" i="55" s="1"/>
  <c r="BH6" i="55"/>
  <c r="BH10" i="55" s="1"/>
  <c r="BG6" i="55"/>
  <c r="BG10" i="55" s="1"/>
  <c r="BF6" i="55"/>
  <c r="BF10" i="55" s="1"/>
  <c r="BE6" i="55"/>
  <c r="BE10" i="55" s="1"/>
  <c r="BD6" i="55"/>
  <c r="BD10" i="55" s="1"/>
  <c r="BC6" i="55"/>
  <c r="BC10" i="55" s="1"/>
  <c r="BB6" i="55"/>
  <c r="BA6" i="55"/>
  <c r="BA10" i="55" s="1"/>
  <c r="AZ6" i="55"/>
  <c r="AZ10" i="55" s="1"/>
  <c r="AY6" i="55"/>
  <c r="AY10" i="55" s="1"/>
  <c r="AX6" i="55"/>
  <c r="AX10" i="55" s="1"/>
  <c r="AW6" i="55"/>
  <c r="AW10" i="55" s="1"/>
  <c r="AI5" i="55"/>
  <c r="AH5" i="55"/>
  <c r="AG5" i="55"/>
  <c r="AF5" i="55"/>
  <c r="AE5" i="55"/>
  <c r="R5" i="55"/>
  <c r="Q5" i="55"/>
  <c r="P5" i="55"/>
  <c r="O5" i="55"/>
  <c r="N5" i="55"/>
  <c r="AI4" i="55"/>
  <c r="AH4" i="55"/>
  <c r="AG4" i="55"/>
  <c r="AF4" i="55"/>
  <c r="AE4" i="55"/>
  <c r="R4" i="55"/>
  <c r="Q4" i="55"/>
  <c r="P4" i="55"/>
  <c r="O4" i="55"/>
  <c r="N4" i="55"/>
  <c r="AI13" i="55" l="1"/>
  <c r="AG14" i="55"/>
  <c r="AH13" i="55"/>
  <c r="O14" i="55"/>
  <c r="BB10" i="55"/>
  <c r="BJ10" i="55"/>
  <c r="R13" i="55"/>
  <c r="Q13" i="55"/>
  <c r="AF13" i="55"/>
  <c r="AG13" i="55"/>
  <c r="R14" i="55"/>
  <c r="O13" i="55"/>
  <c r="Q14" i="55"/>
  <c r="BX13" i="55"/>
  <c r="BQ10" i="55"/>
  <c r="BY10" i="55"/>
  <c r="BR10" i="55"/>
  <c r="BV10" i="55"/>
  <c r="N13" i="55"/>
  <c r="N14" i="55"/>
  <c r="BW10" i="55"/>
  <c r="AE13" i="55"/>
  <c r="AE14" i="55"/>
  <c r="BX6" i="53" l="1"/>
  <c r="BX7" i="53"/>
  <c r="BX13" i="53"/>
  <c r="AU14" i="53"/>
  <c r="AT14" i="53"/>
  <c r="AS14" i="53"/>
  <c r="AR14" i="53"/>
  <c r="AQ14" i="53"/>
  <c r="AP14" i="53"/>
  <c r="AO14" i="53"/>
  <c r="AN14" i="53"/>
  <c r="AM14" i="53"/>
  <c r="AL14" i="53"/>
  <c r="AK14" i="53"/>
  <c r="AJ14" i="53"/>
  <c r="AD14" i="53"/>
  <c r="AH14" i="53" s="1"/>
  <c r="AC14" i="53"/>
  <c r="AB14" i="53"/>
  <c r="AA14" i="53"/>
  <c r="Z14" i="53"/>
  <c r="Y14" i="53"/>
  <c r="AG14" i="53"/>
  <c r="X14" i="53"/>
  <c r="V14" i="53"/>
  <c r="W14" i="53"/>
  <c r="U14" i="53"/>
  <c r="T14" i="53"/>
  <c r="S14" i="53"/>
  <c r="M14" i="53"/>
  <c r="Q14" i="53" s="1"/>
  <c r="L14" i="53"/>
  <c r="K14" i="53"/>
  <c r="J14" i="53"/>
  <c r="I14" i="53"/>
  <c r="H14" i="53"/>
  <c r="P14" i="53"/>
  <c r="G14" i="53"/>
  <c r="F14" i="53"/>
  <c r="E14" i="53"/>
  <c r="D14" i="53"/>
  <c r="C14" i="53"/>
  <c r="B14" i="53"/>
  <c r="BR7" i="53"/>
  <c r="BN7" i="53"/>
  <c r="BN13" i="53"/>
  <c r="BJ7" i="53"/>
  <c r="BJ13" i="53"/>
  <c r="BF7" i="53"/>
  <c r="BF13" i="53"/>
  <c r="BB7" i="53"/>
  <c r="BB13" i="53" s="1"/>
  <c r="AX7" i="53"/>
  <c r="AX13" i="53"/>
  <c r="AT7" i="53"/>
  <c r="AT13" i="53"/>
  <c r="AP7" i="53"/>
  <c r="AP13" i="53"/>
  <c r="AL7" i="53"/>
  <c r="AL13" i="53" s="1"/>
  <c r="AD13" i="53"/>
  <c r="AB13" i="53"/>
  <c r="AC13" i="53"/>
  <c r="AH13" i="53"/>
  <c r="AA13" i="53"/>
  <c r="Z13" i="53"/>
  <c r="Y13" i="53"/>
  <c r="AG13" i="53" s="1"/>
  <c r="X13" i="53"/>
  <c r="W13" i="53"/>
  <c r="V13" i="53"/>
  <c r="AF13" i="53"/>
  <c r="U13" i="53"/>
  <c r="T13" i="53"/>
  <c r="S13" i="53"/>
  <c r="M13" i="53"/>
  <c r="L13" i="53"/>
  <c r="K13" i="53"/>
  <c r="Q13" i="53"/>
  <c r="J13" i="53"/>
  <c r="I13" i="53"/>
  <c r="H13" i="53"/>
  <c r="P13" i="53" s="1"/>
  <c r="G13" i="53"/>
  <c r="F13" i="53"/>
  <c r="E13" i="53"/>
  <c r="O13" i="53"/>
  <c r="D13" i="53"/>
  <c r="C13" i="53"/>
  <c r="B13" i="53"/>
  <c r="BW7" i="53"/>
  <c r="BW13" i="53"/>
  <c r="BV7" i="53"/>
  <c r="BV13" i="53"/>
  <c r="BU7" i="53"/>
  <c r="BU13" i="53"/>
  <c r="BT7" i="53"/>
  <c r="BT13" i="53" s="1"/>
  <c r="BS7" i="53"/>
  <c r="BS13" i="53" s="1"/>
  <c r="BQ7" i="53"/>
  <c r="BQ13" i="53"/>
  <c r="BP7" i="53"/>
  <c r="BP13" i="53"/>
  <c r="BO7" i="53"/>
  <c r="BO13" i="53" s="1"/>
  <c r="BM7" i="53"/>
  <c r="BM13" i="53"/>
  <c r="BL7" i="53"/>
  <c r="BL13" i="53"/>
  <c r="BK7" i="53"/>
  <c r="BK13" i="53"/>
  <c r="BI7" i="53"/>
  <c r="BH7" i="53"/>
  <c r="BH13" i="53" s="1"/>
  <c r="BG7" i="53"/>
  <c r="BG13" i="53"/>
  <c r="BE7" i="53"/>
  <c r="BE13" i="53"/>
  <c r="BD7" i="53"/>
  <c r="BC7" i="53"/>
  <c r="BC13" i="53" s="1"/>
  <c r="BA7" i="53"/>
  <c r="BA13" i="53"/>
  <c r="AZ7" i="53"/>
  <c r="AZ13" i="53"/>
  <c r="AY7" i="53"/>
  <c r="AY13" i="53" s="1"/>
  <c r="AW7" i="53"/>
  <c r="AW13" i="53" s="1"/>
  <c r="AV7" i="53"/>
  <c r="AV13" i="53"/>
  <c r="AU7" i="53"/>
  <c r="AU13" i="53"/>
  <c r="AS7" i="53"/>
  <c r="AS13" i="53" s="1"/>
  <c r="AR7" i="53"/>
  <c r="AR13" i="53" s="1"/>
  <c r="AQ7" i="53"/>
  <c r="AQ13" i="53"/>
  <c r="AO7" i="53"/>
  <c r="AO13" i="53"/>
  <c r="AN7" i="53"/>
  <c r="AN13" i="53" s="1"/>
  <c r="AM7" i="53"/>
  <c r="AM13" i="53" s="1"/>
  <c r="AK7" i="53"/>
  <c r="AK13" i="53"/>
  <c r="AJ7" i="53"/>
  <c r="AJ13" i="53"/>
  <c r="AI7" i="53"/>
  <c r="AH7" i="53"/>
  <c r="AG7" i="53"/>
  <c r="AF7" i="53"/>
  <c r="AE7" i="53"/>
  <c r="R7" i="53"/>
  <c r="Q7" i="53"/>
  <c r="P7" i="53"/>
  <c r="O7" i="53"/>
  <c r="N7" i="53"/>
  <c r="BW6" i="53"/>
  <c r="BW10" i="53" s="1"/>
  <c r="BV6" i="53"/>
  <c r="BV10" i="53"/>
  <c r="BU6" i="53"/>
  <c r="BU10" i="53"/>
  <c r="BT6" i="53"/>
  <c r="BT10" i="53" s="1"/>
  <c r="BS6" i="53"/>
  <c r="BS10" i="53"/>
  <c r="BP6" i="53"/>
  <c r="BP10" i="53"/>
  <c r="BO6" i="53"/>
  <c r="BN6" i="53"/>
  <c r="BN10" i="53"/>
  <c r="BM6" i="53"/>
  <c r="BM10" i="53"/>
  <c r="BL6" i="53"/>
  <c r="BL10" i="53"/>
  <c r="BK6" i="53"/>
  <c r="BK10" i="53" s="1"/>
  <c r="BJ6" i="53"/>
  <c r="BJ10" i="53"/>
  <c r="BI6" i="53"/>
  <c r="BH6" i="53"/>
  <c r="BH10" i="53"/>
  <c r="BG6" i="53"/>
  <c r="BG10" i="53" s="1"/>
  <c r="BF6" i="53"/>
  <c r="BF10" i="53"/>
  <c r="BE6" i="53"/>
  <c r="BE10" i="53"/>
  <c r="BD6" i="53"/>
  <c r="BC6" i="53"/>
  <c r="BC10" i="53" s="1"/>
  <c r="BB6" i="53"/>
  <c r="BA6" i="53"/>
  <c r="BA10" i="53"/>
  <c r="AZ6" i="53"/>
  <c r="AZ10" i="53"/>
  <c r="AY6" i="53"/>
  <c r="AY10" i="53" s="1"/>
  <c r="AX6" i="53"/>
  <c r="AX10" i="53"/>
  <c r="AW6" i="53"/>
  <c r="AW10" i="53"/>
  <c r="AI5" i="53"/>
  <c r="AH5" i="53"/>
  <c r="AG5" i="53"/>
  <c r="AF5" i="53"/>
  <c r="AE5" i="53"/>
  <c r="R5" i="53"/>
  <c r="Q5" i="53"/>
  <c r="P5" i="53"/>
  <c r="O5" i="53"/>
  <c r="N5" i="53"/>
  <c r="AI4" i="53"/>
  <c r="AH4" i="53"/>
  <c r="AG4" i="53"/>
  <c r="AF4" i="53"/>
  <c r="AE4" i="53"/>
  <c r="R4" i="53"/>
  <c r="Q4" i="53"/>
  <c r="P4" i="53"/>
  <c r="O4" i="53"/>
  <c r="N4" i="53"/>
  <c r="BX10" i="53"/>
  <c r="BQ10" i="53"/>
  <c r="AV10" i="53"/>
  <c r="N14" i="53"/>
  <c r="AE14" i="53"/>
  <c r="BW6" i="52"/>
  <c r="BW10" i="52" s="1"/>
  <c r="BV6" i="52"/>
  <c r="BV10" i="52" s="1"/>
  <c r="BU6" i="52"/>
  <c r="BT6" i="52"/>
  <c r="BS6" i="52"/>
  <c r="BW7" i="52"/>
  <c r="BW13" i="52" s="1"/>
  <c r="AU14" i="52"/>
  <c r="AT14" i="52"/>
  <c r="AS14" i="52"/>
  <c r="AR14" i="52"/>
  <c r="AQ14" i="52"/>
  <c r="AP14" i="52"/>
  <c r="AO14" i="52"/>
  <c r="AN14" i="52"/>
  <c r="AM14" i="52"/>
  <c r="AL14" i="52"/>
  <c r="AK14" i="52"/>
  <c r="AJ14" i="52"/>
  <c r="AD14" i="52"/>
  <c r="AC14" i="52"/>
  <c r="AB14" i="52"/>
  <c r="AH14" i="52" s="1"/>
  <c r="AA14" i="52"/>
  <c r="Z14" i="52"/>
  <c r="Y14" i="52"/>
  <c r="AG14" i="52" s="1"/>
  <c r="X14" i="52"/>
  <c r="W14" i="52"/>
  <c r="V14" i="52"/>
  <c r="AF14" i="52" s="1"/>
  <c r="U14" i="52"/>
  <c r="T14" i="52"/>
  <c r="S14" i="52"/>
  <c r="M14" i="52"/>
  <c r="Q14" i="52" s="1"/>
  <c r="L14" i="52"/>
  <c r="K14" i="52"/>
  <c r="J14" i="52"/>
  <c r="I14" i="52"/>
  <c r="H14" i="52"/>
  <c r="G14" i="52"/>
  <c r="F14" i="52"/>
  <c r="E14" i="52"/>
  <c r="O14" i="52"/>
  <c r="D14" i="52"/>
  <c r="C14" i="52"/>
  <c r="B14" i="52"/>
  <c r="R14" i="52" s="1"/>
  <c r="AD13" i="52"/>
  <c r="AC13" i="52"/>
  <c r="AB13" i="52"/>
  <c r="AH13" i="52"/>
  <c r="AA13" i="52"/>
  <c r="Z13" i="52"/>
  <c r="Y13" i="52"/>
  <c r="AG13" i="52" s="1"/>
  <c r="X13" i="52"/>
  <c r="W13" i="52"/>
  <c r="V13" i="52"/>
  <c r="AF13" i="52"/>
  <c r="U13" i="52"/>
  <c r="T13" i="52"/>
  <c r="S13" i="52"/>
  <c r="Q13" i="52"/>
  <c r="M13" i="52"/>
  <c r="L13" i="52"/>
  <c r="K13" i="52"/>
  <c r="J13" i="52"/>
  <c r="I13" i="52"/>
  <c r="H13" i="52"/>
  <c r="P13" i="52" s="1"/>
  <c r="G13" i="52"/>
  <c r="O13" i="52" s="1"/>
  <c r="F13" i="52"/>
  <c r="E13" i="52"/>
  <c r="D13" i="52"/>
  <c r="C13" i="52"/>
  <c r="B13" i="52"/>
  <c r="BB10" i="52"/>
  <c r="AX10" i="52"/>
  <c r="BV7" i="52"/>
  <c r="BV13" i="52" s="1"/>
  <c r="BU7" i="52"/>
  <c r="BU10" i="52" s="1"/>
  <c r="BT7" i="52"/>
  <c r="BT13" i="52" s="1"/>
  <c r="BS7" i="52"/>
  <c r="BR7" i="52"/>
  <c r="BR13" i="52" s="1"/>
  <c r="BQ7" i="52"/>
  <c r="BQ10" i="52" s="1"/>
  <c r="BP7" i="52"/>
  <c r="BP13" i="52" s="1"/>
  <c r="BO7" i="52"/>
  <c r="BO13" i="52" s="1"/>
  <c r="BN7" i="52"/>
  <c r="BN13" i="52" s="1"/>
  <c r="BM7" i="52"/>
  <c r="BM13" i="52" s="1"/>
  <c r="BL7" i="52"/>
  <c r="BL13" i="52" s="1"/>
  <c r="BK7" i="52"/>
  <c r="BJ7" i="52"/>
  <c r="BJ13" i="52" s="1"/>
  <c r="BI7" i="52"/>
  <c r="BI13" i="52" s="1"/>
  <c r="BH7" i="52"/>
  <c r="BH13" i="52" s="1"/>
  <c r="BG7" i="52"/>
  <c r="BG13" i="52" s="1"/>
  <c r="BF7" i="52"/>
  <c r="BF13" i="52" s="1"/>
  <c r="BE7" i="52"/>
  <c r="BE13" i="52" s="1"/>
  <c r="BD7" i="52"/>
  <c r="BD13" i="52" s="1"/>
  <c r="BC7" i="52"/>
  <c r="BC13" i="52" s="1"/>
  <c r="BB7" i="52"/>
  <c r="BB13" i="52" s="1"/>
  <c r="BA7" i="52"/>
  <c r="BA13" i="52" s="1"/>
  <c r="AZ7" i="52"/>
  <c r="AZ13" i="52" s="1"/>
  <c r="AY7" i="52"/>
  <c r="AY13" i="52" s="1"/>
  <c r="AX7" i="52"/>
  <c r="AX13" i="52" s="1"/>
  <c r="AW7" i="52"/>
  <c r="AW13" i="52" s="1"/>
  <c r="AV7" i="52"/>
  <c r="AV13" i="52" s="1"/>
  <c r="AU7" i="52"/>
  <c r="AU13" i="52" s="1"/>
  <c r="AT7" i="52"/>
  <c r="AT13" i="52" s="1"/>
  <c r="AS7" i="52"/>
  <c r="AS13" i="52" s="1"/>
  <c r="AR7" i="52"/>
  <c r="AR13" i="52" s="1"/>
  <c r="AQ7" i="52"/>
  <c r="AQ13" i="52" s="1"/>
  <c r="AP7" i="52"/>
  <c r="AP13" i="52" s="1"/>
  <c r="AO7" i="52"/>
  <c r="AO13" i="52" s="1"/>
  <c r="AN7" i="52"/>
  <c r="AN13" i="52" s="1"/>
  <c r="AM7" i="52"/>
  <c r="AM13" i="52" s="1"/>
  <c r="AL7" i="52"/>
  <c r="AL13" i="52" s="1"/>
  <c r="AK7" i="52"/>
  <c r="AK13" i="52" s="1"/>
  <c r="AJ7" i="52"/>
  <c r="AJ13" i="52" s="1"/>
  <c r="AI7" i="52"/>
  <c r="AH7" i="52"/>
  <c r="AG7" i="52"/>
  <c r="AF7" i="52"/>
  <c r="AE7" i="52"/>
  <c r="R7" i="52"/>
  <c r="Q7" i="52"/>
  <c r="P7" i="52"/>
  <c r="O7" i="52"/>
  <c r="N7" i="52"/>
  <c r="BP6" i="52"/>
  <c r="BP10" i="52" s="1"/>
  <c r="BO6" i="52"/>
  <c r="BO10" i="52" s="1"/>
  <c r="BN6" i="52"/>
  <c r="BN10" i="52" s="1"/>
  <c r="BM6" i="52"/>
  <c r="BM10" i="52"/>
  <c r="BL6" i="52"/>
  <c r="BL10" i="52" s="1"/>
  <c r="BK6" i="52"/>
  <c r="BJ6" i="52"/>
  <c r="BJ10" i="52" s="1"/>
  <c r="BI6" i="52"/>
  <c r="BI10" i="52" s="1"/>
  <c r="BH6" i="52"/>
  <c r="BH10" i="52" s="1"/>
  <c r="BG6" i="52"/>
  <c r="BF6" i="52"/>
  <c r="BF10" i="52" s="1"/>
  <c r="BE6" i="52"/>
  <c r="BE10" i="52"/>
  <c r="BD6" i="52"/>
  <c r="BD10" i="52"/>
  <c r="BC6" i="52"/>
  <c r="BC10" i="52" s="1"/>
  <c r="BB6" i="52"/>
  <c r="BA6" i="52"/>
  <c r="BA10" i="52" s="1"/>
  <c r="AZ6" i="52"/>
  <c r="AZ10" i="52" s="1"/>
  <c r="AY6" i="52"/>
  <c r="AX6" i="52"/>
  <c r="AW6" i="52"/>
  <c r="AW10" i="52"/>
  <c r="AI5" i="52"/>
  <c r="AH5" i="52"/>
  <c r="AG5" i="52"/>
  <c r="AF5" i="52"/>
  <c r="AE5" i="52"/>
  <c r="R5" i="52"/>
  <c r="Q5" i="52"/>
  <c r="P5" i="52"/>
  <c r="O5" i="52"/>
  <c r="N5" i="52"/>
  <c r="AI4" i="52"/>
  <c r="AH4" i="52"/>
  <c r="AG4" i="52"/>
  <c r="AF4" i="52"/>
  <c r="AE4" i="52"/>
  <c r="R4" i="52"/>
  <c r="Q4" i="52"/>
  <c r="P4" i="52"/>
  <c r="O4" i="52"/>
  <c r="N4" i="52"/>
  <c r="BQ13" i="52"/>
  <c r="AV10" i="52"/>
  <c r="BT10" i="52"/>
  <c r="N14" i="52"/>
  <c r="BU13" i="52"/>
  <c r="BV7" i="51"/>
  <c r="BV10" i="51"/>
  <c r="AU14" i="51"/>
  <c r="AT14" i="51"/>
  <c r="AS14" i="51"/>
  <c r="AR14" i="51"/>
  <c r="AQ14" i="51"/>
  <c r="AP14" i="51"/>
  <c r="AO14" i="51"/>
  <c r="AN14" i="51"/>
  <c r="AM14" i="51"/>
  <c r="AL14" i="51"/>
  <c r="AK14" i="51"/>
  <c r="AJ14" i="51"/>
  <c r="AD14" i="51"/>
  <c r="AC14" i="51"/>
  <c r="AB14" i="51"/>
  <c r="AA14" i="51"/>
  <c r="Z14" i="51"/>
  <c r="Y14" i="51"/>
  <c r="X14" i="51"/>
  <c r="W14" i="51"/>
  <c r="V14" i="51"/>
  <c r="U14" i="51"/>
  <c r="T14" i="51"/>
  <c r="S14" i="51"/>
  <c r="M14" i="51"/>
  <c r="L14" i="51"/>
  <c r="K14" i="51"/>
  <c r="J14" i="51"/>
  <c r="P14" i="51" s="1"/>
  <c r="I14" i="51"/>
  <c r="H14" i="51"/>
  <c r="G14" i="51"/>
  <c r="F14" i="51"/>
  <c r="E14" i="51"/>
  <c r="D14" i="51"/>
  <c r="C14" i="51"/>
  <c r="B14" i="51"/>
  <c r="AD13" i="51"/>
  <c r="AH13" i="51" s="1"/>
  <c r="AC13" i="51"/>
  <c r="AB13" i="51"/>
  <c r="AA13" i="51"/>
  <c r="Z13" i="51"/>
  <c r="Y13" i="51"/>
  <c r="AG13" i="51" s="1"/>
  <c r="X13" i="51"/>
  <c r="W13" i="51"/>
  <c r="AI13" i="51" s="1"/>
  <c r="V13" i="51"/>
  <c r="U13" i="51"/>
  <c r="T13" i="51"/>
  <c r="S13" i="51"/>
  <c r="M13" i="51"/>
  <c r="L13" i="51"/>
  <c r="K13" i="51"/>
  <c r="Q13" i="51" s="1"/>
  <c r="J13" i="51"/>
  <c r="I13" i="51"/>
  <c r="H13" i="51"/>
  <c r="G13" i="51"/>
  <c r="F13" i="51"/>
  <c r="E13" i="51"/>
  <c r="D13" i="51"/>
  <c r="C13" i="51"/>
  <c r="B13" i="51"/>
  <c r="N13" i="51" s="1"/>
  <c r="BU7" i="51"/>
  <c r="BU13" i="51" s="1"/>
  <c r="BT7" i="51"/>
  <c r="BT13" i="51" s="1"/>
  <c r="BS7" i="51"/>
  <c r="BS13" i="51" s="1"/>
  <c r="BR7" i="51"/>
  <c r="BQ7" i="51"/>
  <c r="BQ13" i="51" s="1"/>
  <c r="BP7" i="51"/>
  <c r="BP13" i="51" s="1"/>
  <c r="BO7" i="51"/>
  <c r="BO13" i="51" s="1"/>
  <c r="BN7" i="51"/>
  <c r="BN13" i="51" s="1"/>
  <c r="BM7" i="51"/>
  <c r="BM13" i="51" s="1"/>
  <c r="BL7" i="51"/>
  <c r="BL13" i="51" s="1"/>
  <c r="BK7" i="51"/>
  <c r="BK13" i="51" s="1"/>
  <c r="BJ7" i="51"/>
  <c r="BJ13" i="51" s="1"/>
  <c r="BI7" i="51"/>
  <c r="BI13" i="51" s="1"/>
  <c r="BH7" i="51"/>
  <c r="BH13" i="51" s="1"/>
  <c r="BG7" i="51"/>
  <c r="BG13" i="51" s="1"/>
  <c r="BF7" i="51"/>
  <c r="BE7" i="51"/>
  <c r="BE13" i="51" s="1"/>
  <c r="BD7" i="51"/>
  <c r="BD13" i="51" s="1"/>
  <c r="BC7" i="51"/>
  <c r="BC13" i="51" s="1"/>
  <c r="BB7" i="51"/>
  <c r="BA7" i="51"/>
  <c r="BA13" i="51" s="1"/>
  <c r="AZ7" i="51"/>
  <c r="AZ13" i="51" s="1"/>
  <c r="AY7" i="51"/>
  <c r="AY13" i="51" s="1"/>
  <c r="AX7" i="51"/>
  <c r="AW7" i="51"/>
  <c r="AW13" i="51" s="1"/>
  <c r="AV7" i="51"/>
  <c r="AV13" i="51" s="1"/>
  <c r="AU7" i="51"/>
  <c r="AU13" i="51" s="1"/>
  <c r="AT7" i="51"/>
  <c r="AT13" i="51" s="1"/>
  <c r="AS7" i="51"/>
  <c r="AS13" i="51" s="1"/>
  <c r="AR7" i="51"/>
  <c r="AR13" i="51" s="1"/>
  <c r="AQ7" i="51"/>
  <c r="AQ13" i="51" s="1"/>
  <c r="AP7" i="51"/>
  <c r="AP13" i="51" s="1"/>
  <c r="AO7" i="51"/>
  <c r="AO13" i="51" s="1"/>
  <c r="AN7" i="51"/>
  <c r="AN13" i="51" s="1"/>
  <c r="AM7" i="51"/>
  <c r="AM13" i="51" s="1"/>
  <c r="AL7" i="51"/>
  <c r="AL13" i="51" s="1"/>
  <c r="AK7" i="51"/>
  <c r="AK13" i="51" s="1"/>
  <c r="AJ7" i="51"/>
  <c r="AJ13" i="51" s="1"/>
  <c r="AI7" i="51"/>
  <c r="AH7" i="51"/>
  <c r="AG7" i="51"/>
  <c r="AF7" i="51"/>
  <c r="AE7" i="51"/>
  <c r="R7" i="51"/>
  <c r="Q7" i="51"/>
  <c r="P7" i="51"/>
  <c r="O7" i="51"/>
  <c r="N7" i="51"/>
  <c r="BP6" i="51"/>
  <c r="BO6" i="51"/>
  <c r="BO10" i="51" s="1"/>
  <c r="BN6" i="51"/>
  <c r="BM6" i="51"/>
  <c r="BM10" i="51" s="1"/>
  <c r="BL6" i="51"/>
  <c r="BK6" i="51"/>
  <c r="BK10" i="51"/>
  <c r="BJ6" i="51"/>
  <c r="BJ10" i="51" s="1"/>
  <c r="BI6" i="51"/>
  <c r="BI10" i="51" s="1"/>
  <c r="BH6" i="51"/>
  <c r="BG6" i="51"/>
  <c r="BG10" i="51"/>
  <c r="BF6" i="51"/>
  <c r="BE6" i="51"/>
  <c r="BE10" i="51" s="1"/>
  <c r="BD6" i="51"/>
  <c r="BC6" i="51"/>
  <c r="BC10" i="51"/>
  <c r="BB6" i="51"/>
  <c r="BA6" i="51"/>
  <c r="BA10" i="51" s="1"/>
  <c r="AZ6" i="51"/>
  <c r="AZ10" i="51" s="1"/>
  <c r="AY6" i="51"/>
  <c r="AY10" i="51" s="1"/>
  <c r="AX6" i="51"/>
  <c r="AW6" i="51"/>
  <c r="AW10" i="51" s="1"/>
  <c r="AI5" i="51"/>
  <c r="AH5" i="51"/>
  <c r="AG5" i="51"/>
  <c r="AF5" i="51"/>
  <c r="AE5" i="51"/>
  <c r="R5" i="51"/>
  <c r="Q5" i="51"/>
  <c r="P5" i="51"/>
  <c r="O5" i="51"/>
  <c r="N5" i="51"/>
  <c r="AI4" i="51"/>
  <c r="AH4" i="51"/>
  <c r="AG4" i="51"/>
  <c r="AF4" i="51"/>
  <c r="AE4" i="51"/>
  <c r="R4" i="51"/>
  <c r="Q4" i="51"/>
  <c r="P4" i="51"/>
  <c r="O4" i="51"/>
  <c r="N4" i="51"/>
  <c r="O14" i="51"/>
  <c r="BV13" i="51"/>
  <c r="Q14" i="51"/>
  <c r="AH14" i="51"/>
  <c r="AG14" i="51"/>
  <c r="BH10" i="51"/>
  <c r="BL10" i="51"/>
  <c r="BP10" i="51"/>
  <c r="P13" i="51"/>
  <c r="BD10" i="51"/>
  <c r="BS10" i="51"/>
  <c r="O13" i="51"/>
  <c r="AV10" i="51"/>
  <c r="BT10" i="51"/>
  <c r="BQ10" i="51"/>
  <c r="BU10" i="51"/>
  <c r="AE13" i="51"/>
  <c r="AE14" i="51"/>
  <c r="I98" i="26"/>
  <c r="H98" i="26"/>
  <c r="G98" i="26"/>
  <c r="F98" i="26"/>
  <c r="I97" i="26"/>
  <c r="H97" i="26"/>
  <c r="G97" i="26"/>
  <c r="F97" i="26"/>
  <c r="I96" i="26"/>
  <c r="H96" i="26"/>
  <c r="G96" i="26"/>
  <c r="F96" i="26"/>
  <c r="I95" i="26"/>
  <c r="H95" i="26"/>
  <c r="G95" i="26"/>
  <c r="F95" i="26"/>
  <c r="I94" i="26"/>
  <c r="H94" i="26"/>
  <c r="G94" i="26"/>
  <c r="F94" i="26"/>
  <c r="I93" i="26"/>
  <c r="H93" i="26"/>
  <c r="G93" i="26"/>
  <c r="F93" i="26"/>
  <c r="AG92" i="26"/>
  <c r="AE92" i="26"/>
  <c r="AD92" i="26"/>
  <c r="Q92" i="26"/>
  <c r="P92" i="26"/>
  <c r="O92" i="26"/>
  <c r="N92" i="26"/>
  <c r="M92" i="26"/>
  <c r="L92" i="26"/>
  <c r="K92" i="26"/>
  <c r="I92" i="26"/>
  <c r="I100" i="26" s="1"/>
  <c r="H92" i="26"/>
  <c r="G92" i="26"/>
  <c r="F92" i="26"/>
  <c r="I89" i="26"/>
  <c r="H89" i="26"/>
  <c r="G89" i="26"/>
  <c r="F89" i="26"/>
  <c r="AB88" i="26"/>
  <c r="Y88" i="26"/>
  <c r="X88" i="26"/>
  <c r="U88" i="26"/>
  <c r="J88" i="26"/>
  <c r="I88" i="26"/>
  <c r="H88" i="26"/>
  <c r="G88" i="26"/>
  <c r="F88" i="26"/>
  <c r="I87" i="26"/>
  <c r="H87" i="26"/>
  <c r="G87" i="26"/>
  <c r="F87" i="26"/>
  <c r="I86" i="26"/>
  <c r="H86" i="26"/>
  <c r="G86" i="26"/>
  <c r="F86" i="26"/>
  <c r="I85" i="26"/>
  <c r="H85" i="26"/>
  <c r="G85" i="26"/>
  <c r="F85" i="26"/>
  <c r="I84" i="26"/>
  <c r="H84" i="26"/>
  <c r="G84" i="26"/>
  <c r="F84" i="26"/>
  <c r="I83" i="26"/>
  <c r="H83" i="26"/>
  <c r="G83" i="26"/>
  <c r="F83" i="26"/>
  <c r="X80" i="26"/>
  <c r="U80" i="26"/>
  <c r="AB79" i="26"/>
  <c r="Y79" i="26"/>
  <c r="X79" i="26"/>
  <c r="U79" i="26"/>
  <c r="AC78" i="26"/>
  <c r="AB78" i="26"/>
  <c r="Y78" i="26"/>
  <c r="X78" i="26"/>
  <c r="U78" i="26"/>
  <c r="AC77" i="26"/>
  <c r="AC86" i="26" s="1"/>
  <c r="AB77" i="26"/>
  <c r="Y77" i="26"/>
  <c r="X77" i="26"/>
  <c r="U77" i="26"/>
  <c r="O77" i="26"/>
  <c r="AC76" i="26"/>
  <c r="Y76" i="26"/>
  <c r="X76" i="26"/>
  <c r="X85" i="26" s="1"/>
  <c r="U76" i="26"/>
  <c r="O76" i="26"/>
  <c r="AC75" i="26"/>
  <c r="AB75" i="26"/>
  <c r="Y75" i="26"/>
  <c r="X75" i="26"/>
  <c r="U75" i="26"/>
  <c r="O75" i="26"/>
  <c r="AC74" i="26"/>
  <c r="AB74" i="26"/>
  <c r="AB83" i="26" s="1"/>
  <c r="Y74" i="26"/>
  <c r="Y83" i="26" s="1"/>
  <c r="X74" i="26"/>
  <c r="X83" i="26" s="1"/>
  <c r="U74" i="26"/>
  <c r="O74" i="26"/>
  <c r="N71" i="26"/>
  <c r="AC70" i="26"/>
  <c r="AC71" i="26" s="1"/>
  <c r="AC80" i="26" s="1"/>
  <c r="AC89" i="26" s="1"/>
  <c r="AB70" i="26"/>
  <c r="AB71" i="26"/>
  <c r="AB80" i="26" s="1"/>
  <c r="AB89" i="26" s="1"/>
  <c r="Y70" i="26"/>
  <c r="Y71" i="26" s="1"/>
  <c r="X70" i="26"/>
  <c r="W70" i="26"/>
  <c r="W71" i="26" s="1"/>
  <c r="V70" i="26"/>
  <c r="V71" i="26" s="1"/>
  <c r="U70" i="26"/>
  <c r="T70" i="26"/>
  <c r="T71" i="26" s="1"/>
  <c r="S70" i="26"/>
  <c r="S71" i="26"/>
  <c r="R70" i="26"/>
  <c r="R71" i="26"/>
  <c r="R80" i="26" s="1"/>
  <c r="Q70" i="26"/>
  <c r="Q71" i="26" s="1"/>
  <c r="P70" i="26"/>
  <c r="P71" i="26" s="1"/>
  <c r="O70" i="26"/>
  <c r="O71" i="26" s="1"/>
  <c r="O80" i="26" s="1"/>
  <c r="O89" i="26" s="1"/>
  <c r="M70" i="26"/>
  <c r="M80" i="26" s="1"/>
  <c r="L70" i="26"/>
  <c r="K70" i="26"/>
  <c r="K89" i="26"/>
  <c r="J70" i="26"/>
  <c r="J89" i="26" s="1"/>
  <c r="AH69" i="26"/>
  <c r="AH70" i="26" s="1"/>
  <c r="AG69" i="26"/>
  <c r="AF69" i="26"/>
  <c r="AE69" i="26"/>
  <c r="AD69" i="26"/>
  <c r="B69" i="26"/>
  <c r="AH68" i="26"/>
  <c r="AG68" i="26"/>
  <c r="AF68" i="26"/>
  <c r="AF70" i="26" s="1"/>
  <c r="AE68" i="26"/>
  <c r="AD68" i="26"/>
  <c r="B68" i="26"/>
  <c r="AH67" i="26"/>
  <c r="AG67" i="26"/>
  <c r="AF67" i="26"/>
  <c r="AE67" i="26"/>
  <c r="AD67" i="26"/>
  <c r="AD70" i="26" s="1"/>
  <c r="AH66" i="26"/>
  <c r="AG66" i="26"/>
  <c r="AF66" i="26"/>
  <c r="AE66" i="26"/>
  <c r="AD66" i="26"/>
  <c r="B66" i="26"/>
  <c r="AC62" i="26"/>
  <c r="AC61" i="26"/>
  <c r="AB61" i="26"/>
  <c r="Y61" i="26"/>
  <c r="X61" i="26"/>
  <c r="W61" i="26"/>
  <c r="W62" i="26"/>
  <c r="V61" i="26"/>
  <c r="V62" i="26" s="1"/>
  <c r="U61" i="26"/>
  <c r="T61" i="26"/>
  <c r="T62" i="26" s="1"/>
  <c r="S61" i="26"/>
  <c r="S62" i="26" s="1"/>
  <c r="R61" i="26"/>
  <c r="R62" i="26"/>
  <c r="Q61" i="26"/>
  <c r="Q62" i="26"/>
  <c r="P61" i="26"/>
  <c r="P62" i="26" s="1"/>
  <c r="O61" i="26"/>
  <c r="O62" i="26"/>
  <c r="N61" i="26"/>
  <c r="M61" i="26"/>
  <c r="M88" i="26"/>
  <c r="L61" i="26"/>
  <c r="K61" i="26"/>
  <c r="AH60" i="26"/>
  <c r="AG60" i="26"/>
  <c r="AF60" i="26"/>
  <c r="AE60" i="26"/>
  <c r="AD60" i="26"/>
  <c r="B60" i="26"/>
  <c r="AH59" i="26"/>
  <c r="AG59" i="26"/>
  <c r="AF59" i="26"/>
  <c r="AE59" i="26"/>
  <c r="AD59" i="26"/>
  <c r="B59" i="26"/>
  <c r="AH58" i="26"/>
  <c r="AG58" i="26"/>
  <c r="AG61" i="26" s="1"/>
  <c r="AF58" i="26"/>
  <c r="AE58" i="26"/>
  <c r="AD58" i="26"/>
  <c r="B58" i="26"/>
  <c r="AH57" i="26"/>
  <c r="AG57" i="26"/>
  <c r="AF57" i="26"/>
  <c r="AE57" i="26"/>
  <c r="AE61" i="26" s="1"/>
  <c r="AE88" i="26" s="1"/>
  <c r="AD57" i="26"/>
  <c r="B57" i="26"/>
  <c r="AG53" i="26"/>
  <c r="AC52" i="26"/>
  <c r="AB52" i="26"/>
  <c r="Y52" i="26"/>
  <c r="X52" i="26"/>
  <c r="W52" i="26"/>
  <c r="V52" i="26"/>
  <c r="V53" i="26"/>
  <c r="U52" i="26"/>
  <c r="T52" i="26"/>
  <c r="T53" i="26"/>
  <c r="S52" i="26"/>
  <c r="S53" i="26"/>
  <c r="R52" i="26"/>
  <c r="R53" i="26" s="1"/>
  <c r="Q52" i="26"/>
  <c r="Q53" i="26" s="1"/>
  <c r="P52" i="26"/>
  <c r="P53" i="26"/>
  <c r="O52" i="26"/>
  <c r="O53" i="26"/>
  <c r="N52" i="26"/>
  <c r="N53" i="26" s="1"/>
  <c r="M52" i="26"/>
  <c r="K52" i="26"/>
  <c r="J52" i="26"/>
  <c r="F52" i="26"/>
  <c r="AH51" i="26"/>
  <c r="AG51" i="26"/>
  <c r="AG52" i="26" s="1"/>
  <c r="AG43" i="26" s="1"/>
  <c r="AF51" i="26"/>
  <c r="AE51" i="26"/>
  <c r="AD51" i="26"/>
  <c r="B51" i="26"/>
  <c r="AH50" i="26"/>
  <c r="AG50" i="26"/>
  <c r="AF50" i="26"/>
  <c r="AE50" i="26"/>
  <c r="AE52" i="26" s="1"/>
  <c r="AD50" i="26"/>
  <c r="B50" i="26"/>
  <c r="B67" i="26"/>
  <c r="AH49" i="26"/>
  <c r="AG49" i="26"/>
  <c r="AF49" i="26"/>
  <c r="AE49" i="26"/>
  <c r="AD49" i="26"/>
  <c r="B49" i="26"/>
  <c r="AH48" i="26"/>
  <c r="AG48" i="26"/>
  <c r="AF48" i="26"/>
  <c r="AE48" i="26"/>
  <c r="AD48" i="26"/>
  <c r="B48" i="26"/>
  <c r="AI44" i="26"/>
  <c r="AC44" i="26"/>
  <c r="AB44" i="26"/>
  <c r="Y44" i="26"/>
  <c r="X44" i="26"/>
  <c r="U44" i="26"/>
  <c r="AG42" i="26"/>
  <c r="AC41" i="26"/>
  <c r="AB41" i="26"/>
  <c r="AB43" i="26" s="1"/>
  <c r="Y41" i="26"/>
  <c r="X41" i="26"/>
  <c r="W41" i="26"/>
  <c r="W42" i="26" s="1"/>
  <c r="V41" i="26"/>
  <c r="V42" i="26" s="1"/>
  <c r="U41" i="26"/>
  <c r="U43" i="26" s="1"/>
  <c r="T41" i="26"/>
  <c r="S41" i="26"/>
  <c r="S42" i="26" s="1"/>
  <c r="R41" i="26"/>
  <c r="R42" i="26"/>
  <c r="Q41" i="26"/>
  <c r="Q42" i="26" s="1"/>
  <c r="P41" i="26"/>
  <c r="P43" i="26" s="1"/>
  <c r="O41" i="26"/>
  <c r="N41" i="26"/>
  <c r="N43" i="26" s="1"/>
  <c r="M41" i="26"/>
  <c r="L41" i="26"/>
  <c r="K41" i="26"/>
  <c r="J41" i="26"/>
  <c r="AH40" i="26"/>
  <c r="AH41" i="26" s="1"/>
  <c r="AH43" i="26" s="1"/>
  <c r="AG40" i="26"/>
  <c r="AF40" i="26"/>
  <c r="AE40" i="26"/>
  <c r="AD40" i="26"/>
  <c r="B40" i="26"/>
  <c r="AH39" i="26"/>
  <c r="AG39" i="26"/>
  <c r="AF39" i="26"/>
  <c r="AF41" i="26" s="1"/>
  <c r="AF43" i="26" s="1"/>
  <c r="AE39" i="26"/>
  <c r="AD39" i="26"/>
  <c r="B39" i="26"/>
  <c r="AH38" i="26"/>
  <c r="AG38" i="26"/>
  <c r="AF38" i="26"/>
  <c r="AE38" i="26"/>
  <c r="AD38" i="26"/>
  <c r="AD41" i="26" s="1"/>
  <c r="AD43" i="26" s="1"/>
  <c r="AH37" i="26"/>
  <c r="AG37" i="26"/>
  <c r="AF37" i="26"/>
  <c r="AE37" i="26"/>
  <c r="AD37" i="26"/>
  <c r="B37" i="26"/>
  <c r="AC32" i="26"/>
  <c r="AB32" i="26"/>
  <c r="AB33" i="26" s="1"/>
  <c r="Y32" i="26"/>
  <c r="X32" i="26"/>
  <c r="W32" i="26"/>
  <c r="W33" i="26"/>
  <c r="V32" i="26"/>
  <c r="V33" i="26" s="1"/>
  <c r="AF33" i="26" s="1"/>
  <c r="U32" i="26"/>
  <c r="T32" i="26"/>
  <c r="T33" i="26" s="1"/>
  <c r="S32" i="26"/>
  <c r="S33" i="26" s="1"/>
  <c r="R32" i="26"/>
  <c r="R33" i="26" s="1"/>
  <c r="R76" i="26" s="1"/>
  <c r="Q32" i="26"/>
  <c r="Q33" i="26"/>
  <c r="Q76" i="26" s="1"/>
  <c r="P32" i="26"/>
  <c r="P33" i="26" s="1"/>
  <c r="O32" i="26"/>
  <c r="N32" i="26"/>
  <c r="N33" i="26"/>
  <c r="M32" i="26"/>
  <c r="L32" i="26"/>
  <c r="K32" i="26"/>
  <c r="J32" i="26"/>
  <c r="F32" i="26"/>
  <c r="AH31" i="26"/>
  <c r="AG31" i="26"/>
  <c r="AF31" i="26"/>
  <c r="AE31" i="26"/>
  <c r="AD31" i="26"/>
  <c r="B31" i="26"/>
  <c r="AH30" i="26"/>
  <c r="AG30" i="26"/>
  <c r="AF30" i="26"/>
  <c r="AE30" i="26"/>
  <c r="AD30" i="26"/>
  <c r="B30" i="26"/>
  <c r="AH29" i="26"/>
  <c r="AG29" i="26"/>
  <c r="AG32" i="26" s="1"/>
  <c r="AF29" i="26"/>
  <c r="AF32" i="26" s="1"/>
  <c r="AE29" i="26"/>
  <c r="AD29" i="26"/>
  <c r="AH28" i="26"/>
  <c r="AG28" i="26"/>
  <c r="AF28" i="26"/>
  <c r="AE28" i="26"/>
  <c r="AD28" i="26"/>
  <c r="AD32" i="26" s="1"/>
  <c r="B28" i="26"/>
  <c r="B38" i="26" s="1"/>
  <c r="AG24" i="26"/>
  <c r="AC23" i="26"/>
  <c r="AB23" i="26"/>
  <c r="Y23" i="26"/>
  <c r="X23" i="26"/>
  <c r="W23" i="26"/>
  <c r="W24" i="26" s="1"/>
  <c r="V23" i="26"/>
  <c r="V24" i="26" s="1"/>
  <c r="U23" i="26"/>
  <c r="T23" i="26"/>
  <c r="T24" i="26" s="1"/>
  <c r="S23" i="26"/>
  <c r="S24" i="26"/>
  <c r="AE24" i="26" s="1"/>
  <c r="R23" i="26"/>
  <c r="R24" i="26" s="1"/>
  <c r="Q23" i="26"/>
  <c r="Q24" i="26" s="1"/>
  <c r="P23" i="26"/>
  <c r="P24" i="26"/>
  <c r="O23" i="26"/>
  <c r="N23" i="26"/>
  <c r="N24" i="26" s="1"/>
  <c r="N75" i="26" s="1"/>
  <c r="M23" i="26"/>
  <c r="AH22" i="26"/>
  <c r="AG22" i="26"/>
  <c r="AF22" i="26"/>
  <c r="AE22" i="26"/>
  <c r="AD22" i="26"/>
  <c r="AH21" i="26"/>
  <c r="AG21" i="26"/>
  <c r="AF21" i="26"/>
  <c r="AE21" i="26"/>
  <c r="AD21" i="26"/>
  <c r="B21" i="26"/>
  <c r="AH20" i="26"/>
  <c r="AG20" i="26"/>
  <c r="AG23" i="26" s="1"/>
  <c r="AF20" i="26"/>
  <c r="AF23" i="26" s="1"/>
  <c r="AE20" i="26"/>
  <c r="AD20" i="26"/>
  <c r="B20" i="26"/>
  <c r="AH19" i="26"/>
  <c r="AG19" i="26"/>
  <c r="AF19" i="26"/>
  <c r="AE19" i="26"/>
  <c r="AD19" i="26"/>
  <c r="AD23" i="26" s="1"/>
  <c r="B19" i="26"/>
  <c r="C17" i="26"/>
  <c r="C26" i="26" s="1"/>
  <c r="C35" i="26" s="1"/>
  <c r="C46" i="26" s="1"/>
  <c r="C55" i="26" s="1"/>
  <c r="C64" i="26" s="1"/>
  <c r="AG15" i="26"/>
  <c r="AG75" i="26" s="1"/>
  <c r="AC14" i="26"/>
  <c r="AB14" i="26"/>
  <c r="Y14" i="26"/>
  <c r="X14" i="26"/>
  <c r="W14" i="26"/>
  <c r="W15" i="26"/>
  <c r="W77" i="26" s="1"/>
  <c r="V14" i="26"/>
  <c r="V15" i="26" s="1"/>
  <c r="U14" i="26"/>
  <c r="T14" i="26"/>
  <c r="T15" i="26" s="1"/>
  <c r="T74" i="26" s="1"/>
  <c r="T83" i="26" s="1"/>
  <c r="S14" i="26"/>
  <c r="S15" i="26" s="1"/>
  <c r="R14" i="26"/>
  <c r="R15" i="26" s="1"/>
  <c r="Q14" i="26"/>
  <c r="Q15" i="26"/>
  <c r="P14" i="26"/>
  <c r="P15" i="26" s="1"/>
  <c r="P78" i="26" s="1"/>
  <c r="O14" i="26"/>
  <c r="N14" i="26"/>
  <c r="N15" i="26"/>
  <c r="N80" i="26" s="1"/>
  <c r="N89" i="26" s="1"/>
  <c r="M14" i="26"/>
  <c r="L14" i="26"/>
  <c r="K14" i="26"/>
  <c r="J14" i="26"/>
  <c r="AH13" i="26"/>
  <c r="AG13" i="26"/>
  <c r="AF13" i="26"/>
  <c r="AE13" i="26"/>
  <c r="AD13" i="26"/>
  <c r="B13" i="26"/>
  <c r="B22" i="26" s="1"/>
  <c r="B29" i="26" s="1"/>
  <c r="AH12" i="26"/>
  <c r="AG12" i="26"/>
  <c r="AF12" i="26"/>
  <c r="AF14" i="26" s="1"/>
  <c r="AE12" i="26"/>
  <c r="AE14" i="26" s="1"/>
  <c r="AD12" i="26"/>
  <c r="B12" i="26"/>
  <c r="AH11" i="26"/>
  <c r="AG11" i="26"/>
  <c r="AF11" i="26"/>
  <c r="AE11" i="26"/>
  <c r="AD11" i="26"/>
  <c r="AD14" i="26" s="1"/>
  <c r="B11" i="26"/>
  <c r="AH10" i="26"/>
  <c r="AG10" i="26"/>
  <c r="AF10" i="26"/>
  <c r="AE10" i="26"/>
  <c r="AD10" i="26"/>
  <c r="B10" i="26"/>
  <c r="AE41" i="26"/>
  <c r="AE43" i="26" s="1"/>
  <c r="M43" i="26"/>
  <c r="Y43" i="26"/>
  <c r="Y84" i="26"/>
  <c r="S43" i="26"/>
  <c r="AH14" i="26"/>
  <c r="K53" i="26"/>
  <c r="T43" i="26"/>
  <c r="X43" i="26"/>
  <c r="AG44" i="26"/>
  <c r="AE70" i="26"/>
  <c r="AH32" i="26"/>
  <c r="U89" i="26"/>
  <c r="AH23" i="26"/>
  <c r="O43" i="26"/>
  <c r="AC43" i="26"/>
  <c r="AF52" i="26"/>
  <c r="AD52" i="26"/>
  <c r="AH52" i="26"/>
  <c r="AC87" i="26"/>
  <c r="Y87" i="26"/>
  <c r="AE23" i="26"/>
  <c r="AE32" i="26"/>
  <c r="P42" i="26"/>
  <c r="K72" i="26"/>
  <c r="AB87" i="26"/>
  <c r="AG14" i="26"/>
  <c r="K77" i="26"/>
  <c r="K95" i="26" s="1"/>
  <c r="M79" i="26"/>
  <c r="AG70" i="26"/>
  <c r="AC83" i="26"/>
  <c r="AF24" i="26"/>
  <c r="J76" i="26"/>
  <c r="N76" i="26"/>
  <c r="R43" i="26"/>
  <c r="AF61" i="26"/>
  <c r="Y86" i="26"/>
  <c r="K80" i="26"/>
  <c r="Q74" i="26"/>
  <c r="AH24" i="26"/>
  <c r="V75" i="26"/>
  <c r="L78" i="26"/>
  <c r="L74" i="26"/>
  <c r="L72" i="26"/>
  <c r="L53" i="26"/>
  <c r="L24" i="26"/>
  <c r="L33" i="26"/>
  <c r="O95" i="26"/>
  <c r="O86" i="26"/>
  <c r="M74" i="26"/>
  <c r="M72" i="26"/>
  <c r="M75" i="26"/>
  <c r="L77" i="26"/>
  <c r="L43" i="26"/>
  <c r="N42" i="26"/>
  <c r="T42" i="26"/>
  <c r="AG77" i="26"/>
  <c r="K78" i="26"/>
  <c r="N88" i="26"/>
  <c r="N62" i="26"/>
  <c r="N79" i="26"/>
  <c r="R88" i="26"/>
  <c r="Q80" i="26"/>
  <c r="Q89" i="26" s="1"/>
  <c r="K74" i="26"/>
  <c r="H100" i="26"/>
  <c r="J74" i="26"/>
  <c r="J79" i="26"/>
  <c r="J75" i="26"/>
  <c r="L76" i="26"/>
  <c r="M77" i="26"/>
  <c r="M78" i="26"/>
  <c r="O88" i="26"/>
  <c r="O79" i="26"/>
  <c r="O97" i="26"/>
  <c r="W88" i="26"/>
  <c r="Y80" i="26"/>
  <c r="Y89" i="26" s="1"/>
  <c r="O98" i="26"/>
  <c r="O83" i="26"/>
  <c r="AG74" i="26"/>
  <c r="M89" i="26"/>
  <c r="L62" i="26"/>
  <c r="N74" i="26"/>
  <c r="N85" i="26" s="1"/>
  <c r="K75" i="26"/>
  <c r="K62" i="26"/>
  <c r="K24" i="26"/>
  <c r="M76" i="26"/>
  <c r="AG41" i="26"/>
  <c r="J77" i="26"/>
  <c r="K43" i="26"/>
  <c r="Q43" i="26"/>
  <c r="V43" i="26"/>
  <c r="V78" i="26"/>
  <c r="AD61" i="26"/>
  <c r="AD88" i="26" s="1"/>
  <c r="AH61" i="26"/>
  <c r="AE71" i="26"/>
  <c r="L75" i="26"/>
  <c r="AC84" i="26"/>
  <c r="K88" i="26"/>
  <c r="K79" i="26"/>
  <c r="X87" i="26"/>
  <c r="J78" i="26"/>
  <c r="J87" i="26" s="1"/>
  <c r="AG78" i="26"/>
  <c r="L79" i="26"/>
  <c r="AC88" i="26"/>
  <c r="AC79" i="26"/>
  <c r="AG62" i="26"/>
  <c r="AG79" i="26" s="1"/>
  <c r="O85" i="26"/>
  <c r="X86" i="26"/>
  <c r="J80" i="26"/>
  <c r="X84" i="26"/>
  <c r="Y85" i="26"/>
  <c r="AB86" i="26"/>
  <c r="F100" i="26"/>
  <c r="O94" i="26"/>
  <c r="L89" i="26"/>
  <c r="L80" i="26"/>
  <c r="AB84" i="26"/>
  <c r="AC85" i="26"/>
  <c r="X89" i="26"/>
  <c r="L88" i="26"/>
  <c r="G100" i="26"/>
  <c r="K97" i="26"/>
  <c r="K86" i="26"/>
  <c r="N97" i="26"/>
  <c r="AG96" i="26"/>
  <c r="AG87" i="26"/>
  <c r="AG83" i="26"/>
  <c r="AG98" i="26"/>
  <c r="M95" i="26"/>
  <c r="K83" i="26"/>
  <c r="K98" i="26"/>
  <c r="N77" i="26"/>
  <c r="N86" i="26" s="1"/>
  <c r="Q98" i="26"/>
  <c r="Q83" i="26"/>
  <c r="L85" i="26"/>
  <c r="L94" i="26"/>
  <c r="M83" i="26"/>
  <c r="L96" i="26"/>
  <c r="L87" i="26"/>
  <c r="M94" i="26"/>
  <c r="T44" i="26"/>
  <c r="L93" i="26"/>
  <c r="L100" i="26" s="1"/>
  <c r="L84" i="26"/>
  <c r="N98" i="26"/>
  <c r="N83" i="26"/>
  <c r="L98" i="26"/>
  <c r="L83" i="26"/>
  <c r="N94" i="26"/>
  <c r="L97" i="26"/>
  <c r="K84" i="26"/>
  <c r="K93" i="26"/>
  <c r="K100" i="26"/>
  <c r="AG95" i="26"/>
  <c r="AG86" i="26"/>
  <c r="L95" i="26"/>
  <c r="L86" i="26"/>
  <c r="N95" i="26"/>
  <c r="I99" i="25"/>
  <c r="H99" i="25"/>
  <c r="G99" i="25"/>
  <c r="F99" i="25"/>
  <c r="I98" i="25"/>
  <c r="H98" i="25"/>
  <c r="G98" i="25"/>
  <c r="F98" i="25"/>
  <c r="I97" i="25"/>
  <c r="H97" i="25"/>
  <c r="G97" i="25"/>
  <c r="F97" i="25"/>
  <c r="I96" i="25"/>
  <c r="H96" i="25"/>
  <c r="G96" i="25"/>
  <c r="F96" i="25"/>
  <c r="I95" i="25"/>
  <c r="H95" i="25"/>
  <c r="G95" i="25"/>
  <c r="F95" i="25"/>
  <c r="F101" i="25" s="1"/>
  <c r="I94" i="25"/>
  <c r="H94" i="25"/>
  <c r="G94" i="25"/>
  <c r="F94" i="25"/>
  <c r="AG93" i="25"/>
  <c r="AE93" i="25"/>
  <c r="AD93" i="25"/>
  <c r="Q93" i="25"/>
  <c r="P93" i="25"/>
  <c r="O93" i="25"/>
  <c r="N93" i="25"/>
  <c r="M93" i="25"/>
  <c r="L93" i="25"/>
  <c r="K93" i="25"/>
  <c r="I93" i="25"/>
  <c r="H93" i="25"/>
  <c r="G93" i="25"/>
  <c r="F93" i="25"/>
  <c r="I90" i="25"/>
  <c r="H90" i="25"/>
  <c r="G90" i="25"/>
  <c r="F90" i="25"/>
  <c r="AC89" i="25"/>
  <c r="AB89" i="25"/>
  <c r="AA89" i="25"/>
  <c r="X89" i="25"/>
  <c r="U89" i="25"/>
  <c r="J89" i="25"/>
  <c r="I89" i="25"/>
  <c r="H89" i="25"/>
  <c r="G89" i="25"/>
  <c r="F89" i="25"/>
  <c r="I88" i="25"/>
  <c r="H88" i="25"/>
  <c r="G88" i="25"/>
  <c r="F88" i="25"/>
  <c r="I87" i="25"/>
  <c r="H87" i="25"/>
  <c r="G87" i="25"/>
  <c r="F87" i="25"/>
  <c r="I86" i="25"/>
  <c r="H86" i="25"/>
  <c r="G86" i="25"/>
  <c r="F86" i="25"/>
  <c r="I85" i="25"/>
  <c r="H85" i="25"/>
  <c r="G85" i="25"/>
  <c r="F85" i="25"/>
  <c r="I84" i="25"/>
  <c r="H84" i="25"/>
  <c r="G84" i="25"/>
  <c r="F84" i="25"/>
  <c r="AC81" i="25"/>
  <c r="AC90" i="25" s="1"/>
  <c r="AB81" i="25"/>
  <c r="AA81" i="25"/>
  <c r="X81" i="25"/>
  <c r="U81" i="25"/>
  <c r="AC80" i="25"/>
  <c r="AB80" i="25"/>
  <c r="AA80" i="25"/>
  <c r="X80" i="25"/>
  <c r="U80" i="25"/>
  <c r="AC79" i="25"/>
  <c r="AB79" i="25"/>
  <c r="AB88" i="25" s="1"/>
  <c r="AA79" i="25"/>
  <c r="X79" i="25"/>
  <c r="U79" i="25"/>
  <c r="AC78" i="25"/>
  <c r="AB78" i="25"/>
  <c r="AA78" i="25"/>
  <c r="X78" i="25"/>
  <c r="U78" i="25"/>
  <c r="O78" i="25"/>
  <c r="AC77" i="25"/>
  <c r="AB77" i="25"/>
  <c r="AB86" i="25" s="1"/>
  <c r="AA77" i="25"/>
  <c r="X77" i="25"/>
  <c r="U77" i="25"/>
  <c r="O77" i="25"/>
  <c r="AC76" i="25"/>
  <c r="AC85" i="25" s="1"/>
  <c r="AB76" i="25"/>
  <c r="AA76" i="25"/>
  <c r="X76" i="25"/>
  <c r="U76" i="25"/>
  <c r="O76" i="25"/>
  <c r="AC75" i="25"/>
  <c r="AC84" i="25" s="1"/>
  <c r="AB75" i="25"/>
  <c r="AB90" i="25" s="1"/>
  <c r="AA75" i="25"/>
  <c r="AA84" i="25"/>
  <c r="X75" i="25"/>
  <c r="U75" i="25"/>
  <c r="O75" i="25"/>
  <c r="AG72" i="25"/>
  <c r="N72" i="25"/>
  <c r="AC71" i="25"/>
  <c r="AB71" i="25"/>
  <c r="AA71" i="25"/>
  <c r="X71" i="25"/>
  <c r="W71" i="25"/>
  <c r="W72" i="25" s="1"/>
  <c r="V71" i="25"/>
  <c r="V72" i="25" s="1"/>
  <c r="U71" i="25"/>
  <c r="T71" i="25"/>
  <c r="T72" i="25" s="1"/>
  <c r="S71" i="25"/>
  <c r="S72" i="25" s="1"/>
  <c r="S81" i="25" s="1"/>
  <c r="S90" i="25" s="1"/>
  <c r="R71" i="25"/>
  <c r="R72" i="25"/>
  <c r="R81" i="25" s="1"/>
  <c r="Q71" i="25"/>
  <c r="Q72" i="25"/>
  <c r="P71" i="25"/>
  <c r="P72" i="25" s="1"/>
  <c r="O71" i="25"/>
  <c r="O72" i="25" s="1"/>
  <c r="O81" i="25" s="1"/>
  <c r="M71" i="25"/>
  <c r="M90" i="25" s="1"/>
  <c r="L71" i="25"/>
  <c r="K71" i="25"/>
  <c r="K90" i="25"/>
  <c r="J71" i="25"/>
  <c r="J81" i="25"/>
  <c r="AH70" i="25"/>
  <c r="AG70" i="25"/>
  <c r="AF70" i="25"/>
  <c r="AF71" i="25" s="1"/>
  <c r="AE70" i="25"/>
  <c r="AD70" i="25"/>
  <c r="B70" i="25"/>
  <c r="AH69" i="25"/>
  <c r="AG69" i="25"/>
  <c r="AF69" i="25"/>
  <c r="AE69" i="25"/>
  <c r="AD69" i="25"/>
  <c r="B69" i="25"/>
  <c r="AH68" i="25"/>
  <c r="AG68" i="25"/>
  <c r="AF68" i="25"/>
  <c r="AE68" i="25"/>
  <c r="AD68" i="25"/>
  <c r="AH67" i="25"/>
  <c r="AG67" i="25"/>
  <c r="AF67" i="25"/>
  <c r="AE67" i="25"/>
  <c r="AD67" i="25"/>
  <c r="AD71" i="25" s="1"/>
  <c r="B67" i="25"/>
  <c r="AG63" i="25"/>
  <c r="AC62" i="25"/>
  <c r="AB62" i="25"/>
  <c r="AA62" i="25"/>
  <c r="X62" i="25"/>
  <c r="W62" i="25"/>
  <c r="W63" i="25"/>
  <c r="W89" i="25" s="1"/>
  <c r="V62" i="25"/>
  <c r="V63" i="25"/>
  <c r="U62" i="25"/>
  <c r="T62" i="25"/>
  <c r="T63" i="25"/>
  <c r="S62" i="25"/>
  <c r="S63" i="25"/>
  <c r="R62" i="25"/>
  <c r="R63" i="25" s="1"/>
  <c r="R89" i="25" s="1"/>
  <c r="Q62" i="25"/>
  <c r="Q63" i="25" s="1"/>
  <c r="P62" i="25"/>
  <c r="P63" i="25"/>
  <c r="AD63" i="25" s="1"/>
  <c r="O62" i="25"/>
  <c r="O63" i="25"/>
  <c r="N62" i="25"/>
  <c r="N89" i="25" s="1"/>
  <c r="M62" i="25"/>
  <c r="M80" i="25" s="1"/>
  <c r="L62" i="25"/>
  <c r="K62" i="25"/>
  <c r="AH61" i="25"/>
  <c r="AG61" i="25"/>
  <c r="AF61" i="25"/>
  <c r="AE61" i="25"/>
  <c r="AD61" i="25"/>
  <c r="B61" i="25"/>
  <c r="AH60" i="25"/>
  <c r="AG60" i="25"/>
  <c r="AF60" i="25"/>
  <c r="AE60" i="25"/>
  <c r="AD60" i="25"/>
  <c r="B60" i="25"/>
  <c r="AH59" i="25"/>
  <c r="AG59" i="25"/>
  <c r="AF59" i="25"/>
  <c r="AE59" i="25"/>
  <c r="AD59" i="25"/>
  <c r="AD62" i="25" s="1"/>
  <c r="AD89" i="25" s="1"/>
  <c r="B59" i="25"/>
  <c r="AH58" i="25"/>
  <c r="AG58" i="25"/>
  <c r="AG62" i="25" s="1"/>
  <c r="AF58" i="25"/>
  <c r="AE58" i="25"/>
  <c r="AD58" i="25"/>
  <c r="B58" i="25"/>
  <c r="AG54" i="25"/>
  <c r="AC53" i="25"/>
  <c r="AB53" i="25"/>
  <c r="AA53" i="25"/>
  <c r="X53" i="25"/>
  <c r="W53" i="25"/>
  <c r="W54" i="25" s="1"/>
  <c r="V53" i="25"/>
  <c r="V54" i="25"/>
  <c r="AF54" i="25" s="1"/>
  <c r="U53" i="25"/>
  <c r="T53" i="25"/>
  <c r="T54" i="25"/>
  <c r="S53" i="25"/>
  <c r="S54" i="25"/>
  <c r="S79" i="25" s="1"/>
  <c r="S88" i="25" s="1"/>
  <c r="R53" i="25"/>
  <c r="R54" i="25" s="1"/>
  <c r="Q53" i="25"/>
  <c r="Q54" i="25" s="1"/>
  <c r="P53" i="25"/>
  <c r="P54" i="25"/>
  <c r="AD54" i="25" s="1"/>
  <c r="O53" i="25"/>
  <c r="O54" i="25"/>
  <c r="O44" i="25" s="1"/>
  <c r="N53" i="25"/>
  <c r="N54" i="25" s="1"/>
  <c r="M53" i="25"/>
  <c r="M43" i="25" s="1"/>
  <c r="K53" i="25"/>
  <c r="J53" i="25"/>
  <c r="F53" i="25"/>
  <c r="AH52" i="25"/>
  <c r="AG52" i="25"/>
  <c r="AG53" i="25" s="1"/>
  <c r="AF52" i="25"/>
  <c r="AE52" i="25"/>
  <c r="AD52" i="25"/>
  <c r="B52" i="25"/>
  <c r="AH51" i="25"/>
  <c r="AG51" i="25"/>
  <c r="AF51" i="25"/>
  <c r="AE51" i="25"/>
  <c r="AE53" i="25" s="1"/>
  <c r="AD51" i="25"/>
  <c r="B51" i="25"/>
  <c r="B68" i="25"/>
  <c r="AH50" i="25"/>
  <c r="AG50" i="25"/>
  <c r="AF50" i="25"/>
  <c r="AF53" i="25" s="1"/>
  <c r="AE50" i="25"/>
  <c r="AD50" i="25"/>
  <c r="B50" i="25"/>
  <c r="AH49" i="25"/>
  <c r="AG49" i="25"/>
  <c r="AF49" i="25"/>
  <c r="AE49" i="25"/>
  <c r="AD49" i="25"/>
  <c r="B49" i="25"/>
  <c r="Z45" i="25"/>
  <c r="Y45" i="25"/>
  <c r="AI44" i="25"/>
  <c r="AC44" i="25"/>
  <c r="AB44" i="25"/>
  <c r="AA44" i="25"/>
  <c r="X44" i="25"/>
  <c r="U44" i="25"/>
  <c r="AG42" i="25"/>
  <c r="AC41" i="25"/>
  <c r="AC43" i="25" s="1"/>
  <c r="AB41" i="25"/>
  <c r="AB43" i="25"/>
  <c r="AA41" i="25"/>
  <c r="X41" i="25"/>
  <c r="W41" i="25"/>
  <c r="V41" i="25"/>
  <c r="U41" i="25"/>
  <c r="U43" i="25" s="1"/>
  <c r="T41" i="25"/>
  <c r="T42" i="25"/>
  <c r="T44" i="25" s="1"/>
  <c r="S41" i="25"/>
  <c r="S42" i="25" s="1"/>
  <c r="R41" i="25"/>
  <c r="Q41" i="25"/>
  <c r="P41" i="25"/>
  <c r="P42" i="25" s="1"/>
  <c r="O41" i="25"/>
  <c r="O43" i="25" s="1"/>
  <c r="N41" i="25"/>
  <c r="M41" i="25"/>
  <c r="L41" i="25"/>
  <c r="K41" i="25"/>
  <c r="J41" i="25"/>
  <c r="J78" i="25" s="1"/>
  <c r="AH40" i="25"/>
  <c r="AG40" i="25"/>
  <c r="AF40" i="25"/>
  <c r="AE40" i="25"/>
  <c r="AD40" i="25"/>
  <c r="B40" i="25"/>
  <c r="AH39" i="25"/>
  <c r="AG39" i="25"/>
  <c r="AF39" i="25"/>
  <c r="AE39" i="25"/>
  <c r="AD39" i="25"/>
  <c r="B39" i="25"/>
  <c r="AH38" i="25"/>
  <c r="AG38" i="25"/>
  <c r="AF38" i="25"/>
  <c r="AE38" i="25"/>
  <c r="AD38" i="25"/>
  <c r="AH37" i="25"/>
  <c r="AG37" i="25"/>
  <c r="AF37" i="25"/>
  <c r="AE37" i="25"/>
  <c r="AD37" i="25"/>
  <c r="AD41" i="25" s="1"/>
  <c r="B37" i="25"/>
  <c r="AG33" i="25"/>
  <c r="AG77" i="25" s="1"/>
  <c r="AC32" i="25"/>
  <c r="AB32" i="25"/>
  <c r="AA32" i="25"/>
  <c r="X32" i="25"/>
  <c r="W32" i="25"/>
  <c r="W33" i="25"/>
  <c r="V32" i="25"/>
  <c r="V33" i="25"/>
  <c r="V77" i="25" s="1"/>
  <c r="U32" i="25"/>
  <c r="T32" i="25"/>
  <c r="T33" i="25"/>
  <c r="AE33" i="25" s="1"/>
  <c r="S32" i="25"/>
  <c r="S33" i="25"/>
  <c r="R32" i="25"/>
  <c r="R33" i="25" s="1"/>
  <c r="R77" i="25" s="1"/>
  <c r="Q32" i="25"/>
  <c r="Q33" i="25" s="1"/>
  <c r="Q77" i="25" s="1"/>
  <c r="P32" i="25"/>
  <c r="P33" i="25"/>
  <c r="O32" i="25"/>
  <c r="N32" i="25"/>
  <c r="N33" i="25"/>
  <c r="N77" i="25" s="1"/>
  <c r="M32" i="25"/>
  <c r="L32" i="25"/>
  <c r="K32" i="25"/>
  <c r="K77" i="25" s="1"/>
  <c r="K86" i="25" s="1"/>
  <c r="J32" i="25"/>
  <c r="F32" i="25"/>
  <c r="AH31" i="25"/>
  <c r="AG31" i="25"/>
  <c r="AF31" i="25"/>
  <c r="AF32" i="25" s="1"/>
  <c r="AE31" i="25"/>
  <c r="AD31" i="25"/>
  <c r="B31" i="25"/>
  <c r="AH30" i="25"/>
  <c r="AG30" i="25"/>
  <c r="AF30" i="25"/>
  <c r="AE30" i="25"/>
  <c r="AD30" i="25"/>
  <c r="AD32" i="25" s="1"/>
  <c r="B30" i="25"/>
  <c r="AH29" i="25"/>
  <c r="AH32" i="25" s="1"/>
  <c r="AG29" i="25"/>
  <c r="AF29" i="25"/>
  <c r="AE29" i="25"/>
  <c r="AD29" i="25"/>
  <c r="AH28" i="25"/>
  <c r="AG28" i="25"/>
  <c r="AG32" i="25" s="1"/>
  <c r="AF28" i="25"/>
  <c r="AE28" i="25"/>
  <c r="AE32" i="25" s="1"/>
  <c r="AD28" i="25"/>
  <c r="B28" i="25"/>
  <c r="B38" i="25"/>
  <c r="AG24" i="25"/>
  <c r="AC23" i="25"/>
  <c r="AB23" i="25"/>
  <c r="AA23" i="25"/>
  <c r="X23" i="25"/>
  <c r="W23" i="25"/>
  <c r="W24" i="25" s="1"/>
  <c r="AF24" i="25" s="1"/>
  <c r="V23" i="25"/>
  <c r="V24" i="25" s="1"/>
  <c r="U23" i="25"/>
  <c r="T23" i="25"/>
  <c r="T24" i="25" s="1"/>
  <c r="S23" i="25"/>
  <c r="S24" i="25" s="1"/>
  <c r="AE24" i="25" s="1"/>
  <c r="R23" i="25"/>
  <c r="R24" i="25"/>
  <c r="Q23" i="25"/>
  <c r="Q24" i="25"/>
  <c r="P23" i="25"/>
  <c r="P24" i="25" s="1"/>
  <c r="O23" i="25"/>
  <c r="N23" i="25"/>
  <c r="N24" i="25" s="1"/>
  <c r="M23" i="25"/>
  <c r="AH22" i="25"/>
  <c r="AG22" i="25"/>
  <c r="AF22" i="25"/>
  <c r="AE22" i="25"/>
  <c r="AD22" i="25"/>
  <c r="AH21" i="25"/>
  <c r="AH23" i="25" s="1"/>
  <c r="AG21" i="25"/>
  <c r="AF21" i="25"/>
  <c r="AE21" i="25"/>
  <c r="AD21" i="25"/>
  <c r="B21" i="25"/>
  <c r="AH20" i="25"/>
  <c r="AG20" i="25"/>
  <c r="AF20" i="25"/>
  <c r="AE20" i="25"/>
  <c r="AD20" i="25"/>
  <c r="B20" i="25"/>
  <c r="AH19" i="25"/>
  <c r="AG19" i="25"/>
  <c r="AG23" i="25" s="1"/>
  <c r="AF19" i="25"/>
  <c r="AE19" i="25"/>
  <c r="AE23" i="25" s="1"/>
  <c r="AD19" i="25"/>
  <c r="B19" i="25"/>
  <c r="C17" i="25"/>
  <c r="C26" i="25" s="1"/>
  <c r="C35" i="25" s="1"/>
  <c r="C47" i="25"/>
  <c r="C56" i="25" s="1"/>
  <c r="C65" i="25" s="1"/>
  <c r="AG15" i="25"/>
  <c r="AG76" i="25" s="1"/>
  <c r="AC14" i="25"/>
  <c r="AB14" i="25"/>
  <c r="AA14" i="25"/>
  <c r="X14" i="25"/>
  <c r="W14" i="25"/>
  <c r="W15" i="25"/>
  <c r="V14" i="25"/>
  <c r="V15" i="25" s="1"/>
  <c r="U14" i="25"/>
  <c r="T14" i="25"/>
  <c r="T15" i="25" s="1"/>
  <c r="T76" i="25" s="1"/>
  <c r="S14" i="25"/>
  <c r="S15" i="25" s="1"/>
  <c r="R14" i="25"/>
  <c r="R15" i="25"/>
  <c r="R76" i="25" s="1"/>
  <c r="Q14" i="25"/>
  <c r="Q15" i="25" s="1"/>
  <c r="P14" i="25"/>
  <c r="P15" i="25" s="1"/>
  <c r="O14" i="25"/>
  <c r="N14" i="25"/>
  <c r="N75" i="25" s="1"/>
  <c r="N84" i="25" s="1"/>
  <c r="M14" i="25"/>
  <c r="L14" i="25"/>
  <c r="K14" i="25"/>
  <c r="J14" i="25"/>
  <c r="J76" i="25" s="1"/>
  <c r="AH13" i="25"/>
  <c r="AG13" i="25"/>
  <c r="AF13" i="25"/>
  <c r="AE13" i="25"/>
  <c r="AD13" i="25"/>
  <c r="B13" i="25"/>
  <c r="B22" i="25" s="1"/>
  <c r="B29" i="25" s="1"/>
  <c r="AH12" i="25"/>
  <c r="AG12" i="25"/>
  <c r="AF12" i="25"/>
  <c r="AE12" i="25"/>
  <c r="AD12" i="25"/>
  <c r="B12" i="25"/>
  <c r="AH11" i="25"/>
  <c r="AH14" i="25" s="1"/>
  <c r="AG11" i="25"/>
  <c r="AF11" i="25"/>
  <c r="AE11" i="25"/>
  <c r="AD11" i="25"/>
  <c r="B11" i="25"/>
  <c r="AH10" i="25"/>
  <c r="AG10" i="25"/>
  <c r="AF10" i="25"/>
  <c r="AF14" i="25" s="1"/>
  <c r="AE10" i="25"/>
  <c r="AD10" i="25"/>
  <c r="AD14" i="25" s="1"/>
  <c r="B10" i="25"/>
  <c r="H101" i="25"/>
  <c r="AC87" i="25"/>
  <c r="L78" i="25"/>
  <c r="Q43" i="25"/>
  <c r="AA43" i="25"/>
  <c r="AH62" i="25"/>
  <c r="AA85" i="25"/>
  <c r="AH41" i="25"/>
  <c r="AG14" i="25"/>
  <c r="AH53" i="25"/>
  <c r="O90" i="25"/>
  <c r="AF41" i="25"/>
  <c r="AF43" i="25" s="1"/>
  <c r="AE62" i="25"/>
  <c r="AE89" i="25" s="1"/>
  <c r="AF62" i="25"/>
  <c r="G101" i="25"/>
  <c r="N15" i="25"/>
  <c r="N81" i="25" s="1"/>
  <c r="K63" i="25"/>
  <c r="P43" i="25"/>
  <c r="T43" i="25"/>
  <c r="X43" i="25"/>
  <c r="Q42" i="25"/>
  <c r="Q44" i="25" s="1"/>
  <c r="AA86" i="25"/>
  <c r="N76" i="25"/>
  <c r="AD23" i="25"/>
  <c r="R79" i="25"/>
  <c r="AG81" i="25"/>
  <c r="U87" i="25"/>
  <c r="S43" i="25"/>
  <c r="AE71" i="25"/>
  <c r="J75" i="25"/>
  <c r="J84" i="25" s="1"/>
  <c r="I101" i="25"/>
  <c r="S75" i="25"/>
  <c r="S84" i="25" s="1"/>
  <c r="AD24" i="25"/>
  <c r="N43" i="25"/>
  <c r="N42" i="25"/>
  <c r="M81" i="25"/>
  <c r="N99" i="25"/>
  <c r="T77" i="25"/>
  <c r="V76" i="25"/>
  <c r="M76" i="25"/>
  <c r="M94" i="25" s="1"/>
  <c r="M75" i="25"/>
  <c r="M73" i="25"/>
  <c r="M77" i="25"/>
  <c r="AE41" i="25"/>
  <c r="K79" i="25"/>
  <c r="O79" i="25"/>
  <c r="M89" i="25"/>
  <c r="Q89" i="25"/>
  <c r="AE72" i="25"/>
  <c r="K75" i="25"/>
  <c r="K76" i="25"/>
  <c r="K85" i="25" s="1"/>
  <c r="K43" i="25"/>
  <c r="AH63" i="25"/>
  <c r="AF33" i="25"/>
  <c r="K33" i="25"/>
  <c r="AH54" i="25"/>
  <c r="R80" i="25"/>
  <c r="V80" i="25"/>
  <c r="AH71" i="25"/>
  <c r="AB84" i="25"/>
  <c r="L77" i="25"/>
  <c r="M78" i="25"/>
  <c r="AG79" i="25"/>
  <c r="L89" i="25"/>
  <c r="O89" i="25"/>
  <c r="O80" i="25"/>
  <c r="O98" i="25"/>
  <c r="S89" i="25"/>
  <c r="L90" i="25"/>
  <c r="L81" i="25"/>
  <c r="AB85" i="25"/>
  <c r="O86" i="25"/>
  <c r="O95" i="25"/>
  <c r="AB87" i="25"/>
  <c r="AA88" i="25"/>
  <c r="AA90" i="25"/>
  <c r="L76" i="25"/>
  <c r="J77" i="25"/>
  <c r="J86" i="25" s="1"/>
  <c r="Q78" i="25"/>
  <c r="L63" i="25"/>
  <c r="O99" i="25"/>
  <c r="O84" i="25"/>
  <c r="U86" i="25"/>
  <c r="O96" i="25"/>
  <c r="AC88" i="25"/>
  <c r="K81" i="25"/>
  <c r="O87" i="25"/>
  <c r="J90" i="25"/>
  <c r="K89" i="25"/>
  <c r="N63" i="25"/>
  <c r="N80" i="25" s="1"/>
  <c r="N98" i="25" s="1"/>
  <c r="AG80" i="25"/>
  <c r="L75" i="25"/>
  <c r="L99" i="25" s="1"/>
  <c r="AC86" i="25"/>
  <c r="AA87" i="25"/>
  <c r="X90" i="25"/>
  <c r="AH43" i="25"/>
  <c r="J85" i="25"/>
  <c r="J87" i="25"/>
  <c r="M99" i="25"/>
  <c r="M84" i="25"/>
  <c r="M87" i="25"/>
  <c r="M96" i="25"/>
  <c r="M95" i="25"/>
  <c r="M86" i="25"/>
  <c r="M85" i="25"/>
  <c r="N78" i="25"/>
  <c r="L84" i="25"/>
  <c r="L95" i="25"/>
  <c r="M98" i="25"/>
  <c r="I98" i="24"/>
  <c r="H98" i="24"/>
  <c r="G98" i="24"/>
  <c r="F98" i="24"/>
  <c r="I97" i="24"/>
  <c r="H97" i="24"/>
  <c r="G97" i="24"/>
  <c r="F97" i="24"/>
  <c r="I96" i="24"/>
  <c r="H96" i="24"/>
  <c r="G96" i="24"/>
  <c r="F96" i="24"/>
  <c r="I95" i="24"/>
  <c r="H95" i="24"/>
  <c r="G95" i="24"/>
  <c r="F95" i="24"/>
  <c r="I94" i="24"/>
  <c r="H94" i="24"/>
  <c r="G94" i="24"/>
  <c r="F94" i="24"/>
  <c r="I93" i="24"/>
  <c r="I100" i="24" s="1"/>
  <c r="H93" i="24"/>
  <c r="G93" i="24"/>
  <c r="F93" i="24"/>
  <c r="AG92" i="24"/>
  <c r="AE92" i="24"/>
  <c r="AD92" i="24"/>
  <c r="Q92" i="24"/>
  <c r="P92" i="24"/>
  <c r="O92" i="24"/>
  <c r="N92" i="24"/>
  <c r="M92" i="24"/>
  <c r="L92" i="24"/>
  <c r="K92" i="24"/>
  <c r="I92" i="24"/>
  <c r="H92" i="24"/>
  <c r="G92" i="24"/>
  <c r="G100" i="24" s="1"/>
  <c r="F92" i="24"/>
  <c r="I89" i="24"/>
  <c r="H89" i="24"/>
  <c r="G89" i="24"/>
  <c r="F89" i="24"/>
  <c r="AC88" i="24"/>
  <c r="AB88" i="24"/>
  <c r="AA88" i="24"/>
  <c r="Z88" i="24"/>
  <c r="W88" i="24"/>
  <c r="U88" i="24"/>
  <c r="J88" i="24"/>
  <c r="I88" i="24"/>
  <c r="H88" i="24"/>
  <c r="G88" i="24"/>
  <c r="F88" i="24"/>
  <c r="I87" i="24"/>
  <c r="H87" i="24"/>
  <c r="G87" i="24"/>
  <c r="F87" i="24"/>
  <c r="I86" i="24"/>
  <c r="H86" i="24"/>
  <c r="G86" i="24"/>
  <c r="F86" i="24"/>
  <c r="I85" i="24"/>
  <c r="H85" i="24"/>
  <c r="G85" i="24"/>
  <c r="F85" i="24"/>
  <c r="I84" i="24"/>
  <c r="H84" i="24"/>
  <c r="G84" i="24"/>
  <c r="F84" i="24"/>
  <c r="I83" i="24"/>
  <c r="H83" i="24"/>
  <c r="G83" i="24"/>
  <c r="F83" i="24"/>
  <c r="AC80" i="24"/>
  <c r="AB80" i="24"/>
  <c r="AA80" i="24"/>
  <c r="Z80" i="24"/>
  <c r="W80" i="24"/>
  <c r="U80" i="24"/>
  <c r="AC79" i="24"/>
  <c r="AB79" i="24"/>
  <c r="AA79" i="24"/>
  <c r="Z79" i="24"/>
  <c r="W79" i="24"/>
  <c r="U79" i="24"/>
  <c r="AC78" i="24"/>
  <c r="AB78" i="24"/>
  <c r="AA78" i="24"/>
  <c r="Z78" i="24"/>
  <c r="W78" i="24"/>
  <c r="U78" i="24"/>
  <c r="AC77" i="24"/>
  <c r="AB77" i="24"/>
  <c r="AA77" i="24"/>
  <c r="Z77" i="24"/>
  <c r="W77" i="24"/>
  <c r="U77" i="24"/>
  <c r="O77" i="24"/>
  <c r="O86" i="24" s="1"/>
  <c r="AC76" i="24"/>
  <c r="AB76" i="24"/>
  <c r="AA76" i="24"/>
  <c r="Z76" i="24"/>
  <c r="W76" i="24"/>
  <c r="U76" i="24"/>
  <c r="O76" i="24"/>
  <c r="AC75" i="24"/>
  <c r="AC84" i="24" s="1"/>
  <c r="AB75" i="24"/>
  <c r="AA75" i="24"/>
  <c r="Z75" i="24"/>
  <c r="W75" i="24"/>
  <c r="U75" i="24"/>
  <c r="O75" i="24"/>
  <c r="AC74" i="24"/>
  <c r="AC83" i="24"/>
  <c r="AB74" i="24"/>
  <c r="AB83" i="24" s="1"/>
  <c r="AA74" i="24"/>
  <c r="AA83" i="24" s="1"/>
  <c r="Z74" i="24"/>
  <c r="Z83" i="24"/>
  <c r="W74" i="24"/>
  <c r="W83" i="24"/>
  <c r="U74" i="24"/>
  <c r="U83" i="24" s="1"/>
  <c r="O74" i="24"/>
  <c r="O98" i="24" s="1"/>
  <c r="AG71" i="24"/>
  <c r="N71" i="24"/>
  <c r="AC70" i="24"/>
  <c r="AB70" i="24"/>
  <c r="AA70" i="24"/>
  <c r="Z70" i="24"/>
  <c r="W70" i="24"/>
  <c r="V70" i="24"/>
  <c r="V71" i="24"/>
  <c r="U70" i="24"/>
  <c r="T70" i="24"/>
  <c r="T71" i="24"/>
  <c r="S70" i="24"/>
  <c r="S71" i="24" s="1"/>
  <c r="R70" i="24"/>
  <c r="R71" i="24" s="1"/>
  <c r="Q70" i="24"/>
  <c r="Q71" i="24"/>
  <c r="P70" i="24"/>
  <c r="P71" i="24"/>
  <c r="AH71" i="24" s="1"/>
  <c r="O70" i="24"/>
  <c r="O71" i="24" s="1"/>
  <c r="O80" i="24" s="1"/>
  <c r="O89" i="24" s="1"/>
  <c r="M70" i="24"/>
  <c r="M80" i="24"/>
  <c r="L70" i="24"/>
  <c r="K70" i="24"/>
  <c r="J70" i="24"/>
  <c r="J89" i="24" s="1"/>
  <c r="AH69" i="24"/>
  <c r="AG69" i="24"/>
  <c r="AF69" i="24"/>
  <c r="AE69" i="24"/>
  <c r="AD69" i="24"/>
  <c r="AD70" i="24" s="1"/>
  <c r="B69" i="24"/>
  <c r="AH68" i="24"/>
  <c r="AH70" i="24" s="1"/>
  <c r="AG68" i="24"/>
  <c r="AF68" i="24"/>
  <c r="AE68" i="24"/>
  <c r="AD68" i="24"/>
  <c r="B68" i="24"/>
  <c r="AH67" i="24"/>
  <c r="AG67" i="24"/>
  <c r="AF67" i="24"/>
  <c r="AF70" i="24" s="1"/>
  <c r="AE67" i="24"/>
  <c r="AD67" i="24"/>
  <c r="AH66" i="24"/>
  <c r="AG66" i="24"/>
  <c r="AF66" i="24"/>
  <c r="AE66" i="24"/>
  <c r="AD66" i="24"/>
  <c r="B66" i="24"/>
  <c r="AG62" i="24"/>
  <c r="AC61" i="24"/>
  <c r="AB61" i="24"/>
  <c r="AA61" i="24"/>
  <c r="Z61" i="24"/>
  <c r="W61" i="24"/>
  <c r="V61" i="24"/>
  <c r="V62" i="24"/>
  <c r="V88" i="24" s="1"/>
  <c r="U61" i="24"/>
  <c r="T61" i="24"/>
  <c r="T62" i="24"/>
  <c r="S61" i="24"/>
  <c r="S62" i="24"/>
  <c r="R61" i="24"/>
  <c r="R62" i="24" s="1"/>
  <c r="Q61" i="24"/>
  <c r="Q62" i="24" s="1"/>
  <c r="P61" i="24"/>
  <c r="P62" i="24" s="1"/>
  <c r="O61" i="24"/>
  <c r="O62" i="24"/>
  <c r="O88" i="24" s="1"/>
  <c r="N61" i="24"/>
  <c r="N88" i="24"/>
  <c r="M61" i="24"/>
  <c r="M88" i="24" s="1"/>
  <c r="L61" i="24"/>
  <c r="L88" i="24" s="1"/>
  <c r="K61" i="24"/>
  <c r="AH60" i="24"/>
  <c r="AG60" i="24"/>
  <c r="AF60" i="24"/>
  <c r="AE60" i="24"/>
  <c r="AD60" i="24"/>
  <c r="B60" i="24"/>
  <c r="AH59" i="24"/>
  <c r="AG59" i="24"/>
  <c r="AF59" i="24"/>
  <c r="AF61" i="24" s="1"/>
  <c r="AE59" i="24"/>
  <c r="AD59" i="24"/>
  <c r="B59" i="24"/>
  <c r="AH58" i="24"/>
  <c r="AG58" i="24"/>
  <c r="AF58" i="24"/>
  <c r="AE58" i="24"/>
  <c r="AD58" i="24"/>
  <c r="AD61" i="24" s="1"/>
  <c r="AD88" i="24" s="1"/>
  <c r="B58" i="24"/>
  <c r="AH57" i="24"/>
  <c r="AG57" i="24"/>
  <c r="AF57" i="24"/>
  <c r="AE57" i="24"/>
  <c r="AD57" i="24"/>
  <c r="B57" i="24"/>
  <c r="AG53" i="24"/>
  <c r="AC52" i="24"/>
  <c r="AB52" i="24"/>
  <c r="AB43" i="24" s="1"/>
  <c r="AA52" i="24"/>
  <c r="Z52" i="24"/>
  <c r="W52" i="24"/>
  <c r="V52" i="24"/>
  <c r="V53" i="24"/>
  <c r="U52" i="24"/>
  <c r="U43" i="24" s="1"/>
  <c r="T52" i="24"/>
  <c r="T53" i="24"/>
  <c r="T78" i="24" s="1"/>
  <c r="S52" i="24"/>
  <c r="R52" i="24"/>
  <c r="R53" i="24" s="1"/>
  <c r="Q52" i="24"/>
  <c r="Q53" i="24"/>
  <c r="P52" i="24"/>
  <c r="P53" i="24"/>
  <c r="AD53" i="24" s="1"/>
  <c r="O52" i="24"/>
  <c r="O53" i="24" s="1"/>
  <c r="N52" i="24"/>
  <c r="N53" i="24" s="1"/>
  <c r="N78" i="24" s="1"/>
  <c r="N87" i="24" s="1"/>
  <c r="M52" i="24"/>
  <c r="K52" i="24"/>
  <c r="J52" i="24"/>
  <c r="F52" i="24"/>
  <c r="AH51" i="24"/>
  <c r="AH52" i="24" s="1"/>
  <c r="AH43" i="24" s="1"/>
  <c r="AG51" i="24"/>
  <c r="AF51" i="24"/>
  <c r="AE51" i="24"/>
  <c r="AD51" i="24"/>
  <c r="B51" i="24"/>
  <c r="AH50" i="24"/>
  <c r="AG50" i="24"/>
  <c r="AF50" i="24"/>
  <c r="AF52" i="24" s="1"/>
  <c r="AE50" i="24"/>
  <c r="AD50" i="24"/>
  <c r="B50" i="24"/>
  <c r="B67" i="24"/>
  <c r="AH49" i="24"/>
  <c r="AG49" i="24"/>
  <c r="AF49" i="24"/>
  <c r="AE49" i="24"/>
  <c r="AE52" i="24" s="1"/>
  <c r="AD49" i="24"/>
  <c r="B49" i="24"/>
  <c r="AH48" i="24"/>
  <c r="AG48" i="24"/>
  <c r="AF48" i="24"/>
  <c r="AE48" i="24"/>
  <c r="AD48" i="24"/>
  <c r="B48" i="24"/>
  <c r="AI44" i="24"/>
  <c r="AC44" i="24"/>
  <c r="AB44" i="24"/>
  <c r="AA44" i="24"/>
  <c r="Z44" i="24"/>
  <c r="W44" i="24"/>
  <c r="U44" i="24"/>
  <c r="AG42" i="24"/>
  <c r="AC41" i="24"/>
  <c r="AB41" i="24"/>
  <c r="AA41" i="24"/>
  <c r="Z41" i="24"/>
  <c r="W41" i="24"/>
  <c r="V41" i="24"/>
  <c r="U41" i="24"/>
  <c r="T41" i="24"/>
  <c r="S41" i="24"/>
  <c r="R41" i="24"/>
  <c r="Q41" i="24"/>
  <c r="Q42" i="24"/>
  <c r="P41" i="24"/>
  <c r="O41" i="24"/>
  <c r="N41" i="24"/>
  <c r="N42" i="24"/>
  <c r="M41" i="24"/>
  <c r="L41" i="24"/>
  <c r="K41" i="24"/>
  <c r="J41" i="24"/>
  <c r="AH40" i="24"/>
  <c r="AG40" i="24"/>
  <c r="AF40" i="24"/>
  <c r="AE40" i="24"/>
  <c r="AE41" i="24" s="1"/>
  <c r="AE43" i="24" s="1"/>
  <c r="AD40" i="24"/>
  <c r="B40" i="24"/>
  <c r="AH39" i="24"/>
  <c r="AG39" i="24"/>
  <c r="AF39" i="24"/>
  <c r="AE39" i="24"/>
  <c r="AD39" i="24"/>
  <c r="B39" i="24"/>
  <c r="AH38" i="24"/>
  <c r="AG38" i="24"/>
  <c r="AF38" i="24"/>
  <c r="AE38" i="24"/>
  <c r="AD38" i="24"/>
  <c r="AH37" i="24"/>
  <c r="AG37" i="24"/>
  <c r="AF37" i="24"/>
  <c r="AF41" i="24" s="1"/>
  <c r="AE37" i="24"/>
  <c r="AD37" i="24"/>
  <c r="B37" i="24"/>
  <c r="AG33" i="24"/>
  <c r="AC32" i="24"/>
  <c r="AB32" i="24"/>
  <c r="AA32" i="24"/>
  <c r="Z32" i="24"/>
  <c r="W32" i="24"/>
  <c r="V32" i="24"/>
  <c r="V33" i="24" s="1"/>
  <c r="U32" i="24"/>
  <c r="T32" i="24"/>
  <c r="T33" i="24" s="1"/>
  <c r="S32" i="24"/>
  <c r="S33" i="24" s="1"/>
  <c r="R32" i="24"/>
  <c r="R33" i="24"/>
  <c r="R76" i="24" s="1"/>
  <c r="R85" i="24" s="1"/>
  <c r="Q32" i="24"/>
  <c r="Q33" i="24"/>
  <c r="P32" i="24"/>
  <c r="P33" i="24" s="1"/>
  <c r="O32" i="24"/>
  <c r="N32" i="24"/>
  <c r="N33" i="24" s="1"/>
  <c r="M32" i="24"/>
  <c r="L32" i="24"/>
  <c r="K32" i="24"/>
  <c r="J32" i="24"/>
  <c r="J76" i="24" s="1"/>
  <c r="J85" i="24" s="1"/>
  <c r="F32" i="24"/>
  <c r="AH31" i="24"/>
  <c r="AG31" i="24"/>
  <c r="AF31" i="24"/>
  <c r="AE31" i="24"/>
  <c r="AD31" i="24"/>
  <c r="B31" i="24"/>
  <c r="AH30" i="24"/>
  <c r="AH32" i="24" s="1"/>
  <c r="AG30" i="24"/>
  <c r="AF30" i="24"/>
  <c r="AE30" i="24"/>
  <c r="AD30" i="24"/>
  <c r="B30" i="24"/>
  <c r="AH29" i="24"/>
  <c r="AG29" i="24"/>
  <c r="AF29" i="24"/>
  <c r="AF32" i="24" s="1"/>
  <c r="AE29" i="24"/>
  <c r="AD29" i="24"/>
  <c r="AD32" i="24" s="1"/>
  <c r="AH28" i="24"/>
  <c r="AG28" i="24"/>
  <c r="AF28" i="24"/>
  <c r="AE28" i="24"/>
  <c r="AD28" i="24"/>
  <c r="B28" i="24"/>
  <c r="B38" i="24" s="1"/>
  <c r="AG24" i="24"/>
  <c r="AC23" i="24"/>
  <c r="AB23" i="24"/>
  <c r="AA23" i="24"/>
  <c r="Z23" i="24"/>
  <c r="W23" i="24"/>
  <c r="V23" i="24"/>
  <c r="V24" i="24" s="1"/>
  <c r="U23" i="24"/>
  <c r="T23" i="24"/>
  <c r="T24" i="24"/>
  <c r="S23" i="24"/>
  <c r="S24" i="24"/>
  <c r="R23" i="24"/>
  <c r="R24" i="24" s="1"/>
  <c r="Q23" i="24"/>
  <c r="Q24" i="24" s="1"/>
  <c r="P23" i="24"/>
  <c r="P24" i="24"/>
  <c r="AH24" i="24" s="1"/>
  <c r="O23" i="24"/>
  <c r="N23" i="24"/>
  <c r="N24" i="24"/>
  <c r="M23" i="24"/>
  <c r="AH22" i="24"/>
  <c r="AG22" i="24"/>
  <c r="AG23" i="24" s="1"/>
  <c r="AF22" i="24"/>
  <c r="AE22" i="24"/>
  <c r="AD22" i="24"/>
  <c r="AH21" i="24"/>
  <c r="AG21" i="24"/>
  <c r="AF21" i="24"/>
  <c r="AE21" i="24"/>
  <c r="AE23" i="24" s="1"/>
  <c r="AD21" i="24"/>
  <c r="B21" i="24"/>
  <c r="AH20" i="24"/>
  <c r="AG20" i="24"/>
  <c r="AF20" i="24"/>
  <c r="AE20" i="24"/>
  <c r="AD20" i="24"/>
  <c r="B20" i="24"/>
  <c r="AH19" i="24"/>
  <c r="AG19" i="24"/>
  <c r="AF19" i="24"/>
  <c r="AF23" i="24" s="1"/>
  <c r="AE19" i="24"/>
  <c r="AD19" i="24"/>
  <c r="B19" i="24"/>
  <c r="C17" i="24"/>
  <c r="C26" i="24"/>
  <c r="C35" i="24" s="1"/>
  <c r="C46" i="24" s="1"/>
  <c r="C55" i="24"/>
  <c r="C64" i="24" s="1"/>
  <c r="AG15" i="24"/>
  <c r="AC14" i="24"/>
  <c r="AB14" i="24"/>
  <c r="AA14" i="24"/>
  <c r="Z14" i="24"/>
  <c r="W14" i="24"/>
  <c r="V14" i="24"/>
  <c r="V15" i="24" s="1"/>
  <c r="U14" i="24"/>
  <c r="T14" i="24"/>
  <c r="T15" i="24" s="1"/>
  <c r="T74" i="24" s="1"/>
  <c r="S14" i="24"/>
  <c r="S15" i="24"/>
  <c r="R14" i="24"/>
  <c r="R15" i="24"/>
  <c r="Q14" i="24"/>
  <c r="Q15" i="24" s="1"/>
  <c r="P14" i="24"/>
  <c r="P15" i="24" s="1"/>
  <c r="O14" i="24"/>
  <c r="N14" i="24"/>
  <c r="N15" i="24" s="1"/>
  <c r="N80" i="24"/>
  <c r="N89" i="24" s="1"/>
  <c r="M14" i="24"/>
  <c r="M76" i="24" s="1"/>
  <c r="L14" i="24"/>
  <c r="L75" i="24"/>
  <c r="K14" i="24"/>
  <c r="K75" i="24" s="1"/>
  <c r="J14" i="24"/>
  <c r="J74" i="24" s="1"/>
  <c r="J83" i="24"/>
  <c r="AH13" i="24"/>
  <c r="AH14" i="24" s="1"/>
  <c r="AG13" i="24"/>
  <c r="AF13" i="24"/>
  <c r="AE13" i="24"/>
  <c r="AE14" i="24" s="1"/>
  <c r="AD13" i="24"/>
  <c r="B13" i="24"/>
  <c r="B22" i="24" s="1"/>
  <c r="B29" i="24" s="1"/>
  <c r="AH12" i="24"/>
  <c r="AG12" i="24"/>
  <c r="AF12" i="24"/>
  <c r="AE12" i="24"/>
  <c r="AD12" i="24"/>
  <c r="B12" i="24"/>
  <c r="AH11" i="24"/>
  <c r="AG11" i="24"/>
  <c r="AF11" i="24"/>
  <c r="AE11" i="24"/>
  <c r="AD11" i="24"/>
  <c r="AD14" i="24" s="1"/>
  <c r="B11" i="24"/>
  <c r="AH10" i="24"/>
  <c r="AG10" i="24"/>
  <c r="AF10" i="24"/>
  <c r="AE10" i="24"/>
  <c r="AD10" i="24"/>
  <c r="B10" i="24"/>
  <c r="P43" i="24"/>
  <c r="Z43" i="24"/>
  <c r="O43" i="24"/>
  <c r="W43" i="24"/>
  <c r="AC43" i="24"/>
  <c r="AG52" i="24"/>
  <c r="AF14" i="24"/>
  <c r="Z85" i="24"/>
  <c r="Z84" i="24"/>
  <c r="AA86" i="24"/>
  <c r="W84" i="24"/>
  <c r="W87" i="24"/>
  <c r="AC87" i="24"/>
  <c r="W89" i="24"/>
  <c r="AC89" i="24"/>
  <c r="AB86" i="24"/>
  <c r="AG61" i="24"/>
  <c r="AG76" i="24"/>
  <c r="R43" i="24"/>
  <c r="V43" i="24"/>
  <c r="AG70" i="24"/>
  <c r="U86" i="24"/>
  <c r="Z87" i="24"/>
  <c r="U89" i="24"/>
  <c r="AB85" i="24"/>
  <c r="W86" i="24"/>
  <c r="AC86" i="24"/>
  <c r="F100" i="24"/>
  <c r="H100" i="24"/>
  <c r="U85" i="24"/>
  <c r="AD41" i="24"/>
  <c r="AH41" i="24"/>
  <c r="AE70" i="24"/>
  <c r="U84" i="24"/>
  <c r="AB84" i="24"/>
  <c r="W85" i="24"/>
  <c r="AC85" i="24"/>
  <c r="Z86" i="24"/>
  <c r="U87" i="24"/>
  <c r="AB87" i="24"/>
  <c r="AB89" i="24"/>
  <c r="N87" i="25"/>
  <c r="N96" i="25"/>
  <c r="M43" i="24"/>
  <c r="AA43" i="24"/>
  <c r="O78" i="24"/>
  <c r="O44" i="24"/>
  <c r="AH61" i="24"/>
  <c r="N62" i="24"/>
  <c r="N79" i="24" s="1"/>
  <c r="N97" i="24" s="1"/>
  <c r="AE61" i="24"/>
  <c r="AE88" i="24" s="1"/>
  <c r="AD52" i="24"/>
  <c r="R42" i="24"/>
  <c r="R44" i="24"/>
  <c r="AG41" i="24"/>
  <c r="AG43" i="24" s="1"/>
  <c r="V42" i="24"/>
  <c r="V44" i="24"/>
  <c r="AE32" i="24"/>
  <c r="AG32" i="24"/>
  <c r="AE24" i="24"/>
  <c r="AH23" i="24"/>
  <c r="AD23" i="24"/>
  <c r="K43" i="24"/>
  <c r="K24" i="24"/>
  <c r="T76" i="24"/>
  <c r="L33" i="24"/>
  <c r="L77" i="24"/>
  <c r="L86" i="24" s="1"/>
  <c r="Q76" i="24"/>
  <c r="AG14" i="24"/>
  <c r="N76" i="24"/>
  <c r="K53" i="24"/>
  <c r="T80" i="24"/>
  <c r="R74" i="24"/>
  <c r="R83" i="24" s="1"/>
  <c r="R75" i="24"/>
  <c r="V74" i="24"/>
  <c r="AF15" i="24"/>
  <c r="T79" i="24"/>
  <c r="T88" i="24"/>
  <c r="AF33" i="24"/>
  <c r="V76" i="24"/>
  <c r="V80" i="24"/>
  <c r="R78" i="24"/>
  <c r="R87" i="24" s="1"/>
  <c r="V78" i="24"/>
  <c r="V87" i="24" s="1"/>
  <c r="AF53" i="24"/>
  <c r="AF78" i="24" s="1"/>
  <c r="Q75" i="24"/>
  <c r="S88" i="24"/>
  <c r="S79" i="24"/>
  <c r="AE62" i="24"/>
  <c r="R80" i="24"/>
  <c r="P75" i="24"/>
  <c r="S75" i="24"/>
  <c r="K33" i="24"/>
  <c r="Q43" i="24"/>
  <c r="K78" i="24"/>
  <c r="L62" i="24"/>
  <c r="AG79" i="24"/>
  <c r="K89" i="24"/>
  <c r="K80" i="24"/>
  <c r="AG80" i="24"/>
  <c r="P78" i="24"/>
  <c r="K74" i="24"/>
  <c r="K77" i="24"/>
  <c r="Z89" i="24"/>
  <c r="O94" i="24"/>
  <c r="J79" i="24"/>
  <c r="J75" i="24"/>
  <c r="J84" i="24"/>
  <c r="K88" i="24"/>
  <c r="K79" i="24"/>
  <c r="K97" i="24" s="1"/>
  <c r="R88" i="24"/>
  <c r="R79" i="24"/>
  <c r="AG74" i="24"/>
  <c r="AG97" i="24" s="1"/>
  <c r="AG75" i="24"/>
  <c r="L24" i="24"/>
  <c r="K76" i="24"/>
  <c r="S42" i="24"/>
  <c r="L53" i="24"/>
  <c r="AG78" i="24"/>
  <c r="L79" i="24"/>
  <c r="L97" i="24" s="1"/>
  <c r="S80" i="24"/>
  <c r="AE71" i="24"/>
  <c r="K72" i="24"/>
  <c r="L74" i="24"/>
  <c r="L84" i="24"/>
  <c r="O95" i="24"/>
  <c r="M79" i="24"/>
  <c r="N75" i="24"/>
  <c r="T75" i="24"/>
  <c r="T84" i="24" s="1"/>
  <c r="R77" i="24"/>
  <c r="M78" i="24"/>
  <c r="L76" i="24"/>
  <c r="L94" i="24" s="1"/>
  <c r="J77" i="24"/>
  <c r="J86" i="24"/>
  <c r="P42" i="24"/>
  <c r="L43" i="24"/>
  <c r="Q44" i="24"/>
  <c r="J78" i="24"/>
  <c r="J87" i="24"/>
  <c r="K62" i="24"/>
  <c r="AF71" i="24"/>
  <c r="N74" i="24"/>
  <c r="N98" i="24" s="1"/>
  <c r="O85" i="24"/>
  <c r="L78" i="24"/>
  <c r="L96" i="24" s="1"/>
  <c r="J80" i="24"/>
  <c r="M89" i="24"/>
  <c r="O93" i="24"/>
  <c r="AD43" i="24"/>
  <c r="N96" i="24"/>
  <c r="V77" i="24"/>
  <c r="V86" i="24"/>
  <c r="AF42" i="24"/>
  <c r="AF77" i="24" s="1"/>
  <c r="K93" i="24"/>
  <c r="K100" i="24" s="1"/>
  <c r="R89" i="24"/>
  <c r="R86" i="24"/>
  <c r="L93" i="24"/>
  <c r="L100" i="24" s="1"/>
  <c r="R84" i="24"/>
  <c r="L85" i="24"/>
  <c r="L95" i="24"/>
  <c r="AG83" i="24"/>
  <c r="AG89" i="24"/>
  <c r="L87" i="24"/>
  <c r="K94" i="24"/>
  <c r="AG94" i="24"/>
  <c r="L98" i="24"/>
  <c r="L83" i="24"/>
  <c r="P44" i="24"/>
  <c r="AD44" i="24" s="1"/>
  <c r="AD42" i="24"/>
  <c r="N94" i="24"/>
  <c r="I98" i="23"/>
  <c r="H98" i="23"/>
  <c r="G98" i="23"/>
  <c r="F98" i="23"/>
  <c r="I97" i="23"/>
  <c r="H97" i="23"/>
  <c r="G97" i="23"/>
  <c r="F97" i="23"/>
  <c r="I96" i="23"/>
  <c r="H96" i="23"/>
  <c r="G96" i="23"/>
  <c r="F96" i="23"/>
  <c r="I95" i="23"/>
  <c r="H95" i="23"/>
  <c r="G95" i="23"/>
  <c r="F95" i="23"/>
  <c r="I94" i="23"/>
  <c r="H94" i="23"/>
  <c r="G94" i="23"/>
  <c r="F94" i="23"/>
  <c r="I93" i="23"/>
  <c r="H93" i="23"/>
  <c r="H100" i="23" s="1"/>
  <c r="G93" i="23"/>
  <c r="G100" i="23" s="1"/>
  <c r="F93" i="23"/>
  <c r="AG92" i="23"/>
  <c r="AE92" i="23"/>
  <c r="AD92" i="23"/>
  <c r="Q92" i="23"/>
  <c r="P92" i="23"/>
  <c r="O92" i="23"/>
  <c r="N92" i="23"/>
  <c r="M92" i="23"/>
  <c r="L92" i="23"/>
  <c r="K92" i="23"/>
  <c r="I92" i="23"/>
  <c r="H92" i="23"/>
  <c r="G92" i="23"/>
  <c r="F92" i="23"/>
  <c r="F100" i="23" s="1"/>
  <c r="I89" i="23"/>
  <c r="H89" i="23"/>
  <c r="G89" i="23"/>
  <c r="F89" i="23"/>
  <c r="AC88" i="23"/>
  <c r="AB88" i="23"/>
  <c r="AA88" i="23"/>
  <c r="Z88" i="23"/>
  <c r="W88" i="23"/>
  <c r="V88" i="23"/>
  <c r="U88" i="23"/>
  <c r="J88" i="23"/>
  <c r="I88" i="23"/>
  <c r="H88" i="23"/>
  <c r="G88" i="23"/>
  <c r="F88" i="23"/>
  <c r="I87" i="23"/>
  <c r="H87" i="23"/>
  <c r="G87" i="23"/>
  <c r="F87" i="23"/>
  <c r="I86" i="23"/>
  <c r="H86" i="23"/>
  <c r="G86" i="23"/>
  <c r="F86" i="23"/>
  <c r="I85" i="23"/>
  <c r="H85" i="23"/>
  <c r="G85" i="23"/>
  <c r="F85" i="23"/>
  <c r="I84" i="23"/>
  <c r="H84" i="23"/>
  <c r="G84" i="23"/>
  <c r="F84" i="23"/>
  <c r="I83" i="23"/>
  <c r="H83" i="23"/>
  <c r="G83" i="23"/>
  <c r="F83" i="23"/>
  <c r="AC80" i="23"/>
  <c r="AB80" i="23"/>
  <c r="AA80" i="23"/>
  <c r="Z80" i="23"/>
  <c r="Z89" i="23" s="1"/>
  <c r="W80" i="23"/>
  <c r="W89" i="23" s="1"/>
  <c r="V80" i="23"/>
  <c r="U80" i="23"/>
  <c r="U89" i="23" s="1"/>
  <c r="AC79" i="23"/>
  <c r="AB79" i="23"/>
  <c r="AA79" i="23"/>
  <c r="Z79" i="23"/>
  <c r="W79" i="23"/>
  <c r="V79" i="23"/>
  <c r="U79" i="23"/>
  <c r="AC78" i="23"/>
  <c r="AB78" i="23"/>
  <c r="AA78" i="23"/>
  <c r="Z78" i="23"/>
  <c r="W78" i="23"/>
  <c r="V78" i="23"/>
  <c r="V87" i="23" s="1"/>
  <c r="U78" i="23"/>
  <c r="U87" i="23" s="1"/>
  <c r="AC77" i="23"/>
  <c r="AB77" i="23"/>
  <c r="AA77" i="23"/>
  <c r="Z77" i="23"/>
  <c r="W77" i="23"/>
  <c r="V77" i="23"/>
  <c r="U77" i="23"/>
  <c r="U86" i="23" s="1"/>
  <c r="O77" i="23"/>
  <c r="AC76" i="23"/>
  <c r="AB76" i="23"/>
  <c r="AA76" i="23"/>
  <c r="Z76" i="23"/>
  <c r="W76" i="23"/>
  <c r="V76" i="23"/>
  <c r="U76" i="23"/>
  <c r="U85" i="23" s="1"/>
  <c r="O76" i="23"/>
  <c r="O94" i="23" s="1"/>
  <c r="AC75" i="23"/>
  <c r="AB75" i="23"/>
  <c r="AA75" i="23"/>
  <c r="Z75" i="23"/>
  <c r="W75" i="23"/>
  <c r="V75" i="23"/>
  <c r="U75" i="23"/>
  <c r="U84" i="23" s="1"/>
  <c r="O75" i="23"/>
  <c r="AC74" i="23"/>
  <c r="AC87" i="23"/>
  <c r="AB74" i="23"/>
  <c r="AB83" i="23"/>
  <c r="AA74" i="23"/>
  <c r="AA83" i="23" s="1"/>
  <c r="Z74" i="23"/>
  <c r="Z85" i="23" s="1"/>
  <c r="Z83" i="23"/>
  <c r="W74" i="23"/>
  <c r="W83" i="23"/>
  <c r="V74" i="23"/>
  <c r="V83" i="23"/>
  <c r="U74" i="23"/>
  <c r="U83" i="23" s="1"/>
  <c r="O74" i="23"/>
  <c r="O83" i="23" s="1"/>
  <c r="O98" i="23"/>
  <c r="AG71" i="23"/>
  <c r="AF71" i="23"/>
  <c r="N71" i="23"/>
  <c r="AC70" i="23"/>
  <c r="AB70" i="23"/>
  <c r="AA70" i="23"/>
  <c r="Z70" i="23"/>
  <c r="W70" i="23"/>
  <c r="V70" i="23"/>
  <c r="U70" i="23"/>
  <c r="T70" i="23"/>
  <c r="T71" i="23"/>
  <c r="S70" i="23"/>
  <c r="S71" i="23" s="1"/>
  <c r="R70" i="23"/>
  <c r="R71" i="23"/>
  <c r="Q70" i="23"/>
  <c r="Q71" i="23"/>
  <c r="AD71" i="23" s="1"/>
  <c r="P70" i="23"/>
  <c r="P71" i="23"/>
  <c r="O70" i="23"/>
  <c r="O71" i="23" s="1"/>
  <c r="O80" i="23" s="1"/>
  <c r="O89" i="23" s="1"/>
  <c r="M70" i="23"/>
  <c r="M80" i="23"/>
  <c r="L70" i="23"/>
  <c r="K70" i="23"/>
  <c r="J70" i="23"/>
  <c r="J89" i="23" s="1"/>
  <c r="AH69" i="23"/>
  <c r="AG69" i="23"/>
  <c r="AF69" i="23"/>
  <c r="AE69" i="23"/>
  <c r="AD69" i="23"/>
  <c r="B69" i="23"/>
  <c r="AH68" i="23"/>
  <c r="AG68" i="23"/>
  <c r="AF68" i="23"/>
  <c r="AF70" i="23" s="1"/>
  <c r="AE68" i="23"/>
  <c r="AD68" i="23"/>
  <c r="B68" i="23"/>
  <c r="AH67" i="23"/>
  <c r="AG67" i="23"/>
  <c r="AF67" i="23"/>
  <c r="AE67" i="23"/>
  <c r="AD67" i="23"/>
  <c r="AD70" i="23" s="1"/>
  <c r="AH66" i="23"/>
  <c r="AG66" i="23"/>
  <c r="AF66" i="23"/>
  <c r="AE66" i="23"/>
  <c r="AD66" i="23"/>
  <c r="B66" i="23"/>
  <c r="AG62" i="23"/>
  <c r="AF62" i="23"/>
  <c r="AC61" i="23"/>
  <c r="AB61" i="23"/>
  <c r="AA61" i="23"/>
  <c r="Z61" i="23"/>
  <c r="W61" i="23"/>
  <c r="V61" i="23"/>
  <c r="U61" i="23"/>
  <c r="T61" i="23"/>
  <c r="T62" i="23" s="1"/>
  <c r="T79" i="23" s="1"/>
  <c r="S61" i="23"/>
  <c r="S62" i="23"/>
  <c r="R61" i="23"/>
  <c r="R62" i="23"/>
  <c r="Q61" i="23"/>
  <c r="Q62" i="23" s="1"/>
  <c r="Q88" i="23" s="1"/>
  <c r="P61" i="23"/>
  <c r="P62" i="23" s="1"/>
  <c r="P88" i="23" s="1"/>
  <c r="O61" i="23"/>
  <c r="O62" i="23" s="1"/>
  <c r="N61" i="23"/>
  <c r="N88" i="23" s="1"/>
  <c r="M61" i="23"/>
  <c r="M88" i="23"/>
  <c r="L61" i="23"/>
  <c r="L79" i="23" s="1"/>
  <c r="L97" i="23" s="1"/>
  <c r="K61" i="23"/>
  <c r="AH60" i="23"/>
  <c r="AG60" i="23"/>
  <c r="AF60" i="23"/>
  <c r="AE60" i="23"/>
  <c r="AD60" i="23"/>
  <c r="B60" i="23"/>
  <c r="AH59" i="23"/>
  <c r="AH61" i="23" s="1"/>
  <c r="AG59" i="23"/>
  <c r="AF59" i="23"/>
  <c r="AE59" i="23"/>
  <c r="AD59" i="23"/>
  <c r="B59" i="23"/>
  <c r="AH58" i="23"/>
  <c r="AG58" i="23"/>
  <c r="AG61" i="23" s="1"/>
  <c r="AF58" i="23"/>
  <c r="AF61" i="23" s="1"/>
  <c r="AE58" i="23"/>
  <c r="AD58" i="23"/>
  <c r="B58" i="23"/>
  <c r="AH57" i="23"/>
  <c r="AG57" i="23"/>
  <c r="AF57" i="23"/>
  <c r="AE57" i="23"/>
  <c r="AE61" i="23" s="1"/>
  <c r="AE88" i="23" s="1"/>
  <c r="AD57" i="23"/>
  <c r="AD61" i="23" s="1"/>
  <c r="AD88" i="23" s="1"/>
  <c r="B57" i="23"/>
  <c r="AG53" i="23"/>
  <c r="AG44" i="23" s="1"/>
  <c r="AF53" i="23"/>
  <c r="AC52" i="23"/>
  <c r="AB52" i="23"/>
  <c r="AA52" i="23"/>
  <c r="Z52" i="23"/>
  <c r="Z43" i="23" s="1"/>
  <c r="W52" i="23"/>
  <c r="W43" i="23" s="1"/>
  <c r="V52" i="23"/>
  <c r="U52" i="23"/>
  <c r="T52" i="23"/>
  <c r="T53" i="23"/>
  <c r="S52" i="23"/>
  <c r="S53" i="23" s="1"/>
  <c r="R52" i="23"/>
  <c r="Q52" i="23"/>
  <c r="P52" i="23"/>
  <c r="P53" i="23" s="1"/>
  <c r="O52" i="23"/>
  <c r="O53" i="23" s="1"/>
  <c r="O44" i="23" s="1"/>
  <c r="N52" i="23"/>
  <c r="M52" i="23"/>
  <c r="M43" i="23" s="1"/>
  <c r="K52" i="23"/>
  <c r="J52" i="23"/>
  <c r="F52" i="23"/>
  <c r="AH51" i="23"/>
  <c r="AG51" i="23"/>
  <c r="AF51" i="23"/>
  <c r="AE51" i="23"/>
  <c r="AD51" i="23"/>
  <c r="B51" i="23"/>
  <c r="AH50" i="23"/>
  <c r="AG50" i="23"/>
  <c r="AF50" i="23"/>
  <c r="AE50" i="23"/>
  <c r="AD50" i="23"/>
  <c r="B50" i="23"/>
  <c r="B67" i="23"/>
  <c r="AH49" i="23"/>
  <c r="AH52" i="23" s="1"/>
  <c r="AG49" i="23"/>
  <c r="AF49" i="23"/>
  <c r="AE49" i="23"/>
  <c r="AD49" i="23"/>
  <c r="B49" i="23"/>
  <c r="AH48" i="23"/>
  <c r="AG48" i="23"/>
  <c r="AG52" i="23" s="1"/>
  <c r="AF48" i="23"/>
  <c r="AE48" i="23"/>
  <c r="AD48" i="23"/>
  <c r="B48" i="23"/>
  <c r="AI44" i="23"/>
  <c r="AC44" i="23"/>
  <c r="AB44" i="23"/>
  <c r="AA44" i="23"/>
  <c r="Z44" i="23"/>
  <c r="W44" i="23"/>
  <c r="V44" i="23"/>
  <c r="U44" i="23"/>
  <c r="AG42" i="23"/>
  <c r="AF42" i="23"/>
  <c r="AC41" i="23"/>
  <c r="AC43" i="23"/>
  <c r="AB41" i="23"/>
  <c r="AA41" i="23"/>
  <c r="Z41" i="23"/>
  <c r="W41" i="23"/>
  <c r="V41" i="23"/>
  <c r="U41" i="23"/>
  <c r="U43" i="23" s="1"/>
  <c r="T41" i="23"/>
  <c r="T43" i="23" s="1"/>
  <c r="T42" i="23"/>
  <c r="S41" i="23"/>
  <c r="S42" i="23"/>
  <c r="R41" i="23"/>
  <c r="R42" i="23"/>
  <c r="Q41" i="23"/>
  <c r="P41" i="23"/>
  <c r="P42" i="23"/>
  <c r="O41" i="23"/>
  <c r="O43" i="23" s="1"/>
  <c r="N41" i="23"/>
  <c r="N42" i="23"/>
  <c r="N77" i="23" s="1"/>
  <c r="M41" i="23"/>
  <c r="L41" i="23"/>
  <c r="K41" i="23"/>
  <c r="J41" i="23"/>
  <c r="AH40" i="23"/>
  <c r="AG40" i="23"/>
  <c r="AG41" i="23" s="1"/>
  <c r="AG43" i="23" s="1"/>
  <c r="AF40" i="23"/>
  <c r="AE40" i="23"/>
  <c r="AD40" i="23"/>
  <c r="B40" i="23"/>
  <c r="AH39" i="23"/>
  <c r="AG39" i="23"/>
  <c r="AF39" i="23"/>
  <c r="AE39" i="23"/>
  <c r="AE41" i="23" s="1"/>
  <c r="AD39" i="23"/>
  <c r="B39" i="23"/>
  <c r="AH38" i="23"/>
  <c r="AG38" i="23"/>
  <c r="AF38" i="23"/>
  <c r="AE38" i="23"/>
  <c r="AD38" i="23"/>
  <c r="AH37" i="23"/>
  <c r="AH41" i="23" s="1"/>
  <c r="AG37" i="23"/>
  <c r="AF37" i="23"/>
  <c r="AF41" i="23" s="1"/>
  <c r="AE37" i="23"/>
  <c r="AD37" i="23"/>
  <c r="B37" i="23"/>
  <c r="AG33" i="23"/>
  <c r="AF33" i="23"/>
  <c r="AF76" i="23" s="1"/>
  <c r="AC32" i="23"/>
  <c r="AB32" i="23"/>
  <c r="AA32" i="23"/>
  <c r="Z32" i="23"/>
  <c r="W32" i="23"/>
  <c r="V32" i="23"/>
  <c r="U32" i="23"/>
  <c r="T32" i="23"/>
  <c r="T33" i="23"/>
  <c r="T76" i="23" s="1"/>
  <c r="S32" i="23"/>
  <c r="S33" i="23"/>
  <c r="S76" i="23" s="1"/>
  <c r="R32" i="23"/>
  <c r="R33" i="23"/>
  <c r="Q32" i="23"/>
  <c r="Q33" i="23" s="1"/>
  <c r="Q76" i="23" s="1"/>
  <c r="Q85" i="23" s="1"/>
  <c r="P32" i="23"/>
  <c r="P33" i="23" s="1"/>
  <c r="O32" i="23"/>
  <c r="N32" i="23"/>
  <c r="N33" i="23" s="1"/>
  <c r="N76" i="23" s="1"/>
  <c r="M32" i="23"/>
  <c r="L32" i="23"/>
  <c r="K32" i="23"/>
  <c r="J32" i="23"/>
  <c r="J76" i="23" s="1"/>
  <c r="J85" i="23" s="1"/>
  <c r="F32" i="23"/>
  <c r="AH31" i="23"/>
  <c r="AG31" i="23"/>
  <c r="AG32" i="23" s="1"/>
  <c r="AF31" i="23"/>
  <c r="AE31" i="23"/>
  <c r="AD31" i="23"/>
  <c r="B31" i="23"/>
  <c r="AH30" i="23"/>
  <c r="AG30" i="23"/>
  <c r="AF30" i="23"/>
  <c r="AE30" i="23"/>
  <c r="AD30" i="23"/>
  <c r="B30" i="23"/>
  <c r="AH29" i="23"/>
  <c r="AG29" i="23"/>
  <c r="AF29" i="23"/>
  <c r="AF32" i="23" s="1"/>
  <c r="AE29" i="23"/>
  <c r="AE32" i="23" s="1"/>
  <c r="AD29" i="23"/>
  <c r="AH28" i="23"/>
  <c r="AG28" i="23"/>
  <c r="AF28" i="23"/>
  <c r="AE28" i="23"/>
  <c r="AD28" i="23"/>
  <c r="B28" i="23"/>
  <c r="B38" i="23" s="1"/>
  <c r="AG24" i="23"/>
  <c r="AF24" i="23"/>
  <c r="AC23" i="23"/>
  <c r="AB23" i="23"/>
  <c r="AA23" i="23"/>
  <c r="Z23" i="23"/>
  <c r="W23" i="23"/>
  <c r="V23" i="23"/>
  <c r="U23" i="23"/>
  <c r="T23" i="23"/>
  <c r="T24" i="23" s="1"/>
  <c r="S23" i="23"/>
  <c r="S24" i="23" s="1"/>
  <c r="R23" i="23"/>
  <c r="R24" i="23"/>
  <c r="Q23" i="23"/>
  <c r="Q24" i="23" s="1"/>
  <c r="P23" i="23"/>
  <c r="P24" i="23" s="1"/>
  <c r="AH24" i="23" s="1"/>
  <c r="O23" i="23"/>
  <c r="N23" i="23"/>
  <c r="N24" i="23" s="1"/>
  <c r="M23" i="23"/>
  <c r="AH22" i="23"/>
  <c r="AH23" i="23" s="1"/>
  <c r="AG22" i="23"/>
  <c r="AF22" i="23"/>
  <c r="AE22" i="23"/>
  <c r="AD22" i="23"/>
  <c r="AH21" i="23"/>
  <c r="AG21" i="23"/>
  <c r="AF21" i="23"/>
  <c r="AF23" i="23" s="1"/>
  <c r="AE21" i="23"/>
  <c r="AE23" i="23" s="1"/>
  <c r="AD21" i="23"/>
  <c r="B21" i="23"/>
  <c r="AH20" i="23"/>
  <c r="AG20" i="23"/>
  <c r="AF20" i="23"/>
  <c r="AE20" i="23"/>
  <c r="AD20" i="23"/>
  <c r="AD23" i="23" s="1"/>
  <c r="B20" i="23"/>
  <c r="AH19" i="23"/>
  <c r="AG19" i="23"/>
  <c r="AG23" i="23" s="1"/>
  <c r="AF19" i="23"/>
  <c r="AE19" i="23"/>
  <c r="AD19" i="23"/>
  <c r="B19" i="23"/>
  <c r="C17" i="23"/>
  <c r="C26" i="23" s="1"/>
  <c r="C35" i="23" s="1"/>
  <c r="C46" i="23" s="1"/>
  <c r="C55" i="23" s="1"/>
  <c r="C64" i="23" s="1"/>
  <c r="AG15" i="23"/>
  <c r="AF15" i="23"/>
  <c r="AF80" i="23"/>
  <c r="AF89" i="23" s="1"/>
  <c r="AC14" i="23"/>
  <c r="AB14" i="23"/>
  <c r="AA14" i="23"/>
  <c r="Z14" i="23"/>
  <c r="W14" i="23"/>
  <c r="V14" i="23"/>
  <c r="U14" i="23"/>
  <c r="T14" i="23"/>
  <c r="T15" i="23" s="1"/>
  <c r="S14" i="23"/>
  <c r="S15" i="23"/>
  <c r="R14" i="23"/>
  <c r="R15" i="23" s="1"/>
  <c r="R79" i="23" s="1"/>
  <c r="Q14" i="23"/>
  <c r="Q15" i="23"/>
  <c r="Q74" i="23" s="1"/>
  <c r="Q98" i="23" s="1"/>
  <c r="P14" i="23"/>
  <c r="P15" i="23" s="1"/>
  <c r="O14" i="23"/>
  <c r="N14" i="23"/>
  <c r="N15" i="23" s="1"/>
  <c r="N80" i="23" s="1"/>
  <c r="M14" i="23"/>
  <c r="M77" i="23" s="1"/>
  <c r="M95" i="23" s="1"/>
  <c r="L14" i="23"/>
  <c r="K14" i="23"/>
  <c r="K24" i="23" s="1"/>
  <c r="J14" i="23"/>
  <c r="AH13" i="23"/>
  <c r="AG13" i="23"/>
  <c r="AF13" i="23"/>
  <c r="AE13" i="23"/>
  <c r="AD13" i="23"/>
  <c r="B13" i="23"/>
  <c r="B22" i="23"/>
  <c r="B29" i="23" s="1"/>
  <c r="AH12" i="23"/>
  <c r="AG12" i="23"/>
  <c r="AF12" i="23"/>
  <c r="AE12" i="23"/>
  <c r="AE14" i="23" s="1"/>
  <c r="AD12" i="23"/>
  <c r="B12" i="23"/>
  <c r="AH11" i="23"/>
  <c r="AG11" i="23"/>
  <c r="AF11" i="23"/>
  <c r="AE11" i="23"/>
  <c r="AD11" i="23"/>
  <c r="B11" i="23"/>
  <c r="AH10" i="23"/>
  <c r="AG10" i="23"/>
  <c r="AF10" i="23"/>
  <c r="AF14" i="23" s="1"/>
  <c r="AE10" i="23"/>
  <c r="AD10" i="23"/>
  <c r="B10" i="23"/>
  <c r="AD14" i="23"/>
  <c r="AA43" i="23"/>
  <c r="AF52" i="23"/>
  <c r="AE52" i="23"/>
  <c r="AD32" i="23"/>
  <c r="AH32" i="23"/>
  <c r="AD41" i="23"/>
  <c r="AG14" i="23"/>
  <c r="AA85" i="23"/>
  <c r="S43" i="23"/>
  <c r="W87" i="23"/>
  <c r="AA89" i="23"/>
  <c r="N43" i="23"/>
  <c r="V43" i="23"/>
  <c r="AB43" i="23"/>
  <c r="W84" i="23"/>
  <c r="AC86" i="23"/>
  <c r="O84" i="23"/>
  <c r="O85" i="23"/>
  <c r="AA87" i="23"/>
  <c r="AC89" i="23"/>
  <c r="AC84" i="23"/>
  <c r="W86" i="23"/>
  <c r="M76" i="23"/>
  <c r="AG77" i="23"/>
  <c r="AA84" i="23"/>
  <c r="AA86" i="23"/>
  <c r="AB87" i="23"/>
  <c r="I100" i="23"/>
  <c r="W85" i="23"/>
  <c r="AC85" i="23"/>
  <c r="AC83" i="23"/>
  <c r="K77" i="23"/>
  <c r="Q42" i="23"/>
  <c r="AG70" i="23"/>
  <c r="AE33" i="23"/>
  <c r="R88" i="23"/>
  <c r="R75" i="23"/>
  <c r="R84" i="23" s="1"/>
  <c r="R74" i="23"/>
  <c r="R83" i="23" s="1"/>
  <c r="O78" i="23"/>
  <c r="S78" i="23"/>
  <c r="AE53" i="23"/>
  <c r="R80" i="23"/>
  <c r="S44" i="23"/>
  <c r="S74" i="23"/>
  <c r="S83" i="23" s="1"/>
  <c r="S75" i="23"/>
  <c r="AD62" i="23"/>
  <c r="S80" i="23"/>
  <c r="AE71" i="23"/>
  <c r="L33" i="23"/>
  <c r="AF77" i="23"/>
  <c r="L43" i="23"/>
  <c r="P43" i="23"/>
  <c r="J78" i="23"/>
  <c r="N53" i="23"/>
  <c r="N78" i="23"/>
  <c r="L89" i="23"/>
  <c r="L80" i="23"/>
  <c r="N74" i="23"/>
  <c r="K74" i="23"/>
  <c r="K75" i="23"/>
  <c r="R77" i="23"/>
  <c r="M74" i="23"/>
  <c r="AF74" i="23"/>
  <c r="AF83" i="23" s="1"/>
  <c r="AF75" i="23"/>
  <c r="K76" i="23"/>
  <c r="J77" i="23"/>
  <c r="AF44" i="23"/>
  <c r="K78" i="23"/>
  <c r="K87" i="23" s="1"/>
  <c r="AF78" i="23"/>
  <c r="K88" i="23"/>
  <c r="K79" i="23"/>
  <c r="N62" i="23"/>
  <c r="N79" i="23"/>
  <c r="V86" i="23"/>
  <c r="K33" i="23"/>
  <c r="K43" i="23"/>
  <c r="J79" i="23"/>
  <c r="J75" i="23"/>
  <c r="N75" i="23"/>
  <c r="P75" i="23"/>
  <c r="AG74" i="23"/>
  <c r="AG75" i="23"/>
  <c r="L24" i="23"/>
  <c r="L76" i="23"/>
  <c r="AG76" i="23"/>
  <c r="M78" i="23"/>
  <c r="M96" i="23" s="1"/>
  <c r="K53" i="23"/>
  <c r="AG78" i="23"/>
  <c r="O88" i="23"/>
  <c r="O79" i="23"/>
  <c r="O97" i="23" s="1"/>
  <c r="O100" i="23" s="1"/>
  <c r="S88" i="23"/>
  <c r="S79" i="23"/>
  <c r="AF79" i="23"/>
  <c r="AG80" i="23"/>
  <c r="J74" i="23"/>
  <c r="J83" i="23"/>
  <c r="P74" i="23"/>
  <c r="V84" i="23"/>
  <c r="AB84" i="23"/>
  <c r="V85" i="23"/>
  <c r="AB85" i="23"/>
  <c r="O95" i="23"/>
  <c r="O86" i="23"/>
  <c r="Z87" i="23"/>
  <c r="J80" i="23"/>
  <c r="V89" i="23"/>
  <c r="AB89" i="23"/>
  <c r="AB86" i="23"/>
  <c r="K62" i="23"/>
  <c r="AG79" i="23"/>
  <c r="K89" i="23"/>
  <c r="K80" i="23"/>
  <c r="L74" i="23"/>
  <c r="Z86" i="23"/>
  <c r="M89" i="23"/>
  <c r="O93" i="23"/>
  <c r="I98" i="22"/>
  <c r="H98" i="22"/>
  <c r="G98" i="22"/>
  <c r="F98" i="22"/>
  <c r="I97" i="22"/>
  <c r="H97" i="22"/>
  <c r="G97" i="22"/>
  <c r="F97" i="22"/>
  <c r="I96" i="22"/>
  <c r="H96" i="22"/>
  <c r="G96" i="22"/>
  <c r="F96" i="22"/>
  <c r="I95" i="22"/>
  <c r="H95" i="22"/>
  <c r="G95" i="22"/>
  <c r="F95" i="22"/>
  <c r="I94" i="22"/>
  <c r="H94" i="22"/>
  <c r="G94" i="22"/>
  <c r="F94" i="22"/>
  <c r="I93" i="22"/>
  <c r="H93" i="22"/>
  <c r="G93" i="22"/>
  <c r="F93" i="22"/>
  <c r="AG92" i="22"/>
  <c r="AE92" i="22"/>
  <c r="AD92" i="22"/>
  <c r="Q92" i="22"/>
  <c r="P92" i="22"/>
  <c r="O92" i="22"/>
  <c r="N92" i="22"/>
  <c r="M92" i="22"/>
  <c r="L92" i="22"/>
  <c r="K92" i="22"/>
  <c r="I92" i="22"/>
  <c r="H92" i="22"/>
  <c r="H100" i="22" s="1"/>
  <c r="G92" i="22"/>
  <c r="F92" i="22"/>
  <c r="F100" i="22" s="1"/>
  <c r="I89" i="22"/>
  <c r="H89" i="22"/>
  <c r="G89" i="22"/>
  <c r="F89" i="22"/>
  <c r="AC88" i="22"/>
  <c r="AB88" i="22"/>
  <c r="AA88" i="22"/>
  <c r="Z88" i="22"/>
  <c r="Y88" i="22"/>
  <c r="V88" i="22"/>
  <c r="U88" i="22"/>
  <c r="J88" i="22"/>
  <c r="I88" i="22"/>
  <c r="H88" i="22"/>
  <c r="G88" i="22"/>
  <c r="F88" i="22"/>
  <c r="I87" i="22"/>
  <c r="H87" i="22"/>
  <c r="G87" i="22"/>
  <c r="F87" i="22"/>
  <c r="I86" i="22"/>
  <c r="H86" i="22"/>
  <c r="G86" i="22"/>
  <c r="F86" i="22"/>
  <c r="I85" i="22"/>
  <c r="H85" i="22"/>
  <c r="G85" i="22"/>
  <c r="F85" i="22"/>
  <c r="I84" i="22"/>
  <c r="H84" i="22"/>
  <c r="G84" i="22"/>
  <c r="F84" i="22"/>
  <c r="I83" i="22"/>
  <c r="H83" i="22"/>
  <c r="G83" i="22"/>
  <c r="F83" i="22"/>
  <c r="AC80" i="22"/>
  <c r="AB80" i="22"/>
  <c r="AA80" i="22"/>
  <c r="Z80" i="22"/>
  <c r="Z89" i="22" s="1"/>
  <c r="Y80" i="22"/>
  <c r="V80" i="22"/>
  <c r="U80" i="22"/>
  <c r="AC79" i="22"/>
  <c r="AB79" i="22"/>
  <c r="AA79" i="22"/>
  <c r="Z79" i="22"/>
  <c r="Y79" i="22"/>
  <c r="V79" i="22"/>
  <c r="U79" i="22"/>
  <c r="AC78" i="22"/>
  <c r="AB78" i="22"/>
  <c r="AA78" i="22"/>
  <c r="Z78" i="22"/>
  <c r="Y78" i="22"/>
  <c r="V78" i="22"/>
  <c r="V87" i="22" s="1"/>
  <c r="U78" i="22"/>
  <c r="AC77" i="22"/>
  <c r="AB77" i="22"/>
  <c r="AA77" i="22"/>
  <c r="Z77" i="22"/>
  <c r="Y77" i="22"/>
  <c r="V77" i="22"/>
  <c r="U77" i="22"/>
  <c r="O77" i="22"/>
  <c r="AC76" i="22"/>
  <c r="AB76" i="22"/>
  <c r="AA76" i="22"/>
  <c r="Z76" i="22"/>
  <c r="Y76" i="22"/>
  <c r="V76" i="22"/>
  <c r="U76" i="22"/>
  <c r="U85" i="22" s="1"/>
  <c r="O76" i="22"/>
  <c r="AC75" i="22"/>
  <c r="AB75" i="22"/>
  <c r="AA75" i="22"/>
  <c r="Z75" i="22"/>
  <c r="Y75" i="22"/>
  <c r="V75" i="22"/>
  <c r="U75" i="22"/>
  <c r="U84" i="22" s="1"/>
  <c r="O75" i="22"/>
  <c r="AC74" i="22"/>
  <c r="AC83" i="22"/>
  <c r="AB74" i="22"/>
  <c r="AB83" i="22"/>
  <c r="AA74" i="22"/>
  <c r="AA83" i="22"/>
  <c r="Z74" i="22"/>
  <c r="Y74" i="22"/>
  <c r="Y83" i="22"/>
  <c r="V74" i="22"/>
  <c r="V83" i="22"/>
  <c r="U74" i="22"/>
  <c r="U83" i="22"/>
  <c r="O74" i="22"/>
  <c r="AG71" i="22"/>
  <c r="AF71" i="22"/>
  <c r="N71" i="22"/>
  <c r="AC70" i="22"/>
  <c r="AB70" i="22"/>
  <c r="AA70" i="22"/>
  <c r="Z70" i="22"/>
  <c r="Y70" i="22"/>
  <c r="V70" i="22"/>
  <c r="U70" i="22"/>
  <c r="T70" i="22"/>
  <c r="T71" i="22"/>
  <c r="S70" i="22"/>
  <c r="S71" i="22"/>
  <c r="R70" i="22"/>
  <c r="R71" i="22" s="1"/>
  <c r="Q70" i="22"/>
  <c r="Q71" i="22"/>
  <c r="P70" i="22"/>
  <c r="P71" i="22"/>
  <c r="O70" i="22"/>
  <c r="O71" i="22"/>
  <c r="O80" i="22"/>
  <c r="O89" i="22" s="1"/>
  <c r="M70" i="22"/>
  <c r="L70" i="22"/>
  <c r="K70" i="22"/>
  <c r="K89" i="22"/>
  <c r="J70" i="22"/>
  <c r="J80" i="22"/>
  <c r="AH69" i="22"/>
  <c r="AH70" i="22" s="1"/>
  <c r="AG69" i="22"/>
  <c r="AF69" i="22"/>
  <c r="AE69" i="22"/>
  <c r="AD69" i="22"/>
  <c r="B69" i="22"/>
  <c r="AH68" i="22"/>
  <c r="AG68" i="22"/>
  <c r="AF68" i="22"/>
  <c r="AF70" i="22" s="1"/>
  <c r="AE68" i="22"/>
  <c r="AD68" i="22"/>
  <c r="B68" i="22"/>
  <c r="AH67" i="22"/>
  <c r="AG67" i="22"/>
  <c r="AF67" i="22"/>
  <c r="AE67" i="22"/>
  <c r="AD67" i="22"/>
  <c r="AD70" i="22" s="1"/>
  <c r="AH66" i="22"/>
  <c r="AG66" i="22"/>
  <c r="AF66" i="22"/>
  <c r="AE66" i="22"/>
  <c r="AD66" i="22"/>
  <c r="B66" i="22"/>
  <c r="AG62" i="22"/>
  <c r="AF62" i="22"/>
  <c r="AF79" i="22" s="1"/>
  <c r="AF88" i="22" s="1"/>
  <c r="AC61" i="22"/>
  <c r="AB61" i="22"/>
  <c r="AA61" i="22"/>
  <c r="Z61" i="22"/>
  <c r="Y61" i="22"/>
  <c r="V61" i="22"/>
  <c r="U61" i="22"/>
  <c r="T61" i="22"/>
  <c r="T62" i="22" s="1"/>
  <c r="AH62" i="22" s="1"/>
  <c r="S61" i="22"/>
  <c r="S62" i="22"/>
  <c r="R61" i="22"/>
  <c r="R62" i="22"/>
  <c r="Q61" i="22"/>
  <c r="Q62" i="22"/>
  <c r="P61" i="22"/>
  <c r="P62" i="22" s="1"/>
  <c r="O61" i="22"/>
  <c r="O62" i="22"/>
  <c r="N61" i="22"/>
  <c r="N88" i="22"/>
  <c r="M61" i="22"/>
  <c r="M88" i="22"/>
  <c r="L61" i="22"/>
  <c r="K61" i="22"/>
  <c r="AH60" i="22"/>
  <c r="AG60" i="22"/>
  <c r="AF60" i="22"/>
  <c r="AE60" i="22"/>
  <c r="AD60" i="22"/>
  <c r="B60" i="22"/>
  <c r="AH59" i="22"/>
  <c r="AH61" i="22" s="1"/>
  <c r="AG59" i="22"/>
  <c r="AF59" i="22"/>
  <c r="AE59" i="22"/>
  <c r="AD59" i="22"/>
  <c r="B59" i="22"/>
  <c r="AH58" i="22"/>
  <c r="AG58" i="22"/>
  <c r="AF58" i="22"/>
  <c r="AF61" i="22" s="1"/>
  <c r="AE58" i="22"/>
  <c r="AD58" i="22"/>
  <c r="B58" i="22"/>
  <c r="AH57" i="22"/>
  <c r="AG57" i="22"/>
  <c r="AF57" i="22"/>
  <c r="AE57" i="22"/>
  <c r="AD57" i="22"/>
  <c r="AD61" i="22" s="1"/>
  <c r="AD88" i="22" s="1"/>
  <c r="B57" i="22"/>
  <c r="AG53" i="22"/>
  <c r="AF53" i="22"/>
  <c r="AC52" i="22"/>
  <c r="AB52" i="22"/>
  <c r="AA52" i="22"/>
  <c r="Z52" i="22"/>
  <c r="Y52" i="22"/>
  <c r="Y43" i="22" s="1"/>
  <c r="V52" i="22"/>
  <c r="U52" i="22"/>
  <c r="T52" i="22"/>
  <c r="T53" i="22" s="1"/>
  <c r="T78" i="22" s="1"/>
  <c r="T87" i="22" s="1"/>
  <c r="S52" i="22"/>
  <c r="S53" i="22" s="1"/>
  <c r="R52" i="22"/>
  <c r="R53" i="22"/>
  <c r="R78" i="22" s="1"/>
  <c r="R87" i="22" s="1"/>
  <c r="Q52" i="22"/>
  <c r="Q53" i="22" s="1"/>
  <c r="Q78" i="22" s="1"/>
  <c r="P52" i="22"/>
  <c r="P53" i="22" s="1"/>
  <c r="O52" i="22"/>
  <c r="O53" i="22" s="1"/>
  <c r="N52" i="22"/>
  <c r="N53" i="22"/>
  <c r="N78" i="22" s="1"/>
  <c r="M52" i="22"/>
  <c r="K52" i="22"/>
  <c r="J52" i="22"/>
  <c r="F52" i="22"/>
  <c r="AH51" i="22"/>
  <c r="AG51" i="22"/>
  <c r="AF51" i="22"/>
  <c r="AE51" i="22"/>
  <c r="AE52" i="22" s="1"/>
  <c r="AD51" i="22"/>
  <c r="B51" i="22"/>
  <c r="AH50" i="22"/>
  <c r="AG50" i="22"/>
  <c r="AF50" i="22"/>
  <c r="AE50" i="22"/>
  <c r="AD50" i="22"/>
  <c r="B50" i="22"/>
  <c r="B67" i="22" s="1"/>
  <c r="AH49" i="22"/>
  <c r="AG49" i="22"/>
  <c r="AF49" i="22"/>
  <c r="AE49" i="22"/>
  <c r="AD49" i="22"/>
  <c r="B49" i="22"/>
  <c r="AH48" i="22"/>
  <c r="AH52" i="22" s="1"/>
  <c r="AH43" i="22" s="1"/>
  <c r="AG48" i="22"/>
  <c r="AF48" i="22"/>
  <c r="AE48" i="22"/>
  <c r="AD48" i="22"/>
  <c r="B48" i="22"/>
  <c r="AI44" i="22"/>
  <c r="AC44" i="22"/>
  <c r="AB44" i="22"/>
  <c r="AA44" i="22"/>
  <c r="Z44" i="22"/>
  <c r="Y44" i="22"/>
  <c r="V44" i="22"/>
  <c r="U44" i="22"/>
  <c r="AG42" i="22"/>
  <c r="AG44" i="22"/>
  <c r="AF42" i="22"/>
  <c r="AC41" i="22"/>
  <c r="AC43" i="22" s="1"/>
  <c r="AB41" i="22"/>
  <c r="AB43" i="22" s="1"/>
  <c r="AA41" i="22"/>
  <c r="AA43" i="22" s="1"/>
  <c r="Z41" i="22"/>
  <c r="Z43" i="22"/>
  <c r="Y41" i="22"/>
  <c r="V41" i="22"/>
  <c r="U41" i="22"/>
  <c r="U43" i="22" s="1"/>
  <c r="T41" i="22"/>
  <c r="T42" i="22" s="1"/>
  <c r="AE42" i="22" s="1"/>
  <c r="S41" i="22"/>
  <c r="S43" i="22"/>
  <c r="R41" i="22"/>
  <c r="R42" i="22" s="1"/>
  <c r="R77" i="22" s="1"/>
  <c r="R86" i="22" s="1"/>
  <c r="Q41" i="22"/>
  <c r="Q42" i="22" s="1"/>
  <c r="Q77" i="22" s="1"/>
  <c r="P41" i="22"/>
  <c r="P42" i="22" s="1"/>
  <c r="O41" i="22"/>
  <c r="O43" i="22" s="1"/>
  <c r="N41" i="22"/>
  <c r="M41" i="22"/>
  <c r="L41" i="22"/>
  <c r="K41" i="22"/>
  <c r="J41" i="22"/>
  <c r="AH40" i="22"/>
  <c r="AG40" i="22"/>
  <c r="AF40" i="22"/>
  <c r="AE40" i="22"/>
  <c r="AE41" i="22" s="1"/>
  <c r="AE43" i="22" s="1"/>
  <c r="AD40" i="22"/>
  <c r="B40" i="22"/>
  <c r="AH39" i="22"/>
  <c r="AG39" i="22"/>
  <c r="AF39" i="22"/>
  <c r="AE39" i="22"/>
  <c r="AD39" i="22"/>
  <c r="B39" i="22"/>
  <c r="AH38" i="22"/>
  <c r="AG38" i="22"/>
  <c r="AF38" i="22"/>
  <c r="AE38" i="22"/>
  <c r="AD38" i="22"/>
  <c r="AH37" i="22"/>
  <c r="AG37" i="22"/>
  <c r="AF37" i="22"/>
  <c r="AF41" i="22" s="1"/>
  <c r="AF43" i="22" s="1"/>
  <c r="AE37" i="22"/>
  <c r="AD37" i="22"/>
  <c r="B37" i="22"/>
  <c r="AG33" i="22"/>
  <c r="AF33" i="22"/>
  <c r="AC32" i="22"/>
  <c r="AB32" i="22"/>
  <c r="AA32" i="22"/>
  <c r="Z32" i="22"/>
  <c r="Y32" i="22"/>
  <c r="V32" i="22"/>
  <c r="U32" i="22"/>
  <c r="T32" i="22"/>
  <c r="T33" i="22" s="1"/>
  <c r="T76" i="22" s="1"/>
  <c r="T85" i="22" s="1"/>
  <c r="S32" i="22"/>
  <c r="S33" i="22"/>
  <c r="AE33" i="22" s="1"/>
  <c r="R32" i="22"/>
  <c r="R33" i="22"/>
  <c r="Q32" i="22"/>
  <c r="Q33" i="22" s="1"/>
  <c r="Q76" i="22" s="1"/>
  <c r="P32" i="22"/>
  <c r="P33" i="22" s="1"/>
  <c r="O32" i="22"/>
  <c r="N32" i="22"/>
  <c r="N33" i="22" s="1"/>
  <c r="N76" i="22" s="1"/>
  <c r="M32" i="22"/>
  <c r="L32" i="22"/>
  <c r="K32" i="22"/>
  <c r="J32" i="22"/>
  <c r="F32" i="22"/>
  <c r="AH31" i="22"/>
  <c r="AG31" i="22"/>
  <c r="AF31" i="22"/>
  <c r="AE31" i="22"/>
  <c r="AD31" i="22"/>
  <c r="B31" i="22"/>
  <c r="AH30" i="22"/>
  <c r="AG30" i="22"/>
  <c r="AF30" i="22"/>
  <c r="AF32" i="22" s="1"/>
  <c r="AE30" i="22"/>
  <c r="AD30" i="22"/>
  <c r="B30" i="22"/>
  <c r="AH29" i="22"/>
  <c r="AG29" i="22"/>
  <c r="AF29" i="22"/>
  <c r="AE29" i="22"/>
  <c r="AD29" i="22"/>
  <c r="AH28" i="22"/>
  <c r="AH32" i="22" s="1"/>
  <c r="AG28" i="22"/>
  <c r="AF28" i="22"/>
  <c r="AE28" i="22"/>
  <c r="AD28" i="22"/>
  <c r="B28" i="22"/>
  <c r="B38" i="22" s="1"/>
  <c r="AG24" i="22"/>
  <c r="AF24" i="22"/>
  <c r="AC23" i="22"/>
  <c r="AB23" i="22"/>
  <c r="AA23" i="22"/>
  <c r="Z23" i="22"/>
  <c r="Y23" i="22"/>
  <c r="V23" i="22"/>
  <c r="U23" i="22"/>
  <c r="T23" i="22"/>
  <c r="T24" i="22" s="1"/>
  <c r="T75" i="22" s="1"/>
  <c r="T84" i="22" s="1"/>
  <c r="S23" i="22"/>
  <c r="S24" i="22"/>
  <c r="R23" i="22"/>
  <c r="R24" i="22"/>
  <c r="Q23" i="22"/>
  <c r="Q24" i="22"/>
  <c r="P23" i="22"/>
  <c r="P24" i="22" s="1"/>
  <c r="O23" i="22"/>
  <c r="N23" i="22"/>
  <c r="N24" i="22" s="1"/>
  <c r="M23" i="22"/>
  <c r="AH22" i="22"/>
  <c r="AG22" i="22"/>
  <c r="AF22" i="22"/>
  <c r="AE22" i="22"/>
  <c r="AD22" i="22"/>
  <c r="AH21" i="22"/>
  <c r="AG21" i="22"/>
  <c r="AF21" i="22"/>
  <c r="AE21" i="22"/>
  <c r="AD21" i="22"/>
  <c r="B21" i="22"/>
  <c r="AH20" i="22"/>
  <c r="AG20" i="22"/>
  <c r="AF20" i="22"/>
  <c r="AE20" i="22"/>
  <c r="AD20" i="22"/>
  <c r="B20" i="22"/>
  <c r="AH19" i="22"/>
  <c r="AH23" i="22" s="1"/>
  <c r="AG19" i="22"/>
  <c r="AG23" i="22" s="1"/>
  <c r="AF19" i="22"/>
  <c r="AE19" i="22"/>
  <c r="AD19" i="22"/>
  <c r="B19" i="22"/>
  <c r="C17" i="22"/>
  <c r="C26" i="22" s="1"/>
  <c r="C35" i="22" s="1"/>
  <c r="C46" i="22"/>
  <c r="C55" i="22" s="1"/>
  <c r="C64" i="22" s="1"/>
  <c r="AG15" i="22"/>
  <c r="AG80" i="22" s="1"/>
  <c r="AG89" i="22" s="1"/>
  <c r="AF15" i="22"/>
  <c r="AF74" i="22"/>
  <c r="AF83" i="22" s="1"/>
  <c r="AC14" i="22"/>
  <c r="AB14" i="22"/>
  <c r="AA14" i="22"/>
  <c r="Z14" i="22"/>
  <c r="Y14" i="22"/>
  <c r="V14" i="22"/>
  <c r="U14" i="22"/>
  <c r="T14" i="22"/>
  <c r="T15" i="22"/>
  <c r="S14" i="22"/>
  <c r="S15" i="22" s="1"/>
  <c r="AE15" i="22" s="1"/>
  <c r="R14" i="22"/>
  <c r="R15" i="22"/>
  <c r="R74" i="22" s="1"/>
  <c r="R83" i="22" s="1"/>
  <c r="Q14" i="22"/>
  <c r="Q15" i="22"/>
  <c r="Q80" i="22" s="1"/>
  <c r="Q89" i="22" s="1"/>
  <c r="P14" i="22"/>
  <c r="P15" i="22" s="1"/>
  <c r="P80" i="22" s="1"/>
  <c r="O14" i="22"/>
  <c r="N14" i="22"/>
  <c r="M14" i="22"/>
  <c r="L14" i="22"/>
  <c r="L43" i="22"/>
  <c r="K14" i="22"/>
  <c r="J14" i="22"/>
  <c r="J75" i="22"/>
  <c r="AH13" i="22"/>
  <c r="AG13" i="22"/>
  <c r="AF13" i="22"/>
  <c r="AE13" i="22"/>
  <c r="AD13" i="22"/>
  <c r="B13" i="22"/>
  <c r="B22" i="22" s="1"/>
  <c r="B29" i="22" s="1"/>
  <c r="AH12" i="22"/>
  <c r="AG12" i="22"/>
  <c r="AF12" i="22"/>
  <c r="AE12" i="22"/>
  <c r="AD12" i="22"/>
  <c r="B12" i="22"/>
  <c r="AH11" i="22"/>
  <c r="AG11" i="22"/>
  <c r="AF11" i="22"/>
  <c r="AF14" i="22" s="1"/>
  <c r="AE11" i="22"/>
  <c r="AD11" i="22"/>
  <c r="B11" i="22"/>
  <c r="AH10" i="22"/>
  <c r="AH14" i="22" s="1"/>
  <c r="AG10" i="22"/>
  <c r="AG14" i="22" s="1"/>
  <c r="AF10" i="22"/>
  <c r="AE10" i="22"/>
  <c r="AD10" i="22"/>
  <c r="AD14" i="22" s="1"/>
  <c r="B10" i="22"/>
  <c r="M75" i="22"/>
  <c r="AH43" i="23"/>
  <c r="AF88" i="23"/>
  <c r="V43" i="22"/>
  <c r="AG95" i="23"/>
  <c r="G100" i="22"/>
  <c r="AE43" i="23"/>
  <c r="AE61" i="22"/>
  <c r="AE88" i="22" s="1"/>
  <c r="M94" i="23"/>
  <c r="AG52" i="22"/>
  <c r="Q77" i="23"/>
  <c r="Q86" i="23"/>
  <c r="K97" i="23"/>
  <c r="AD42" i="23"/>
  <c r="AB85" i="22"/>
  <c r="AH42" i="23"/>
  <c r="AD52" i="22"/>
  <c r="M85" i="23"/>
  <c r="AD23" i="22"/>
  <c r="P43" i="22"/>
  <c r="V85" i="22"/>
  <c r="AG41" i="22"/>
  <c r="AG43" i="22"/>
  <c r="Y86" i="22"/>
  <c r="AC86" i="22"/>
  <c r="V89" i="22"/>
  <c r="AB89" i="22"/>
  <c r="I100" i="22"/>
  <c r="S89" i="23"/>
  <c r="AG86" i="23"/>
  <c r="U87" i="22"/>
  <c r="AA87" i="22"/>
  <c r="Y85" i="22"/>
  <c r="AG32" i="22"/>
  <c r="J76" i="22"/>
  <c r="S42" i="22"/>
  <c r="J78" i="22"/>
  <c r="J87" i="22" s="1"/>
  <c r="Y89" i="22"/>
  <c r="AC89" i="22"/>
  <c r="N44" i="23"/>
  <c r="Y84" i="22"/>
  <c r="AC85" i="22"/>
  <c r="AD32" i="22"/>
  <c r="AD41" i="22"/>
  <c r="AH41" i="22"/>
  <c r="L77" i="22"/>
  <c r="R43" i="22"/>
  <c r="AG61" i="22"/>
  <c r="AB87" i="22"/>
  <c r="AC84" i="22"/>
  <c r="AE14" i="22"/>
  <c r="AE23" i="22"/>
  <c r="M77" i="22"/>
  <c r="T43" i="22"/>
  <c r="AF52" i="22"/>
  <c r="M78" i="22"/>
  <c r="V84" i="22"/>
  <c r="AB84" i="22"/>
  <c r="V86" i="22"/>
  <c r="AB86" i="22"/>
  <c r="Y87" i="22"/>
  <c r="AC87" i="22"/>
  <c r="R86" i="23"/>
  <c r="R89" i="23"/>
  <c r="J86" i="23"/>
  <c r="AG89" i="23"/>
  <c r="AG93" i="23"/>
  <c r="AG84" i="23"/>
  <c r="K85" i="23"/>
  <c r="K94" i="23"/>
  <c r="K98" i="23"/>
  <c r="K83" i="23"/>
  <c r="S87" i="23"/>
  <c r="K86" i="23"/>
  <c r="AG97" i="23"/>
  <c r="AG88" i="23"/>
  <c r="M87" i="23"/>
  <c r="K84" i="23"/>
  <c r="K93" i="23"/>
  <c r="K100" i="23" s="1"/>
  <c r="AG96" i="23"/>
  <c r="AG87" i="23"/>
  <c r="AG85" i="23"/>
  <c r="AG94" i="23"/>
  <c r="AG98" i="23"/>
  <c r="AG83" i="23"/>
  <c r="J84" i="23"/>
  <c r="AF87" i="23"/>
  <c r="M98" i="23"/>
  <c r="M83" i="23"/>
  <c r="S85" i="23"/>
  <c r="K95" i="23"/>
  <c r="AF85" i="23"/>
  <c r="L98" i="23"/>
  <c r="L83" i="23"/>
  <c r="P98" i="23"/>
  <c r="L85" i="23"/>
  <c r="L94" i="23"/>
  <c r="K96" i="23"/>
  <c r="AF84" i="23"/>
  <c r="J87" i="23"/>
  <c r="AF86" i="23"/>
  <c r="S84" i="23"/>
  <c r="O96" i="23"/>
  <c r="O87" i="23"/>
  <c r="AG70" i="22"/>
  <c r="AE70" i="22"/>
  <c r="T74" i="22"/>
  <c r="T83" i="22"/>
  <c r="AH33" i="22"/>
  <c r="Q44" i="22"/>
  <c r="AD62" i="22"/>
  <c r="AE71" i="22"/>
  <c r="AD42" i="22"/>
  <c r="S76" i="22"/>
  <c r="Q75" i="22"/>
  <c r="Q74" i="22"/>
  <c r="Q98" i="22" s="1"/>
  <c r="R88" i="22"/>
  <c r="R79" i="22"/>
  <c r="T80" i="22"/>
  <c r="T89" i="22"/>
  <c r="Q79" i="22"/>
  <c r="N15" i="22"/>
  <c r="AF76" i="22"/>
  <c r="AF85" i="22" s="1"/>
  <c r="J77" i="22"/>
  <c r="AG77" i="22"/>
  <c r="M43" i="22"/>
  <c r="Q43" i="22"/>
  <c r="AF78" i="22"/>
  <c r="AF87" i="22" s="1"/>
  <c r="K88" i="22"/>
  <c r="N62" i="22"/>
  <c r="N79" i="22" s="1"/>
  <c r="N97" i="22" s="1"/>
  <c r="M80" i="22"/>
  <c r="M89" i="22"/>
  <c r="AF80" i="22"/>
  <c r="AF89" i="22" s="1"/>
  <c r="M72" i="22"/>
  <c r="J79" i="22"/>
  <c r="L75" i="22"/>
  <c r="L78" i="22"/>
  <c r="L96" i="22" s="1"/>
  <c r="L74" i="22"/>
  <c r="L72" i="22"/>
  <c r="L62" i="22"/>
  <c r="AG74" i="22"/>
  <c r="AG75" i="22"/>
  <c r="L24" i="22"/>
  <c r="L76" i="22"/>
  <c r="L94" i="22" s="1"/>
  <c r="K77" i="22"/>
  <c r="AG78" i="22"/>
  <c r="AG87" i="22" s="1"/>
  <c r="O88" i="22"/>
  <c r="O79" i="22"/>
  <c r="O97" i="22" s="1"/>
  <c r="S88" i="22"/>
  <c r="J74" i="22"/>
  <c r="R75" i="22"/>
  <c r="R84" i="22" s="1"/>
  <c r="AF75" i="22"/>
  <c r="AF84" i="22" s="1"/>
  <c r="AA85" i="22"/>
  <c r="U86" i="22"/>
  <c r="AA86" i="22"/>
  <c r="Q88" i="22"/>
  <c r="L33" i="22"/>
  <c r="M76" i="22"/>
  <c r="K43" i="22"/>
  <c r="L53" i="22"/>
  <c r="M79" i="22"/>
  <c r="AG79" i="22"/>
  <c r="M74" i="22"/>
  <c r="U89" i="22"/>
  <c r="AA89" i="22"/>
  <c r="J89" i="22"/>
  <c r="L89" i="22"/>
  <c r="L80" i="22"/>
  <c r="N80" i="22"/>
  <c r="N74" i="22"/>
  <c r="N98" i="22" s="1"/>
  <c r="K80" i="22"/>
  <c r="AA84" i="22"/>
  <c r="AD43" i="22"/>
  <c r="L95" i="22"/>
  <c r="Q95" i="23"/>
  <c r="N89" i="22"/>
  <c r="M97" i="22"/>
  <c r="Q97" i="22"/>
  <c r="AG100" i="23"/>
  <c r="Q96" i="22"/>
  <c r="M98" i="22"/>
  <c r="M83" i="22"/>
  <c r="AG93" i="22"/>
  <c r="AG84" i="22"/>
  <c r="L98" i="22"/>
  <c r="L83" i="22"/>
  <c r="N87" i="22"/>
  <c r="M95" i="22"/>
  <c r="Q83" i="22"/>
  <c r="M87" i="22"/>
  <c r="AG83" i="22"/>
  <c r="AG98" i="22"/>
  <c r="AG95" i="22"/>
  <c r="AG86" i="22"/>
  <c r="N96" i="22"/>
  <c r="M86" i="22"/>
  <c r="Q93" i="22"/>
  <c r="Q84" i="22"/>
  <c r="M96" i="22"/>
  <c r="N83" i="22"/>
  <c r="AG97" i="22"/>
  <c r="AG88" i="22"/>
  <c r="L87" i="22"/>
  <c r="M94" i="22"/>
  <c r="M85" i="22"/>
  <c r="AG96" i="22"/>
  <c r="L85" i="22"/>
  <c r="L93" i="22"/>
  <c r="L100" i="22" s="1"/>
  <c r="L84" i="22"/>
  <c r="M84" i="22"/>
  <c r="M93" i="22"/>
  <c r="L86" i="22"/>
  <c r="I98" i="21"/>
  <c r="H98" i="21"/>
  <c r="G98" i="21"/>
  <c r="F98" i="21"/>
  <c r="I97" i="21"/>
  <c r="H97" i="21"/>
  <c r="G97" i="21"/>
  <c r="F97" i="21"/>
  <c r="I96" i="21"/>
  <c r="H96" i="21"/>
  <c r="G96" i="21"/>
  <c r="F96" i="21"/>
  <c r="I95" i="21"/>
  <c r="H95" i="21"/>
  <c r="G95" i="21"/>
  <c r="F95" i="21"/>
  <c r="I94" i="21"/>
  <c r="H94" i="21"/>
  <c r="G94" i="21"/>
  <c r="F94" i="21"/>
  <c r="I93" i="21"/>
  <c r="H93" i="21"/>
  <c r="G93" i="21"/>
  <c r="F93" i="21"/>
  <c r="AG92" i="21"/>
  <c r="AE92" i="21"/>
  <c r="AD92" i="21"/>
  <c r="Q92" i="21"/>
  <c r="P92" i="21"/>
  <c r="O92" i="21"/>
  <c r="N92" i="21"/>
  <c r="M92" i="21"/>
  <c r="L92" i="21"/>
  <c r="K92" i="21"/>
  <c r="I92" i="21"/>
  <c r="H92" i="21"/>
  <c r="G92" i="21"/>
  <c r="F92" i="21"/>
  <c r="I89" i="21"/>
  <c r="H89" i="21"/>
  <c r="G89" i="21"/>
  <c r="F89" i="21"/>
  <c r="AB88" i="21"/>
  <c r="AA88" i="21"/>
  <c r="Z88" i="21"/>
  <c r="Y88" i="21"/>
  <c r="V88" i="21"/>
  <c r="U88" i="21"/>
  <c r="J88" i="21"/>
  <c r="I88" i="21"/>
  <c r="H88" i="21"/>
  <c r="G88" i="21"/>
  <c r="F88" i="21"/>
  <c r="I87" i="21"/>
  <c r="H87" i="21"/>
  <c r="G87" i="21"/>
  <c r="F87" i="21"/>
  <c r="I86" i="21"/>
  <c r="H86" i="21"/>
  <c r="G86" i="21"/>
  <c r="F86" i="21"/>
  <c r="I85" i="21"/>
  <c r="H85" i="21"/>
  <c r="G85" i="21"/>
  <c r="F85" i="21"/>
  <c r="I84" i="21"/>
  <c r="H84" i="21"/>
  <c r="G84" i="21"/>
  <c r="F84" i="21"/>
  <c r="I83" i="21"/>
  <c r="H83" i="21"/>
  <c r="G83" i="21"/>
  <c r="F83" i="21"/>
  <c r="AC80" i="21"/>
  <c r="AB80" i="21"/>
  <c r="AA80" i="21"/>
  <c r="Z80" i="21"/>
  <c r="Y80" i="21"/>
  <c r="V80" i="21"/>
  <c r="U80" i="21"/>
  <c r="AB79" i="21"/>
  <c r="AA79" i="21"/>
  <c r="Z79" i="21"/>
  <c r="Y79" i="21"/>
  <c r="V79" i="21"/>
  <c r="U79" i="21"/>
  <c r="AC78" i="21"/>
  <c r="AB78" i="21"/>
  <c r="AA78" i="21"/>
  <c r="Z78" i="21"/>
  <c r="Y78" i="21"/>
  <c r="V78" i="21"/>
  <c r="U78" i="21"/>
  <c r="AC77" i="21"/>
  <c r="AB77" i="21"/>
  <c r="AA77" i="21"/>
  <c r="Z77" i="21"/>
  <c r="Y77" i="21"/>
  <c r="V77" i="21"/>
  <c r="U77" i="21"/>
  <c r="O77" i="21"/>
  <c r="AC76" i="21"/>
  <c r="AB76" i="21"/>
  <c r="AA76" i="21"/>
  <c r="Z76" i="21"/>
  <c r="Y76" i="21"/>
  <c r="V76" i="21"/>
  <c r="U76" i="21"/>
  <c r="O76" i="21"/>
  <c r="AC75" i="21"/>
  <c r="AB75" i="21"/>
  <c r="AA75" i="21"/>
  <c r="Z75" i="21"/>
  <c r="Y75" i="21"/>
  <c r="V75" i="21"/>
  <c r="U75" i="21"/>
  <c r="O75" i="21"/>
  <c r="AC74" i="21"/>
  <c r="AC83" i="21" s="1"/>
  <c r="AB74" i="21"/>
  <c r="AB83" i="21" s="1"/>
  <c r="AA74" i="21"/>
  <c r="AA83" i="21" s="1"/>
  <c r="Z74" i="21"/>
  <c r="Z83" i="21"/>
  <c r="Y74" i="21"/>
  <c r="Y83" i="21" s="1"/>
  <c r="V74" i="21"/>
  <c r="V83" i="21" s="1"/>
  <c r="U74" i="21"/>
  <c r="U83" i="21" s="1"/>
  <c r="O74" i="21"/>
  <c r="O98" i="21"/>
  <c r="AG71" i="21"/>
  <c r="AF71" i="21"/>
  <c r="N71" i="21"/>
  <c r="AC70" i="21"/>
  <c r="AB70" i="21"/>
  <c r="AA70" i="21"/>
  <c r="Z70" i="21"/>
  <c r="Y70" i="21"/>
  <c r="V70" i="21"/>
  <c r="U70" i="21"/>
  <c r="T70" i="21"/>
  <c r="T71" i="21" s="1"/>
  <c r="S70" i="21"/>
  <c r="S71" i="21" s="1"/>
  <c r="R70" i="21"/>
  <c r="R71" i="21"/>
  <c r="Q70" i="21"/>
  <c r="Q71" i="21" s="1"/>
  <c r="Q80" i="21" s="1"/>
  <c r="P70" i="21"/>
  <c r="P71" i="21" s="1"/>
  <c r="O70" i="21"/>
  <c r="O71" i="21" s="1"/>
  <c r="O80" i="21" s="1"/>
  <c r="O89" i="21" s="1"/>
  <c r="M70" i="21"/>
  <c r="M80" i="21"/>
  <c r="L70" i="21"/>
  <c r="K70" i="21"/>
  <c r="J70" i="21"/>
  <c r="J89" i="21"/>
  <c r="AH69" i="21"/>
  <c r="AG69" i="21"/>
  <c r="AF69" i="21"/>
  <c r="AE69" i="21"/>
  <c r="AD69" i="21"/>
  <c r="B69" i="21"/>
  <c r="AH68" i="21"/>
  <c r="AG68" i="21"/>
  <c r="AF68" i="21"/>
  <c r="AE68" i="21"/>
  <c r="AD68" i="21"/>
  <c r="B68" i="21"/>
  <c r="AH67" i="21"/>
  <c r="AG67" i="21"/>
  <c r="AF67" i="21"/>
  <c r="AE67" i="21"/>
  <c r="AD67" i="21"/>
  <c r="AH66" i="21"/>
  <c r="AG66" i="21"/>
  <c r="AF66" i="21"/>
  <c r="AE66" i="21"/>
  <c r="AD66" i="21"/>
  <c r="B66" i="21"/>
  <c r="AF62" i="21"/>
  <c r="AC62" i="21"/>
  <c r="AC61" i="21"/>
  <c r="AB61" i="21"/>
  <c r="AA61" i="21"/>
  <c r="Z61" i="21"/>
  <c r="Y61" i="21"/>
  <c r="V61" i="21"/>
  <c r="U61" i="21"/>
  <c r="T61" i="21"/>
  <c r="T62" i="21" s="1"/>
  <c r="S61" i="21"/>
  <c r="S62" i="21"/>
  <c r="R61" i="21"/>
  <c r="R62" i="21"/>
  <c r="Q61" i="21"/>
  <c r="Q62" i="21"/>
  <c r="P61" i="21"/>
  <c r="P62" i="21" s="1"/>
  <c r="O61" i="21"/>
  <c r="O62" i="21" s="1"/>
  <c r="N61" i="21"/>
  <c r="N88" i="21" s="1"/>
  <c r="M61" i="21"/>
  <c r="M88" i="21" s="1"/>
  <c r="L61" i="21"/>
  <c r="L88" i="21"/>
  <c r="K61" i="21"/>
  <c r="AH60" i="21"/>
  <c r="AG60" i="21"/>
  <c r="AF60" i="21"/>
  <c r="AE60" i="21"/>
  <c r="AD60" i="21"/>
  <c r="B60" i="21"/>
  <c r="AH59" i="21"/>
  <c r="AG59" i="21"/>
  <c r="AF59" i="21"/>
  <c r="AE59" i="21"/>
  <c r="AD59" i="21"/>
  <c r="B59" i="21"/>
  <c r="AH58" i="21"/>
  <c r="AG58" i="21"/>
  <c r="AF58" i="21"/>
  <c r="AE58" i="21"/>
  <c r="AD58" i="21"/>
  <c r="B58" i="21"/>
  <c r="AH57" i="21"/>
  <c r="AH61" i="21"/>
  <c r="AG57" i="21"/>
  <c r="AF57" i="21"/>
  <c r="AE57" i="21"/>
  <c r="AD57" i="21"/>
  <c r="B57" i="21"/>
  <c r="AG53" i="21"/>
  <c r="AF53" i="21"/>
  <c r="AC52" i="21"/>
  <c r="AB52" i="21"/>
  <c r="AA52" i="21"/>
  <c r="Z52" i="21"/>
  <c r="Y52" i="21"/>
  <c r="V52" i="21"/>
  <c r="U52" i="21"/>
  <c r="T52" i="21"/>
  <c r="T53" i="21"/>
  <c r="S52" i="21"/>
  <c r="S53" i="21" s="1"/>
  <c r="R52" i="21"/>
  <c r="R53" i="21"/>
  <c r="Q52" i="21"/>
  <c r="Q53" i="21"/>
  <c r="P52" i="21"/>
  <c r="P53" i="21"/>
  <c r="O52" i="21"/>
  <c r="O53" i="21" s="1"/>
  <c r="N52" i="21"/>
  <c r="N53" i="21" s="1"/>
  <c r="N78" i="21" s="1"/>
  <c r="M52" i="21"/>
  <c r="K52" i="21"/>
  <c r="J52" i="21"/>
  <c r="F52" i="21"/>
  <c r="AH51" i="21"/>
  <c r="AG51" i="21"/>
  <c r="AF51" i="21"/>
  <c r="AE51" i="21"/>
  <c r="AD51" i="21"/>
  <c r="B51" i="21"/>
  <c r="AH50" i="21"/>
  <c r="AG50" i="21"/>
  <c r="AF50" i="21"/>
  <c r="AE50" i="21"/>
  <c r="AD50" i="21"/>
  <c r="B50" i="21"/>
  <c r="B67" i="21"/>
  <c r="AH49" i="21"/>
  <c r="AG49" i="21"/>
  <c r="AF49" i="21"/>
  <c r="AF52" i="21" s="1"/>
  <c r="AE49" i="21"/>
  <c r="AD49" i="21"/>
  <c r="B49" i="21"/>
  <c r="AH48" i="21"/>
  <c r="AG48" i="21"/>
  <c r="AF48" i="21"/>
  <c r="AE48" i="21"/>
  <c r="AD48" i="21"/>
  <c r="B48" i="21"/>
  <c r="AI44" i="21"/>
  <c r="AC44" i="21"/>
  <c r="AB44" i="21"/>
  <c r="AA44" i="21"/>
  <c r="Z44" i="21"/>
  <c r="Y44" i="21"/>
  <c r="V44" i="21"/>
  <c r="U44" i="21"/>
  <c r="AG42" i="21"/>
  <c r="AG77" i="21" s="1"/>
  <c r="AF42" i="21"/>
  <c r="AF44" i="21" s="1"/>
  <c r="AC41" i="21"/>
  <c r="AC43" i="21" s="1"/>
  <c r="AB41" i="21"/>
  <c r="AA41" i="21"/>
  <c r="AA43" i="21" s="1"/>
  <c r="Z41" i="21"/>
  <c r="Z43" i="21" s="1"/>
  <c r="Y41" i="21"/>
  <c r="Y43" i="21" s="1"/>
  <c r="V41" i="21"/>
  <c r="U41" i="21"/>
  <c r="U43" i="21"/>
  <c r="T41" i="21"/>
  <c r="T43" i="21" s="1"/>
  <c r="S41" i="21"/>
  <c r="S42" i="21"/>
  <c r="R41" i="21"/>
  <c r="R42" i="21"/>
  <c r="Q41" i="21"/>
  <c r="Q42" i="21"/>
  <c r="P41" i="21"/>
  <c r="P42" i="21" s="1"/>
  <c r="O41" i="21"/>
  <c r="O43" i="21"/>
  <c r="N41" i="21"/>
  <c r="N42" i="21" s="1"/>
  <c r="M41" i="21"/>
  <c r="L41" i="21"/>
  <c r="K41" i="21"/>
  <c r="J41" i="21"/>
  <c r="AH40" i="21"/>
  <c r="AG40" i="21"/>
  <c r="AF40" i="21"/>
  <c r="AE40" i="21"/>
  <c r="AD40" i="21"/>
  <c r="B40" i="21"/>
  <c r="AH39" i="21"/>
  <c r="AG39" i="21"/>
  <c r="AF39" i="21"/>
  <c r="AE39" i="21"/>
  <c r="AD39" i="21"/>
  <c r="AD41" i="21" s="1"/>
  <c r="AD43" i="21" s="1"/>
  <c r="B39" i="21"/>
  <c r="AH38" i="21"/>
  <c r="AG38" i="21"/>
  <c r="AF38" i="21"/>
  <c r="AF41" i="21" s="1"/>
  <c r="AE38" i="21"/>
  <c r="AD38" i="21"/>
  <c r="AH37" i="21"/>
  <c r="AG37" i="21"/>
  <c r="AF37" i="21"/>
  <c r="AE37" i="21"/>
  <c r="AD37" i="21"/>
  <c r="B37" i="21"/>
  <c r="AG33" i="21"/>
  <c r="AF33" i="21"/>
  <c r="AC32" i="21"/>
  <c r="AB32" i="21"/>
  <c r="AA32" i="21"/>
  <c r="Z32" i="21"/>
  <c r="Y32" i="21"/>
  <c r="V32" i="21"/>
  <c r="U32" i="21"/>
  <c r="T32" i="21"/>
  <c r="T33" i="21"/>
  <c r="S32" i="21"/>
  <c r="S33" i="21" s="1"/>
  <c r="R32" i="21"/>
  <c r="R33" i="21" s="1"/>
  <c r="R76" i="21" s="1"/>
  <c r="Q32" i="21"/>
  <c r="Q33" i="21" s="1"/>
  <c r="P32" i="21"/>
  <c r="P33" i="21"/>
  <c r="O32" i="21"/>
  <c r="N32" i="21"/>
  <c r="N33" i="21"/>
  <c r="M32" i="21"/>
  <c r="L32" i="21"/>
  <c r="K32" i="21"/>
  <c r="J32" i="21"/>
  <c r="F32" i="21"/>
  <c r="AH31" i="21"/>
  <c r="AG31" i="21"/>
  <c r="AF31" i="21"/>
  <c r="AE31" i="21"/>
  <c r="AD31" i="21"/>
  <c r="B31" i="21"/>
  <c r="AH30" i="21"/>
  <c r="AG30" i="21"/>
  <c r="AF30" i="21"/>
  <c r="AF32" i="21" s="1"/>
  <c r="AE30" i="21"/>
  <c r="AD30" i="21"/>
  <c r="B30" i="21"/>
  <c r="AH29" i="21"/>
  <c r="AH32" i="21" s="1"/>
  <c r="AG29" i="21"/>
  <c r="AG32" i="21" s="1"/>
  <c r="AF29" i="21"/>
  <c r="AE29" i="21"/>
  <c r="AD29" i="21"/>
  <c r="AH28" i="21"/>
  <c r="AG28" i="21"/>
  <c r="AF28" i="21"/>
  <c r="AE28" i="21"/>
  <c r="AE32" i="21" s="1"/>
  <c r="AD28" i="21"/>
  <c r="B28" i="21"/>
  <c r="B38" i="21"/>
  <c r="AG24" i="21"/>
  <c r="AF24" i="21"/>
  <c r="AC23" i="21"/>
  <c r="AB23" i="21"/>
  <c r="AA23" i="21"/>
  <c r="Z23" i="21"/>
  <c r="Y23" i="21"/>
  <c r="V23" i="21"/>
  <c r="U23" i="21"/>
  <c r="T23" i="21"/>
  <c r="T24" i="21"/>
  <c r="S23" i="21"/>
  <c r="S24" i="21"/>
  <c r="AE24" i="21" s="1"/>
  <c r="R23" i="21"/>
  <c r="R24" i="21" s="1"/>
  <c r="Q23" i="21"/>
  <c r="Q24" i="21"/>
  <c r="P23" i="21"/>
  <c r="P24" i="21"/>
  <c r="O23" i="21"/>
  <c r="N23" i="21"/>
  <c r="N24" i="21" s="1"/>
  <c r="N75" i="21" s="1"/>
  <c r="M23" i="21"/>
  <c r="AH22" i="21"/>
  <c r="AG22" i="21"/>
  <c r="AF22" i="21"/>
  <c r="AE22" i="21"/>
  <c r="AD22" i="21"/>
  <c r="AH21" i="21"/>
  <c r="AG21" i="21"/>
  <c r="AG23" i="21" s="1"/>
  <c r="AF21" i="21"/>
  <c r="AE21" i="21"/>
  <c r="AD21" i="21"/>
  <c r="B21" i="21"/>
  <c r="AH20" i="21"/>
  <c r="AG20" i="21"/>
  <c r="AF20" i="21"/>
  <c r="AE20" i="21"/>
  <c r="AD20" i="21"/>
  <c r="B20" i="21"/>
  <c r="AH19" i="21"/>
  <c r="AH23" i="21" s="1"/>
  <c r="AG19" i="21"/>
  <c r="AF19" i="21"/>
  <c r="AE19" i="21"/>
  <c r="AD19" i="21"/>
  <c r="B19" i="21"/>
  <c r="C17" i="21"/>
  <c r="C26" i="21"/>
  <c r="C35" i="21" s="1"/>
  <c r="C46" i="21" s="1"/>
  <c r="C55" i="21" s="1"/>
  <c r="C64" i="21" s="1"/>
  <c r="AG15" i="21"/>
  <c r="AG76" i="21" s="1"/>
  <c r="AF15" i="21"/>
  <c r="AC14" i="21"/>
  <c r="AB14" i="21"/>
  <c r="AA14" i="21"/>
  <c r="Z14" i="21"/>
  <c r="Y14" i="21"/>
  <c r="V14" i="21"/>
  <c r="U14" i="21"/>
  <c r="T14" i="21"/>
  <c r="T15" i="21" s="1"/>
  <c r="S14" i="21"/>
  <c r="S15" i="21" s="1"/>
  <c r="R14" i="21"/>
  <c r="R15" i="21"/>
  <c r="Q14" i="21"/>
  <c r="Q15" i="21"/>
  <c r="Q77" i="21" s="1"/>
  <c r="P14" i="21"/>
  <c r="P15" i="21" s="1"/>
  <c r="O14" i="21"/>
  <c r="N14" i="21"/>
  <c r="M14" i="21"/>
  <c r="M74" i="21"/>
  <c r="L14" i="21"/>
  <c r="L75" i="21"/>
  <c r="L93" i="21" s="1"/>
  <c r="L100" i="21" s="1"/>
  <c r="K14" i="21"/>
  <c r="K75" i="21" s="1"/>
  <c r="J14" i="21"/>
  <c r="J77" i="21" s="1"/>
  <c r="J86" i="21" s="1"/>
  <c r="AH13" i="21"/>
  <c r="AG13" i="21"/>
  <c r="AF13" i="21"/>
  <c r="AE13" i="21"/>
  <c r="AD13" i="21"/>
  <c r="B13" i="21"/>
  <c r="B22" i="21" s="1"/>
  <c r="B29" i="21" s="1"/>
  <c r="AH12" i="21"/>
  <c r="AG12" i="21"/>
  <c r="AF12" i="21"/>
  <c r="AE12" i="21"/>
  <c r="AD12" i="21"/>
  <c r="B12" i="21"/>
  <c r="AH11" i="21"/>
  <c r="AG11" i="21"/>
  <c r="AF11" i="21"/>
  <c r="AF14" i="21" s="1"/>
  <c r="AE11" i="21"/>
  <c r="AD11" i="21"/>
  <c r="B11" i="21"/>
  <c r="AH10" i="21"/>
  <c r="AH14" i="21" s="1"/>
  <c r="AG10" i="21"/>
  <c r="AG14" i="21" s="1"/>
  <c r="AF10" i="21"/>
  <c r="AE10" i="21"/>
  <c r="AD10" i="21"/>
  <c r="AD14" i="21" s="1"/>
  <c r="B10" i="21"/>
  <c r="AD61" i="21"/>
  <c r="AD88" i="21" s="1"/>
  <c r="AG61" i="21"/>
  <c r="AD52" i="21"/>
  <c r="I100" i="21"/>
  <c r="F100" i="21"/>
  <c r="H100" i="21"/>
  <c r="V86" i="21"/>
  <c r="AG41" i="21"/>
  <c r="AA89" i="21"/>
  <c r="AB86" i="21"/>
  <c r="Y87" i="21"/>
  <c r="AC87" i="21"/>
  <c r="U87" i="21"/>
  <c r="AA87" i="21"/>
  <c r="AF76" i="21"/>
  <c r="U85" i="21"/>
  <c r="AA85" i="21"/>
  <c r="U89" i="21"/>
  <c r="V43" i="21"/>
  <c r="AB43" i="21"/>
  <c r="N62" i="21"/>
  <c r="N79" i="21" s="1"/>
  <c r="N97" i="21" s="1"/>
  <c r="AD70" i="21"/>
  <c r="AH70" i="21"/>
  <c r="U84" i="21"/>
  <c r="AA84" i="21"/>
  <c r="U86" i="21"/>
  <c r="AA86" i="21"/>
  <c r="V87" i="21"/>
  <c r="AB87" i="21"/>
  <c r="AE52" i="21"/>
  <c r="AE61" i="21"/>
  <c r="AE88" i="21"/>
  <c r="AF80" i="21"/>
  <c r="V84" i="21"/>
  <c r="AB84" i="21"/>
  <c r="V85" i="21"/>
  <c r="AB85" i="21"/>
  <c r="V89" i="21"/>
  <c r="AB89" i="21"/>
  <c r="G100" i="21"/>
  <c r="AE14" i="21"/>
  <c r="AD32" i="21"/>
  <c r="AH41" i="21"/>
  <c r="AH52" i="21"/>
  <c r="M43" i="21"/>
  <c r="AF70" i="21"/>
  <c r="Y84" i="21"/>
  <c r="AC84" i="21"/>
  <c r="Y85" i="21"/>
  <c r="AC85" i="21"/>
  <c r="Y86" i="21"/>
  <c r="AC86" i="21"/>
  <c r="Z87" i="21"/>
  <c r="Y89" i="21"/>
  <c r="AC89" i="21"/>
  <c r="M100" i="22"/>
  <c r="AE70" i="21"/>
  <c r="AG70" i="21"/>
  <c r="AF61" i="21"/>
  <c r="AG52" i="21"/>
  <c r="AG43" i="21" s="1"/>
  <c r="T42" i="21"/>
  <c r="AE41" i="21"/>
  <c r="AE43" i="21" s="1"/>
  <c r="Q43" i="21"/>
  <c r="S43" i="21"/>
  <c r="AF23" i="21"/>
  <c r="AE23" i="21"/>
  <c r="AD23" i="21"/>
  <c r="N15" i="21"/>
  <c r="N80" i="21" s="1"/>
  <c r="N89" i="21" s="1"/>
  <c r="J76" i="21"/>
  <c r="J85" i="21" s="1"/>
  <c r="K76" i="21"/>
  <c r="K77" i="21"/>
  <c r="R80" i="21"/>
  <c r="K72" i="21"/>
  <c r="N76" i="21"/>
  <c r="N85" i="21" s="1"/>
  <c r="R78" i="21"/>
  <c r="M98" i="21"/>
  <c r="M83" i="21"/>
  <c r="R77" i="21"/>
  <c r="R86" i="21" s="1"/>
  <c r="R44" i="21"/>
  <c r="AD53" i="21"/>
  <c r="Q88" i="21"/>
  <c r="Q79" i="21"/>
  <c r="Q44" i="21"/>
  <c r="S88" i="21"/>
  <c r="AF78" i="21"/>
  <c r="AF87" i="21" s="1"/>
  <c r="R88" i="21"/>
  <c r="R79" i="21"/>
  <c r="J79" i="21"/>
  <c r="J75" i="21"/>
  <c r="J84" i="21" s="1"/>
  <c r="AG74" i="21"/>
  <c r="AG75" i="21"/>
  <c r="L24" i="21"/>
  <c r="L76" i="21"/>
  <c r="N43" i="21"/>
  <c r="R43" i="21"/>
  <c r="AG44" i="21"/>
  <c r="M78" i="21"/>
  <c r="M96" i="21" s="1"/>
  <c r="M100" i="21" s="1"/>
  <c r="K53" i="21"/>
  <c r="L79" i="21"/>
  <c r="L72" i="21"/>
  <c r="L74" i="21"/>
  <c r="L95" i="21" s="1"/>
  <c r="O84" i="21"/>
  <c r="O85" i="21"/>
  <c r="Z86" i="21"/>
  <c r="Z89" i="21"/>
  <c r="O94" i="21"/>
  <c r="M75" i="21"/>
  <c r="O95" i="21"/>
  <c r="O86" i="21"/>
  <c r="M76" i="21"/>
  <c r="M85" i="21" s="1"/>
  <c r="L77" i="21"/>
  <c r="L86" i="21" s="1"/>
  <c r="K43" i="21"/>
  <c r="L53" i="21"/>
  <c r="Q78" i="21"/>
  <c r="K62" i="21"/>
  <c r="AF79" i="21"/>
  <c r="AG80" i="21"/>
  <c r="M72" i="21"/>
  <c r="Z85" i="21"/>
  <c r="L78" i="21"/>
  <c r="M79" i="21"/>
  <c r="M97" i="21"/>
  <c r="AF74" i="21"/>
  <c r="AF83" i="21" s="1"/>
  <c r="AF75" i="21"/>
  <c r="AF84" i="21" s="1"/>
  <c r="K88" i="21"/>
  <c r="L89" i="21"/>
  <c r="L80" i="21"/>
  <c r="R74" i="21"/>
  <c r="R89" i="21" s="1"/>
  <c r="L33" i="21"/>
  <c r="M77" i="21"/>
  <c r="AF77" i="21"/>
  <c r="L43" i="21"/>
  <c r="J78" i="21"/>
  <c r="J87" i="21" s="1"/>
  <c r="L62" i="21"/>
  <c r="AC88" i="21"/>
  <c r="AC79" i="21"/>
  <c r="AG62" i="21"/>
  <c r="AG79" i="21"/>
  <c r="AG88" i="21" s="1"/>
  <c r="K89" i="21"/>
  <c r="K80" i="21"/>
  <c r="J74" i="21"/>
  <c r="J83" i="21" s="1"/>
  <c r="N74" i="21"/>
  <c r="J80" i="21"/>
  <c r="O83" i="21"/>
  <c r="Z84" i="21"/>
  <c r="M89" i="21"/>
  <c r="O93" i="21"/>
  <c r="AG89" i="21"/>
  <c r="AH43" i="21"/>
  <c r="AF88" i="21"/>
  <c r="AE42" i="21"/>
  <c r="T44" i="21"/>
  <c r="T77" i="21"/>
  <c r="N94" i="21"/>
  <c r="AG97" i="21"/>
  <c r="M86" i="21"/>
  <c r="M95" i="21"/>
  <c r="M84" i="21"/>
  <c r="M93" i="21"/>
  <c r="L98" i="21"/>
  <c r="AG98" i="21"/>
  <c r="AG83" i="21"/>
  <c r="R85" i="21"/>
  <c r="AF89" i="21"/>
  <c r="M87" i="21"/>
  <c r="L94" i="21"/>
  <c r="AF85" i="21"/>
  <c r="AG93" i="21"/>
  <c r="AG84" i="21"/>
  <c r="R87" i="21"/>
  <c r="N98" i="21"/>
  <c r="N83" i="21"/>
  <c r="L96" i="21"/>
  <c r="AF86" i="21"/>
  <c r="M94" i="21"/>
  <c r="L97" i="21"/>
  <c r="I98" i="18"/>
  <c r="H98" i="18"/>
  <c r="G98" i="18"/>
  <c r="F98" i="18"/>
  <c r="I97" i="18"/>
  <c r="H97" i="18"/>
  <c r="G97" i="18"/>
  <c r="F97" i="18"/>
  <c r="I96" i="18"/>
  <c r="H96" i="18"/>
  <c r="G96" i="18"/>
  <c r="F96" i="18"/>
  <c r="I95" i="18"/>
  <c r="H95" i="18"/>
  <c r="G95" i="18"/>
  <c r="F95" i="18"/>
  <c r="I94" i="18"/>
  <c r="H94" i="18"/>
  <c r="G94" i="18"/>
  <c r="F94" i="18"/>
  <c r="I93" i="18"/>
  <c r="H93" i="18"/>
  <c r="G93" i="18"/>
  <c r="F93" i="18"/>
  <c r="AG92" i="18"/>
  <c r="AE92" i="18"/>
  <c r="AD92" i="18"/>
  <c r="Q92" i="18"/>
  <c r="P92" i="18"/>
  <c r="O92" i="18"/>
  <c r="N92" i="18"/>
  <c r="M92" i="18"/>
  <c r="L92" i="18"/>
  <c r="K92" i="18"/>
  <c r="I92" i="18"/>
  <c r="H92" i="18"/>
  <c r="G92" i="18"/>
  <c r="F92" i="18"/>
  <c r="F100" i="18" s="1"/>
  <c r="I89" i="18"/>
  <c r="H89" i="18"/>
  <c r="G89" i="18"/>
  <c r="F89" i="18"/>
  <c r="AC88" i="18"/>
  <c r="AB88" i="18"/>
  <c r="AA88" i="18"/>
  <c r="Z88" i="18"/>
  <c r="Y88" i="18"/>
  <c r="X88" i="18"/>
  <c r="U88" i="18"/>
  <c r="J88" i="18"/>
  <c r="I88" i="18"/>
  <c r="H88" i="18"/>
  <c r="G88" i="18"/>
  <c r="F88" i="18"/>
  <c r="I87" i="18"/>
  <c r="H87" i="18"/>
  <c r="G87" i="18"/>
  <c r="F87" i="18"/>
  <c r="I86" i="18"/>
  <c r="H86" i="18"/>
  <c r="G86" i="18"/>
  <c r="F86" i="18"/>
  <c r="I85" i="18"/>
  <c r="H85" i="18"/>
  <c r="G85" i="18"/>
  <c r="F85" i="18"/>
  <c r="I84" i="18"/>
  <c r="H84" i="18"/>
  <c r="G84" i="18"/>
  <c r="F84" i="18"/>
  <c r="I83" i="18"/>
  <c r="H83" i="18"/>
  <c r="G83" i="18"/>
  <c r="F83" i="18"/>
  <c r="AC80" i="18"/>
  <c r="AB80" i="18"/>
  <c r="AA80" i="18"/>
  <c r="Z80" i="18"/>
  <c r="Y80" i="18"/>
  <c r="X80" i="18"/>
  <c r="U80" i="18"/>
  <c r="AC79" i="18"/>
  <c r="AB79" i="18"/>
  <c r="AA79" i="18"/>
  <c r="Z79" i="18"/>
  <c r="Y79" i="18"/>
  <c r="X79" i="18"/>
  <c r="U79" i="18"/>
  <c r="AC78" i="18"/>
  <c r="AB78" i="18"/>
  <c r="AA78" i="18"/>
  <c r="Z78" i="18"/>
  <c r="Y78" i="18"/>
  <c r="X78" i="18"/>
  <c r="U78" i="18"/>
  <c r="AC77" i="18"/>
  <c r="AB77" i="18"/>
  <c r="AA77" i="18"/>
  <c r="Z77" i="18"/>
  <c r="Y77" i="18"/>
  <c r="X77" i="18"/>
  <c r="U77" i="18"/>
  <c r="O77" i="18"/>
  <c r="AC76" i="18"/>
  <c r="AB76" i="18"/>
  <c r="AA76" i="18"/>
  <c r="Z76" i="18"/>
  <c r="Y76" i="18"/>
  <c r="X76" i="18"/>
  <c r="U76" i="18"/>
  <c r="O76" i="18"/>
  <c r="AC75" i="18"/>
  <c r="AB75" i="18"/>
  <c r="AA75" i="18"/>
  <c r="Z75" i="18"/>
  <c r="Y75" i="18"/>
  <c r="X75" i="18"/>
  <c r="U75" i="18"/>
  <c r="O75" i="18"/>
  <c r="AC74" i="18"/>
  <c r="AC83" i="18"/>
  <c r="AB74" i="18"/>
  <c r="AB83" i="18" s="1"/>
  <c r="AA74" i="18"/>
  <c r="AA83" i="18"/>
  <c r="Z74" i="18"/>
  <c r="Z83" i="18"/>
  <c r="Y74" i="18"/>
  <c r="Y83" i="18"/>
  <c r="X74" i="18"/>
  <c r="X83" i="18" s="1"/>
  <c r="U74" i="18"/>
  <c r="U83" i="18"/>
  <c r="O74" i="18"/>
  <c r="AG71" i="18"/>
  <c r="AF71" i="18"/>
  <c r="N71" i="18"/>
  <c r="AC70" i="18"/>
  <c r="AB70" i="18"/>
  <c r="AA70" i="18"/>
  <c r="Z70" i="18"/>
  <c r="Y70" i="18"/>
  <c r="X70" i="18"/>
  <c r="U70" i="18"/>
  <c r="T70" i="18"/>
  <c r="T71" i="18"/>
  <c r="S70" i="18"/>
  <c r="S71" i="18" s="1"/>
  <c r="R70" i="18"/>
  <c r="R71" i="18" s="1"/>
  <c r="Q70" i="18"/>
  <c r="Q71" i="18" s="1"/>
  <c r="AH71" i="18" s="1"/>
  <c r="P70" i="18"/>
  <c r="P71" i="18"/>
  <c r="O70" i="18"/>
  <c r="O71" i="18" s="1"/>
  <c r="O80" i="18"/>
  <c r="O89" i="18" s="1"/>
  <c r="M70" i="18"/>
  <c r="L70" i="18"/>
  <c r="K70" i="18"/>
  <c r="K89" i="18"/>
  <c r="J70" i="18"/>
  <c r="J80" i="18" s="1"/>
  <c r="AH69" i="18"/>
  <c r="AG69" i="18"/>
  <c r="AF69" i="18"/>
  <c r="AE69" i="18"/>
  <c r="AD69" i="18"/>
  <c r="B69" i="18"/>
  <c r="AH68" i="18"/>
  <c r="AG68" i="18"/>
  <c r="AF68" i="18"/>
  <c r="AE68" i="18"/>
  <c r="AD68" i="18"/>
  <c r="B68" i="18"/>
  <c r="AH67" i="18"/>
  <c r="AG67" i="18"/>
  <c r="AF67" i="18"/>
  <c r="AE67" i="18"/>
  <c r="AD67" i="18"/>
  <c r="AH66" i="18"/>
  <c r="AG66" i="18"/>
  <c r="AF66" i="18"/>
  <c r="AE66" i="18"/>
  <c r="AD66" i="18"/>
  <c r="B66" i="18"/>
  <c r="AG62" i="18"/>
  <c r="AF62" i="18"/>
  <c r="AC61" i="18"/>
  <c r="AB61" i="18"/>
  <c r="AA61" i="18"/>
  <c r="Z61" i="18"/>
  <c r="Y61" i="18"/>
  <c r="X61" i="18"/>
  <c r="U61" i="18"/>
  <c r="T61" i="18"/>
  <c r="T62" i="18" s="1"/>
  <c r="T88" i="18" s="1"/>
  <c r="S61" i="18"/>
  <c r="S62" i="18" s="1"/>
  <c r="R61" i="18"/>
  <c r="R62" i="18" s="1"/>
  <c r="Q61" i="18"/>
  <c r="Q62" i="18"/>
  <c r="Q88" i="18" s="1"/>
  <c r="AH88" i="18" s="1"/>
  <c r="P61" i="18"/>
  <c r="P62" i="18"/>
  <c r="O61" i="18"/>
  <c r="O62" i="18" s="1"/>
  <c r="N61" i="18"/>
  <c r="N88" i="18" s="1"/>
  <c r="M61" i="18"/>
  <c r="L61" i="18"/>
  <c r="K61" i="18"/>
  <c r="AH60" i="18"/>
  <c r="AG60" i="18"/>
  <c r="AF60" i="18"/>
  <c r="AE60" i="18"/>
  <c r="AD60" i="18"/>
  <c r="B60" i="18"/>
  <c r="AH59" i="18"/>
  <c r="AG59" i="18"/>
  <c r="AF59" i="18"/>
  <c r="AE59" i="18"/>
  <c r="AD59" i="18"/>
  <c r="B59" i="18"/>
  <c r="AH58" i="18"/>
  <c r="AG58" i="18"/>
  <c r="AF58" i="18"/>
  <c r="AE58" i="18"/>
  <c r="AD58" i="18"/>
  <c r="B58" i="18"/>
  <c r="AH57" i="18"/>
  <c r="AG57" i="18"/>
  <c r="AF57" i="18"/>
  <c r="AE57" i="18"/>
  <c r="AD57" i="18"/>
  <c r="B57" i="18"/>
  <c r="AG53" i="18"/>
  <c r="AF53" i="18"/>
  <c r="AC52" i="18"/>
  <c r="AB52" i="18"/>
  <c r="AA52" i="18"/>
  <c r="Z52" i="18"/>
  <c r="Y52" i="18"/>
  <c r="X52" i="18"/>
  <c r="U52" i="18"/>
  <c r="T52" i="18"/>
  <c r="T53" i="18" s="1"/>
  <c r="S52" i="18"/>
  <c r="S53" i="18" s="1"/>
  <c r="S78" i="18" s="1"/>
  <c r="R52" i="18"/>
  <c r="R53" i="18"/>
  <c r="Q52" i="18"/>
  <c r="Q53" i="18"/>
  <c r="P52" i="18"/>
  <c r="P53" i="18" s="1"/>
  <c r="O52" i="18"/>
  <c r="O53" i="18" s="1"/>
  <c r="N52" i="18"/>
  <c r="N53" i="18"/>
  <c r="N78" i="18" s="1"/>
  <c r="M52" i="18"/>
  <c r="K52" i="18"/>
  <c r="J52" i="18"/>
  <c r="F52" i="18"/>
  <c r="AH51" i="18"/>
  <c r="AG51" i="18"/>
  <c r="AF51" i="18"/>
  <c r="AE51" i="18"/>
  <c r="AD51" i="18"/>
  <c r="B51" i="18"/>
  <c r="AH50" i="18"/>
  <c r="AG50" i="18"/>
  <c r="AF50" i="18"/>
  <c r="AE50" i="18"/>
  <c r="AD50" i="18"/>
  <c r="B50" i="18"/>
  <c r="B67" i="18" s="1"/>
  <c r="AH49" i="18"/>
  <c r="AG49" i="18"/>
  <c r="AF49" i="18"/>
  <c r="AE49" i="18"/>
  <c r="AD49" i="18"/>
  <c r="B49" i="18"/>
  <c r="AH48" i="18"/>
  <c r="AG48" i="18"/>
  <c r="AF48" i="18"/>
  <c r="AE48" i="18"/>
  <c r="AD48" i="18"/>
  <c r="B48" i="18"/>
  <c r="AI44" i="18"/>
  <c r="AC44" i="18"/>
  <c r="AB44" i="18"/>
  <c r="AA44" i="18"/>
  <c r="Z44" i="18"/>
  <c r="Y44" i="18"/>
  <c r="X44" i="18"/>
  <c r="U44" i="18"/>
  <c r="AG42" i="18"/>
  <c r="AF42" i="18"/>
  <c r="AC41" i="18"/>
  <c r="AC43" i="18" s="1"/>
  <c r="AB41" i="18"/>
  <c r="AB43" i="18" s="1"/>
  <c r="AA41" i="18"/>
  <c r="Z41" i="18"/>
  <c r="Y41" i="18"/>
  <c r="X41" i="18"/>
  <c r="X43" i="18" s="1"/>
  <c r="U41" i="18"/>
  <c r="T41" i="18"/>
  <c r="T42" i="18" s="1"/>
  <c r="T77" i="18" s="1"/>
  <c r="S41" i="18"/>
  <c r="S43" i="18"/>
  <c r="R41" i="18"/>
  <c r="R42" i="18" s="1"/>
  <c r="Q41" i="18"/>
  <c r="Q43" i="18" s="1"/>
  <c r="P41" i="18"/>
  <c r="P42" i="18" s="1"/>
  <c r="O41" i="18"/>
  <c r="O43" i="18"/>
  <c r="N41" i="18"/>
  <c r="N42" i="18" s="1"/>
  <c r="N77" i="18" s="1"/>
  <c r="M41" i="18"/>
  <c r="L41" i="18"/>
  <c r="K41" i="18"/>
  <c r="J41" i="18"/>
  <c r="AH40" i="18"/>
  <c r="AG40" i="18"/>
  <c r="AF40" i="18"/>
  <c r="AE40" i="18"/>
  <c r="AD40" i="18"/>
  <c r="B40" i="18"/>
  <c r="AH39" i="18"/>
  <c r="AG39" i="18"/>
  <c r="AF39" i="18"/>
  <c r="AE39" i="18"/>
  <c r="AD39" i="18"/>
  <c r="B39" i="18"/>
  <c r="AH38" i="18"/>
  <c r="AG38" i="18"/>
  <c r="AF38" i="18"/>
  <c r="AE38" i="18"/>
  <c r="AD38" i="18"/>
  <c r="AH37" i="18"/>
  <c r="AG37" i="18"/>
  <c r="AF37" i="18"/>
  <c r="AE37" i="18"/>
  <c r="AD37" i="18"/>
  <c r="B37" i="18"/>
  <c r="AG33" i="18"/>
  <c r="AF33" i="18"/>
  <c r="AC32" i="18"/>
  <c r="AB32" i="18"/>
  <c r="AA32" i="18"/>
  <c r="Z32" i="18"/>
  <c r="Y32" i="18"/>
  <c r="X32" i="18"/>
  <c r="U32" i="18"/>
  <c r="T32" i="18"/>
  <c r="T33" i="18"/>
  <c r="S32" i="18"/>
  <c r="S33" i="18" s="1"/>
  <c r="R32" i="18"/>
  <c r="R33" i="18" s="1"/>
  <c r="AH33" i="18" s="1"/>
  <c r="Q32" i="18"/>
  <c r="Q33" i="18" s="1"/>
  <c r="P32" i="18"/>
  <c r="P33" i="18"/>
  <c r="O32" i="18"/>
  <c r="N32" i="18"/>
  <c r="N33" i="18"/>
  <c r="M32" i="18"/>
  <c r="L32" i="18"/>
  <c r="L33" i="18" s="1"/>
  <c r="K32" i="18"/>
  <c r="J32" i="18"/>
  <c r="F32" i="18"/>
  <c r="AH31" i="18"/>
  <c r="AG31" i="18"/>
  <c r="AF31" i="18"/>
  <c r="AF32" i="18" s="1"/>
  <c r="AE31" i="18"/>
  <c r="AD31" i="18"/>
  <c r="B31" i="18"/>
  <c r="AH30" i="18"/>
  <c r="AG30" i="18"/>
  <c r="AF30" i="18"/>
  <c r="AE30" i="18"/>
  <c r="AD30" i="18"/>
  <c r="B30" i="18"/>
  <c r="AH29" i="18"/>
  <c r="AH32" i="18" s="1"/>
  <c r="AG29" i="18"/>
  <c r="AF29" i="18"/>
  <c r="AE29" i="18"/>
  <c r="AD29" i="18"/>
  <c r="AH28" i="18"/>
  <c r="AG28" i="18"/>
  <c r="AF28" i="18"/>
  <c r="AE28" i="18"/>
  <c r="AD28" i="18"/>
  <c r="B28" i="18"/>
  <c r="B38" i="18"/>
  <c r="AG24" i="18"/>
  <c r="AF24" i="18"/>
  <c r="AC23" i="18"/>
  <c r="AB23" i="18"/>
  <c r="AA23" i="18"/>
  <c r="Z23" i="18"/>
  <c r="Y23" i="18"/>
  <c r="X23" i="18"/>
  <c r="U23" i="18"/>
  <c r="T23" i="18"/>
  <c r="T24" i="18"/>
  <c r="T75" i="18" s="1"/>
  <c r="S23" i="18"/>
  <c r="S24" i="18"/>
  <c r="AE24" i="18" s="1"/>
  <c r="R23" i="18"/>
  <c r="R24" i="18" s="1"/>
  <c r="Q23" i="18"/>
  <c r="Q24" i="18" s="1"/>
  <c r="Q75" i="18" s="1"/>
  <c r="P23" i="18"/>
  <c r="P24" i="18"/>
  <c r="O23" i="18"/>
  <c r="N23" i="18"/>
  <c r="N24" i="18" s="1"/>
  <c r="N75" i="18" s="1"/>
  <c r="M23" i="18"/>
  <c r="AH22" i="18"/>
  <c r="AH23" i="18" s="1"/>
  <c r="AG22" i="18"/>
  <c r="AF22" i="18"/>
  <c r="AE22" i="18"/>
  <c r="AD22" i="18"/>
  <c r="AH21" i="18"/>
  <c r="AG21" i="18"/>
  <c r="AF21" i="18"/>
  <c r="AE21" i="18"/>
  <c r="AE23" i="18" s="1"/>
  <c r="AD21" i="18"/>
  <c r="B21" i="18"/>
  <c r="AH20" i="18"/>
  <c r="AG20" i="18"/>
  <c r="AF20" i="18"/>
  <c r="AE20" i="18"/>
  <c r="AD20" i="18"/>
  <c r="B20" i="18"/>
  <c r="AH19" i="18"/>
  <c r="AG19" i="18"/>
  <c r="AF19" i="18"/>
  <c r="AE19" i="18"/>
  <c r="AD19" i="18"/>
  <c r="B19" i="18"/>
  <c r="C17" i="18"/>
  <c r="C26" i="18"/>
  <c r="C35" i="18" s="1"/>
  <c r="C46" i="18" s="1"/>
  <c r="C55" i="18" s="1"/>
  <c r="C64" i="18" s="1"/>
  <c r="AG15" i="18"/>
  <c r="AG74" i="18" s="1"/>
  <c r="AF15" i="18"/>
  <c r="AF74" i="18"/>
  <c r="AF83" i="18"/>
  <c r="AC14" i="18"/>
  <c r="AB14" i="18"/>
  <c r="AA14" i="18"/>
  <c r="Z14" i="18"/>
  <c r="Y14" i="18"/>
  <c r="X14" i="18"/>
  <c r="U14" i="18"/>
  <c r="T14" i="18"/>
  <c r="T15" i="18" s="1"/>
  <c r="T79" i="18" s="1"/>
  <c r="S14" i="18"/>
  <c r="S15" i="18"/>
  <c r="S80" i="18" s="1"/>
  <c r="R14" i="18"/>
  <c r="R15" i="18"/>
  <c r="Q14" i="18"/>
  <c r="Q15" i="18" s="1"/>
  <c r="Q74" i="18" s="1"/>
  <c r="P14" i="18"/>
  <c r="P15" i="18" s="1"/>
  <c r="O14" i="18"/>
  <c r="N14" i="18"/>
  <c r="N74" i="18"/>
  <c r="M14" i="18"/>
  <c r="M75" i="18" s="1"/>
  <c r="M84" i="18" s="1"/>
  <c r="L14" i="18"/>
  <c r="K14" i="18"/>
  <c r="J14" i="18"/>
  <c r="J74" i="18" s="1"/>
  <c r="J83" i="18" s="1"/>
  <c r="AH13" i="18"/>
  <c r="AG13" i="18"/>
  <c r="AF13" i="18"/>
  <c r="AE13" i="18"/>
  <c r="AD13" i="18"/>
  <c r="B13" i="18"/>
  <c r="B22" i="18" s="1"/>
  <c r="B29" i="18" s="1"/>
  <c r="AH12" i="18"/>
  <c r="AH14" i="18" s="1"/>
  <c r="AG12" i="18"/>
  <c r="AF12" i="18"/>
  <c r="AE12" i="18"/>
  <c r="AD12" i="18"/>
  <c r="B12" i="18"/>
  <c r="AH11" i="18"/>
  <c r="AG11" i="18"/>
  <c r="AF11" i="18"/>
  <c r="AF14" i="18" s="1"/>
  <c r="AE11" i="18"/>
  <c r="AD11" i="18"/>
  <c r="B11" i="18"/>
  <c r="AH10" i="18"/>
  <c r="AG10" i="18"/>
  <c r="AF10" i="18"/>
  <c r="AE10" i="18"/>
  <c r="AD10" i="18"/>
  <c r="AD14" i="18" s="1"/>
  <c r="B10" i="18"/>
  <c r="G100" i="18"/>
  <c r="AG44" i="18"/>
  <c r="AB84" i="18"/>
  <c r="I100" i="18"/>
  <c r="Y86" i="18"/>
  <c r="H100" i="18"/>
  <c r="Z84" i="18"/>
  <c r="AD52" i="18"/>
  <c r="AG41" i="18"/>
  <c r="AF70" i="18"/>
  <c r="AD70" i="18"/>
  <c r="AG14" i="18"/>
  <c r="L77" i="18"/>
  <c r="T76" i="18"/>
  <c r="AB89" i="18"/>
  <c r="AB85" i="18"/>
  <c r="Z87" i="18"/>
  <c r="X84" i="18"/>
  <c r="X89" i="18"/>
  <c r="X85" i="18"/>
  <c r="AF61" i="18"/>
  <c r="AG61" i="18"/>
  <c r="AF52" i="18"/>
  <c r="AE61" i="18"/>
  <c r="AE88" i="18"/>
  <c r="AH70" i="18"/>
  <c r="Y84" i="18"/>
  <c r="AC84" i="18"/>
  <c r="X86" i="18"/>
  <c r="AB86" i="18"/>
  <c r="X87" i="18"/>
  <c r="AB87" i="18"/>
  <c r="AC86" i="18"/>
  <c r="Y85" i="18"/>
  <c r="AC85" i="18"/>
  <c r="Y87" i="18"/>
  <c r="AC87" i="18"/>
  <c r="Y89" i="18"/>
  <c r="AC89" i="18"/>
  <c r="AF79" i="18"/>
  <c r="AF88" i="18"/>
  <c r="Z85" i="18"/>
  <c r="Z86" i="18"/>
  <c r="Z89" i="18"/>
  <c r="AG70" i="18"/>
  <c r="AE70" i="18"/>
  <c r="AD61" i="18"/>
  <c r="AD88" i="18" s="1"/>
  <c r="AH61" i="18"/>
  <c r="AH52" i="18"/>
  <c r="U43" i="18"/>
  <c r="AA43" i="18"/>
  <c r="AE52" i="18"/>
  <c r="AG52" i="18"/>
  <c r="Z43" i="18"/>
  <c r="AD41" i="18"/>
  <c r="AH41" i="18"/>
  <c r="N43" i="18"/>
  <c r="AE41" i="18"/>
  <c r="Q42" i="18"/>
  <c r="AD42" i="18"/>
  <c r="R43" i="18"/>
  <c r="AF41" i="18"/>
  <c r="AG32" i="18"/>
  <c r="AE32" i="18"/>
  <c r="AF23" i="18"/>
  <c r="AD23" i="18"/>
  <c r="AG23" i="18"/>
  <c r="Q76" i="18"/>
  <c r="Q94" i="18"/>
  <c r="Q80" i="18"/>
  <c r="Q89" i="18" s="1"/>
  <c r="N76" i="18"/>
  <c r="N94" i="18" s="1"/>
  <c r="Q78" i="18"/>
  <c r="Q87" i="18" s="1"/>
  <c r="AE14" i="18"/>
  <c r="R74" i="18"/>
  <c r="R83" i="18" s="1"/>
  <c r="R75" i="18"/>
  <c r="O88" i="18"/>
  <c r="O79" i="18"/>
  <c r="O97" i="18" s="1"/>
  <c r="S88" i="18"/>
  <c r="AE62" i="18"/>
  <c r="AE71" i="18"/>
  <c r="AE15" i="18"/>
  <c r="AH24" i="18"/>
  <c r="P76" i="18"/>
  <c r="P77" i="18"/>
  <c r="P44" i="18"/>
  <c r="T44" i="18"/>
  <c r="AH62" i="18"/>
  <c r="R78" i="18"/>
  <c r="Q79" i="18"/>
  <c r="Q97" i="18"/>
  <c r="S76" i="18"/>
  <c r="AE33" i="18"/>
  <c r="P75" i="18"/>
  <c r="P74" i="18"/>
  <c r="AD15" i="18"/>
  <c r="Q98" i="18"/>
  <c r="Q83" i="18"/>
  <c r="R76" i="18"/>
  <c r="N44" i="18"/>
  <c r="R77" i="18"/>
  <c r="R44" i="18"/>
  <c r="O78" i="18"/>
  <c r="O44" i="18"/>
  <c r="R88" i="18"/>
  <c r="R79" i="18"/>
  <c r="Q77" i="18"/>
  <c r="P78" i="18"/>
  <c r="N15" i="18"/>
  <c r="N80" i="18" s="1"/>
  <c r="N89" i="18" s="1"/>
  <c r="L24" i="18"/>
  <c r="M76" i="18"/>
  <c r="M77" i="18"/>
  <c r="S42" i="18"/>
  <c r="AF77" i="18"/>
  <c r="AF86" i="18" s="1"/>
  <c r="L43" i="18"/>
  <c r="P43" i="18"/>
  <c r="T43" i="18"/>
  <c r="Q44" i="18"/>
  <c r="J78" i="18"/>
  <c r="J87" i="18" s="1"/>
  <c r="AF78" i="18"/>
  <c r="AF87" i="18" s="1"/>
  <c r="K88" i="18"/>
  <c r="N62" i="18"/>
  <c r="N79" i="18" s="1"/>
  <c r="N97" i="18" s="1"/>
  <c r="O98" i="18"/>
  <c r="O83" i="18"/>
  <c r="J75" i="18"/>
  <c r="J84" i="18" s="1"/>
  <c r="AF75" i="18"/>
  <c r="AF84" i="18" s="1"/>
  <c r="AH53" i="18"/>
  <c r="N98" i="18"/>
  <c r="N83" i="18"/>
  <c r="J76" i="18"/>
  <c r="J85" i="18"/>
  <c r="AF76" i="18"/>
  <c r="AF85" i="18"/>
  <c r="J77" i="18"/>
  <c r="J86" i="18"/>
  <c r="M43" i="18"/>
  <c r="AF44" i="18"/>
  <c r="L79" i="18"/>
  <c r="L88" i="18"/>
  <c r="AG79" i="18"/>
  <c r="P80" i="18"/>
  <c r="M72" i="18"/>
  <c r="U85" i="18"/>
  <c r="AA85" i="18"/>
  <c r="U86" i="18"/>
  <c r="AA86" i="18"/>
  <c r="U87" i="18"/>
  <c r="AA87" i="18"/>
  <c r="J79" i="18"/>
  <c r="K80" i="18"/>
  <c r="U89" i="18"/>
  <c r="AA89" i="18"/>
  <c r="U84" i="18"/>
  <c r="L89" i="18"/>
  <c r="L80" i="18"/>
  <c r="AF80" i="18"/>
  <c r="AF89" i="18"/>
  <c r="O84" i="18"/>
  <c r="O85" i="18"/>
  <c r="O94" i="18"/>
  <c r="O95" i="18"/>
  <c r="AA84" i="18"/>
  <c r="J89" i="18"/>
  <c r="AD53" i="18"/>
  <c r="P79" i="18"/>
  <c r="P88" i="18"/>
  <c r="L75" i="18"/>
  <c r="L78" i="18"/>
  <c r="L74" i="18"/>
  <c r="L72" i="18"/>
  <c r="L53" i="18"/>
  <c r="L62" i="18"/>
  <c r="M80" i="18"/>
  <c r="M89" i="18"/>
  <c r="R80" i="18"/>
  <c r="M74" i="18"/>
  <c r="O86" i="18"/>
  <c r="M88" i="18"/>
  <c r="O93" i="18"/>
  <c r="I98" i="17"/>
  <c r="H98" i="17"/>
  <c r="G98" i="17"/>
  <c r="F98" i="17"/>
  <c r="I97" i="17"/>
  <c r="H97" i="17"/>
  <c r="G97" i="17"/>
  <c r="F97" i="17"/>
  <c r="I96" i="17"/>
  <c r="H96" i="17"/>
  <c r="G96" i="17"/>
  <c r="F96" i="17"/>
  <c r="I95" i="17"/>
  <c r="H95" i="17"/>
  <c r="G95" i="17"/>
  <c r="F95" i="17"/>
  <c r="I94" i="17"/>
  <c r="H94" i="17"/>
  <c r="G94" i="17"/>
  <c r="F94" i="17"/>
  <c r="I93" i="17"/>
  <c r="H93" i="17"/>
  <c r="G93" i="17"/>
  <c r="F93" i="17"/>
  <c r="F100" i="17" s="1"/>
  <c r="AG92" i="17"/>
  <c r="AE92" i="17"/>
  <c r="AD92" i="17"/>
  <c r="Q92" i="17"/>
  <c r="P92" i="17"/>
  <c r="O92" i="17"/>
  <c r="N92" i="17"/>
  <c r="M92" i="17"/>
  <c r="L92" i="17"/>
  <c r="K92" i="17"/>
  <c r="I92" i="17"/>
  <c r="H92" i="17"/>
  <c r="G92" i="17"/>
  <c r="F92" i="17"/>
  <c r="I89" i="17"/>
  <c r="H89" i="17"/>
  <c r="G89" i="17"/>
  <c r="F89" i="17"/>
  <c r="AC88" i="17"/>
  <c r="AB88" i="17"/>
  <c r="AA88" i="17"/>
  <c r="Z88" i="17"/>
  <c r="Y88" i="17"/>
  <c r="X88" i="17"/>
  <c r="W88" i="17"/>
  <c r="T88" i="17"/>
  <c r="J88" i="17"/>
  <c r="I88" i="17"/>
  <c r="H88" i="17"/>
  <c r="G88" i="17"/>
  <c r="F88" i="17"/>
  <c r="I87" i="17"/>
  <c r="H87" i="17"/>
  <c r="G87" i="17"/>
  <c r="F87" i="17"/>
  <c r="I86" i="17"/>
  <c r="H86" i="17"/>
  <c r="G86" i="17"/>
  <c r="F86" i="17"/>
  <c r="I85" i="17"/>
  <c r="H85" i="17"/>
  <c r="G85" i="17"/>
  <c r="F85" i="17"/>
  <c r="I84" i="17"/>
  <c r="H84" i="17"/>
  <c r="G84" i="17"/>
  <c r="F84" i="17"/>
  <c r="I83" i="17"/>
  <c r="H83" i="17"/>
  <c r="G83" i="17"/>
  <c r="F83" i="17"/>
  <c r="T80" i="17"/>
  <c r="AC79" i="17"/>
  <c r="AB79" i="17"/>
  <c r="AA79" i="17"/>
  <c r="Z79" i="17"/>
  <c r="Y79" i="17"/>
  <c r="X79" i="17"/>
  <c r="W79" i="17"/>
  <c r="T79" i="17"/>
  <c r="AC78" i="17"/>
  <c r="AB78" i="17"/>
  <c r="AA78" i="17"/>
  <c r="Z78" i="17"/>
  <c r="Y78" i="17"/>
  <c r="X78" i="17"/>
  <c r="W78" i="17"/>
  <c r="T78" i="17"/>
  <c r="AC77" i="17"/>
  <c r="AB77" i="17"/>
  <c r="AA77" i="17"/>
  <c r="Z77" i="17"/>
  <c r="Y77" i="17"/>
  <c r="X77" i="17"/>
  <c r="W77" i="17"/>
  <c r="O77" i="17"/>
  <c r="AC76" i="17"/>
  <c r="AB76" i="17"/>
  <c r="AA76" i="17"/>
  <c r="Z76" i="17"/>
  <c r="Y76" i="17"/>
  <c r="X76" i="17"/>
  <c r="W76" i="17"/>
  <c r="T76" i="17"/>
  <c r="O76" i="17"/>
  <c r="AC75" i="17"/>
  <c r="AB75" i="17"/>
  <c r="AA75" i="17"/>
  <c r="AA84" i="17" s="1"/>
  <c r="Z75" i="17"/>
  <c r="Y75" i="17"/>
  <c r="X75" i="17"/>
  <c r="O75" i="17"/>
  <c r="AC74" i="17"/>
  <c r="AC83" i="17"/>
  <c r="AB74" i="17"/>
  <c r="AB83" i="17"/>
  <c r="AA74" i="17"/>
  <c r="AA83" i="17" s="1"/>
  <c r="Z74" i="17"/>
  <c r="Z83" i="17"/>
  <c r="Y74" i="17"/>
  <c r="Y83" i="17"/>
  <c r="X74" i="17"/>
  <c r="X83" i="17"/>
  <c r="W74" i="17"/>
  <c r="W83" i="17" s="1"/>
  <c r="T74" i="17"/>
  <c r="T83" i="17"/>
  <c r="O74" i="17"/>
  <c r="O98" i="17"/>
  <c r="N71" i="17"/>
  <c r="AC70" i="17"/>
  <c r="AC71" i="17" s="1"/>
  <c r="AB70" i="17"/>
  <c r="AB71" i="17"/>
  <c r="AB80" i="17" s="1"/>
  <c r="AB89" i="17" s="1"/>
  <c r="AA70" i="17"/>
  <c r="AA71" i="17"/>
  <c r="Z70" i="17"/>
  <c r="Z71" i="17" s="1"/>
  <c r="Z80" i="17" s="1"/>
  <c r="Z89" i="17" s="1"/>
  <c r="Y70" i="17"/>
  <c r="Y71" i="17" s="1"/>
  <c r="X70" i="17"/>
  <c r="X71" i="17"/>
  <c r="W70" i="17"/>
  <c r="W71" i="17" s="1"/>
  <c r="T70" i="17"/>
  <c r="S70" i="17"/>
  <c r="S71" i="17"/>
  <c r="R70" i="17"/>
  <c r="R71" i="17"/>
  <c r="Q70" i="17"/>
  <c r="Q71" i="17" s="1"/>
  <c r="P70" i="17"/>
  <c r="P71" i="17"/>
  <c r="O70" i="17"/>
  <c r="O71" i="17"/>
  <c r="O80" i="17" s="1"/>
  <c r="O89" i="17" s="1"/>
  <c r="M70" i="17"/>
  <c r="M80" i="17" s="1"/>
  <c r="L70" i="17"/>
  <c r="K70" i="17"/>
  <c r="J70" i="17"/>
  <c r="AH69" i="17"/>
  <c r="AG69" i="17"/>
  <c r="AF69" i="17"/>
  <c r="AE69" i="17"/>
  <c r="AD69" i="17"/>
  <c r="B69" i="17"/>
  <c r="AH68" i="17"/>
  <c r="AG68" i="17"/>
  <c r="AF68" i="17"/>
  <c r="AE68" i="17"/>
  <c r="AD68" i="17"/>
  <c r="B68" i="17"/>
  <c r="AH67" i="17"/>
  <c r="AG67" i="17"/>
  <c r="AF67" i="17"/>
  <c r="AE67" i="17"/>
  <c r="AD67" i="17"/>
  <c r="AH66" i="17"/>
  <c r="AG66" i="17"/>
  <c r="AF66" i="17"/>
  <c r="AF70" i="17" s="1"/>
  <c r="AE66" i="17"/>
  <c r="AD66" i="17"/>
  <c r="B66" i="17"/>
  <c r="AG62" i="17"/>
  <c r="AF62" i="17"/>
  <c r="AC61" i="17"/>
  <c r="AB61" i="17"/>
  <c r="AA61" i="17"/>
  <c r="Z61" i="17"/>
  <c r="Y61" i="17"/>
  <c r="X61" i="17"/>
  <c r="W61" i="17"/>
  <c r="T61" i="17"/>
  <c r="S61" i="17"/>
  <c r="S62" i="17" s="1"/>
  <c r="R61" i="17"/>
  <c r="R62" i="17" s="1"/>
  <c r="Q61" i="17"/>
  <c r="Q62" i="17" s="1"/>
  <c r="P61" i="17"/>
  <c r="P62" i="17" s="1"/>
  <c r="O61" i="17"/>
  <c r="O62" i="17"/>
  <c r="O88" i="17" s="1"/>
  <c r="N61" i="17"/>
  <c r="N88" i="17" s="1"/>
  <c r="M61" i="17"/>
  <c r="M88" i="17"/>
  <c r="L61" i="17"/>
  <c r="K61" i="17"/>
  <c r="AH60" i="17"/>
  <c r="AG60" i="17"/>
  <c r="AG61" i="17" s="1"/>
  <c r="AF60" i="17"/>
  <c r="AE60" i="17"/>
  <c r="AD60" i="17"/>
  <c r="B60" i="17"/>
  <c r="AH59" i="17"/>
  <c r="AG59" i="17"/>
  <c r="AF59" i="17"/>
  <c r="AE59" i="17"/>
  <c r="AE61" i="17" s="1"/>
  <c r="AE88" i="17" s="1"/>
  <c r="AD59" i="17"/>
  <c r="B59" i="17"/>
  <c r="AH58" i="17"/>
  <c r="AG58" i="17"/>
  <c r="AF58" i="17"/>
  <c r="AE58" i="17"/>
  <c r="AD58" i="17"/>
  <c r="B58" i="17"/>
  <c r="AH57" i="17"/>
  <c r="AG57" i="17"/>
  <c r="AF57" i="17"/>
  <c r="AE57" i="17"/>
  <c r="AD57" i="17"/>
  <c r="B57" i="17"/>
  <c r="AG53" i="17"/>
  <c r="AF53" i="17"/>
  <c r="AF44" i="17" s="1"/>
  <c r="AC52" i="17"/>
  <c r="AB52" i="17"/>
  <c r="AA52" i="17"/>
  <c r="Z52" i="17"/>
  <c r="Y52" i="17"/>
  <c r="X52" i="17"/>
  <c r="W52" i="17"/>
  <c r="T52" i="17"/>
  <c r="T43" i="17" s="1"/>
  <c r="S52" i="17"/>
  <c r="S53" i="17" s="1"/>
  <c r="R52" i="17"/>
  <c r="R53" i="17"/>
  <c r="Q52" i="17"/>
  <c r="Q53" i="17"/>
  <c r="P52" i="17"/>
  <c r="P53" i="17"/>
  <c r="P78" i="17" s="1"/>
  <c r="O52" i="17"/>
  <c r="O53" i="17" s="1"/>
  <c r="N52" i="17"/>
  <c r="N53" i="17"/>
  <c r="M52" i="17"/>
  <c r="K52" i="17"/>
  <c r="J52" i="17"/>
  <c r="F52" i="17"/>
  <c r="AH51" i="17"/>
  <c r="AG51" i="17"/>
  <c r="AF51" i="17"/>
  <c r="AE51" i="17"/>
  <c r="AD51" i="17"/>
  <c r="B51" i="17"/>
  <c r="AH50" i="17"/>
  <c r="AG50" i="17"/>
  <c r="AG52" i="17" s="1"/>
  <c r="AG43" i="17" s="1"/>
  <c r="AF50" i="17"/>
  <c r="AE50" i="17"/>
  <c r="AD50" i="17"/>
  <c r="B50" i="17"/>
  <c r="B67" i="17" s="1"/>
  <c r="AH49" i="17"/>
  <c r="AG49" i="17"/>
  <c r="AF49" i="17"/>
  <c r="AF52" i="17" s="1"/>
  <c r="AF43" i="17" s="1"/>
  <c r="AE49" i="17"/>
  <c r="AD49" i="17"/>
  <c r="B49" i="17"/>
  <c r="AH48" i="17"/>
  <c r="AG48" i="17"/>
  <c r="AF48" i="17"/>
  <c r="AE48" i="17"/>
  <c r="AD48" i="17"/>
  <c r="AD52" i="17" s="1"/>
  <c r="AD43" i="17" s="1"/>
  <c r="B48" i="17"/>
  <c r="AI44" i="17"/>
  <c r="AC44" i="17"/>
  <c r="AB44" i="17"/>
  <c r="AA44" i="17"/>
  <c r="Z44" i="17"/>
  <c r="Y44" i="17"/>
  <c r="X44" i="17"/>
  <c r="W44" i="17"/>
  <c r="AG42" i="17"/>
  <c r="AF42" i="17"/>
  <c r="AC41" i="17"/>
  <c r="AB41" i="17"/>
  <c r="AB43" i="17"/>
  <c r="AA41" i="17"/>
  <c r="AA43" i="17"/>
  <c r="Z41" i="17"/>
  <c r="Y41" i="17"/>
  <c r="X41" i="17"/>
  <c r="W41" i="17"/>
  <c r="T41" i="17"/>
  <c r="S41" i="17"/>
  <c r="S42" i="17"/>
  <c r="R41" i="17"/>
  <c r="R42" i="17" s="1"/>
  <c r="Q41" i="17"/>
  <c r="P41" i="17"/>
  <c r="P42" i="17" s="1"/>
  <c r="O41" i="17"/>
  <c r="N41" i="17"/>
  <c r="M41" i="17"/>
  <c r="M43" i="17" s="1"/>
  <c r="L41" i="17"/>
  <c r="K41" i="17"/>
  <c r="J41" i="17"/>
  <c r="AH40" i="17"/>
  <c r="AG40" i="17"/>
  <c r="AF40" i="17"/>
  <c r="AE40" i="17"/>
  <c r="AD40" i="17"/>
  <c r="B40" i="17"/>
  <c r="AH39" i="17"/>
  <c r="AG39" i="17"/>
  <c r="AF39" i="17"/>
  <c r="AE39" i="17"/>
  <c r="AD39" i="17"/>
  <c r="B39" i="17"/>
  <c r="AH38" i="17"/>
  <c r="AH41" i="17" s="1"/>
  <c r="AH43" i="17" s="1"/>
  <c r="AG38" i="17"/>
  <c r="AF38" i="17"/>
  <c r="AE38" i="17"/>
  <c r="AD38" i="17"/>
  <c r="AH37" i="17"/>
  <c r="AG37" i="17"/>
  <c r="AF37" i="17"/>
  <c r="AE37" i="17"/>
  <c r="AE41" i="17" s="1"/>
  <c r="AE43" i="17" s="1"/>
  <c r="AD37" i="17"/>
  <c r="B37" i="17"/>
  <c r="AG33" i="17"/>
  <c r="AF33" i="17"/>
  <c r="AC32" i="17"/>
  <c r="AB32" i="17"/>
  <c r="AA32" i="17"/>
  <c r="Z32" i="17"/>
  <c r="Y32" i="17"/>
  <c r="X32" i="17"/>
  <c r="W32" i="17"/>
  <c r="T32" i="17"/>
  <c r="S32" i="17"/>
  <c r="S33" i="17"/>
  <c r="R32" i="17"/>
  <c r="R33" i="17"/>
  <c r="R76" i="17" s="1"/>
  <c r="Q32" i="17"/>
  <c r="Q33" i="17" s="1"/>
  <c r="P32" i="17"/>
  <c r="P33" i="17"/>
  <c r="O32" i="17"/>
  <c r="N32" i="17"/>
  <c r="N33" i="17" s="1"/>
  <c r="N76" i="17" s="1"/>
  <c r="M32" i="17"/>
  <c r="M76" i="17" s="1"/>
  <c r="L32" i="17"/>
  <c r="K32" i="17"/>
  <c r="J32" i="17"/>
  <c r="F32" i="17"/>
  <c r="AH31" i="17"/>
  <c r="AG31" i="17"/>
  <c r="AF31" i="17"/>
  <c r="AE31" i="17"/>
  <c r="AE32" i="17" s="1"/>
  <c r="AD31" i="17"/>
  <c r="B31" i="17"/>
  <c r="AH30" i="17"/>
  <c r="AG30" i="17"/>
  <c r="AF30" i="17"/>
  <c r="AE30" i="17"/>
  <c r="AD30" i="17"/>
  <c r="B30" i="17"/>
  <c r="AH29" i="17"/>
  <c r="AG29" i="17"/>
  <c r="AF29" i="17"/>
  <c r="AE29" i="17"/>
  <c r="AD29" i="17"/>
  <c r="AH28" i="17"/>
  <c r="AG28" i="17"/>
  <c r="AF28" i="17"/>
  <c r="AF32" i="17" s="1"/>
  <c r="AE28" i="17"/>
  <c r="AD28" i="17"/>
  <c r="B28" i="17"/>
  <c r="B38" i="17"/>
  <c r="AG24" i="17"/>
  <c r="AF24" i="17"/>
  <c r="AC23" i="17"/>
  <c r="AB23" i="17"/>
  <c r="AA23" i="17"/>
  <c r="Z23" i="17"/>
  <c r="Y23" i="17"/>
  <c r="X23" i="17"/>
  <c r="W23" i="17"/>
  <c r="W24" i="17"/>
  <c r="W75" i="17" s="1"/>
  <c r="W84" i="17" s="1"/>
  <c r="T23" i="17"/>
  <c r="T24" i="17" s="1"/>
  <c r="S23" i="17"/>
  <c r="S24" i="17"/>
  <c r="R23" i="17"/>
  <c r="R24" i="17"/>
  <c r="Q23" i="17"/>
  <c r="Q24" i="17"/>
  <c r="Q75" i="17" s="1"/>
  <c r="P23" i="17"/>
  <c r="P24" i="17" s="1"/>
  <c r="O23" i="17"/>
  <c r="N23" i="17"/>
  <c r="N24" i="17" s="1"/>
  <c r="M23" i="17"/>
  <c r="AH22" i="17"/>
  <c r="AG22" i="17"/>
  <c r="AF22" i="17"/>
  <c r="AE22" i="17"/>
  <c r="AD22" i="17"/>
  <c r="AH21" i="17"/>
  <c r="AG21" i="17"/>
  <c r="AF21" i="17"/>
  <c r="AE21" i="17"/>
  <c r="AD21" i="17"/>
  <c r="AD23" i="17" s="1"/>
  <c r="B21" i="17"/>
  <c r="AH20" i="17"/>
  <c r="AG20" i="17"/>
  <c r="AF20" i="17"/>
  <c r="AE20" i="17"/>
  <c r="AD20" i="17"/>
  <c r="B20" i="17"/>
  <c r="AH19" i="17"/>
  <c r="AH23" i="17" s="1"/>
  <c r="AG19" i="17"/>
  <c r="AF19" i="17"/>
  <c r="AE19" i="17"/>
  <c r="AD19" i="17"/>
  <c r="B19" i="17"/>
  <c r="C17" i="17"/>
  <c r="C26" i="17" s="1"/>
  <c r="C35" i="17" s="1"/>
  <c r="C46" i="17" s="1"/>
  <c r="C55" i="17" s="1"/>
  <c r="C64" i="17" s="1"/>
  <c r="AG15" i="17"/>
  <c r="AG77" i="17" s="1"/>
  <c r="AF15" i="17"/>
  <c r="AC14" i="17"/>
  <c r="AB14" i="17"/>
  <c r="AA14" i="17"/>
  <c r="Z14" i="17"/>
  <c r="Y14" i="17"/>
  <c r="X14" i="17"/>
  <c r="W14" i="17"/>
  <c r="T14" i="17"/>
  <c r="S14" i="17"/>
  <c r="S15" i="17" s="1"/>
  <c r="R14" i="17"/>
  <c r="R15" i="17" s="1"/>
  <c r="Q14" i="17"/>
  <c r="Q15" i="17"/>
  <c r="P14" i="17"/>
  <c r="P15" i="17"/>
  <c r="O14" i="17"/>
  <c r="N14" i="17"/>
  <c r="N15" i="17" s="1"/>
  <c r="N80" i="17" s="1"/>
  <c r="M14" i="17"/>
  <c r="M74" i="17" s="1"/>
  <c r="L14" i="17"/>
  <c r="L75" i="17" s="1"/>
  <c r="K14" i="17"/>
  <c r="K33" i="17" s="1"/>
  <c r="J14" i="17"/>
  <c r="J77" i="17" s="1"/>
  <c r="AH13" i="17"/>
  <c r="AG13" i="17"/>
  <c r="AF13" i="17"/>
  <c r="AE13" i="17"/>
  <c r="AD13" i="17"/>
  <c r="B13" i="17"/>
  <c r="B22" i="17" s="1"/>
  <c r="B29" i="17" s="1"/>
  <c r="AH12" i="17"/>
  <c r="AG12" i="17"/>
  <c r="AF12" i="17"/>
  <c r="AE12" i="17"/>
  <c r="AD12" i="17"/>
  <c r="B12" i="17"/>
  <c r="AH11" i="17"/>
  <c r="AG11" i="17"/>
  <c r="AF11" i="17"/>
  <c r="AE11" i="17"/>
  <c r="AD11" i="17"/>
  <c r="B11" i="17"/>
  <c r="AH10" i="17"/>
  <c r="AG10" i="17"/>
  <c r="AG14" i="17" s="1"/>
  <c r="AF10" i="17"/>
  <c r="AE10" i="17"/>
  <c r="AE14" i="17" s="1"/>
  <c r="AD10" i="17"/>
  <c r="B10" i="17"/>
  <c r="W43" i="17"/>
  <c r="N43" i="17"/>
  <c r="X43" i="17"/>
  <c r="X84" i="17"/>
  <c r="AF61" i="17"/>
  <c r="X86" i="17"/>
  <c r="AG43" i="18"/>
  <c r="L95" i="18"/>
  <c r="AF76" i="17"/>
  <c r="AA85" i="17"/>
  <c r="AD70" i="17"/>
  <c r="AH70" i="17"/>
  <c r="Y84" i="17"/>
  <c r="AB86" i="17"/>
  <c r="I100" i="17"/>
  <c r="Y87" i="17"/>
  <c r="AC87" i="17"/>
  <c r="AF79" i="17"/>
  <c r="AB84" i="17"/>
  <c r="AA86" i="17"/>
  <c r="AA87" i="17"/>
  <c r="AD61" i="17"/>
  <c r="AD88" i="17" s="1"/>
  <c r="AH61" i="17"/>
  <c r="N62" i="17"/>
  <c r="AC84" i="17"/>
  <c r="X85" i="17"/>
  <c r="AB85" i="17"/>
  <c r="X87" i="17"/>
  <c r="AB87" i="17"/>
  <c r="H100" i="17"/>
  <c r="AG78" i="17"/>
  <c r="AG70" i="17"/>
  <c r="Y85" i="17"/>
  <c r="AC85" i="17"/>
  <c r="Y86" i="17"/>
  <c r="AC86" i="17"/>
  <c r="G100" i="17"/>
  <c r="AD78" i="18"/>
  <c r="AD43" i="18"/>
  <c r="AF43" i="18"/>
  <c r="R85" i="18"/>
  <c r="Q96" i="18"/>
  <c r="N85" i="18"/>
  <c r="R86" i="18"/>
  <c r="R89" i="18"/>
  <c r="Q85" i="18"/>
  <c r="R87" i="18"/>
  <c r="R84" i="18"/>
  <c r="AD14" i="17"/>
  <c r="AH14" i="17"/>
  <c r="AH43" i="18"/>
  <c r="AE43" i="18"/>
  <c r="AE76" i="18"/>
  <c r="AD77" i="18"/>
  <c r="L96" i="18"/>
  <c r="L87" i="18"/>
  <c r="P89" i="18"/>
  <c r="M86" i="18"/>
  <c r="M95" i="18"/>
  <c r="P93" i="18"/>
  <c r="P84" i="18"/>
  <c r="M98" i="18"/>
  <c r="M83" i="18"/>
  <c r="L93" i="18"/>
  <c r="L100" i="18" s="1"/>
  <c r="L84" i="18"/>
  <c r="AD74" i="18"/>
  <c r="AD44" i="18"/>
  <c r="AE80" i="18"/>
  <c r="AE89" i="18" s="1"/>
  <c r="Q86" i="18"/>
  <c r="Q95" i="18"/>
  <c r="M94" i="18"/>
  <c r="M85" i="18"/>
  <c r="P95" i="18"/>
  <c r="P100" i="18" s="1"/>
  <c r="P86" i="18"/>
  <c r="AE75" i="18"/>
  <c r="AE74" i="18"/>
  <c r="L98" i="18"/>
  <c r="L83" i="18"/>
  <c r="P97" i="18"/>
  <c r="L97" i="18"/>
  <c r="S77" i="18"/>
  <c r="AE42" i="18"/>
  <c r="AE77" i="18" s="1"/>
  <c r="S44" i="18"/>
  <c r="M93" i="18"/>
  <c r="P96" i="18"/>
  <c r="P87" i="18"/>
  <c r="O96" i="18"/>
  <c r="O87" i="18"/>
  <c r="P98" i="18"/>
  <c r="P83" i="18"/>
  <c r="AH42" i="18"/>
  <c r="AH44" i="18" s="1"/>
  <c r="L86" i="18"/>
  <c r="P85" i="18"/>
  <c r="AH76" i="18"/>
  <c r="P94" i="18"/>
  <c r="AE79" i="18"/>
  <c r="AE52" i="17"/>
  <c r="AD41" i="17"/>
  <c r="N42" i="17"/>
  <c r="AF23" i="17"/>
  <c r="N78" i="17"/>
  <c r="Z43" i="17"/>
  <c r="T42" i="17"/>
  <c r="T77" i="17"/>
  <c r="T86" i="17" s="1"/>
  <c r="AF41" i="17"/>
  <c r="AG41" i="17"/>
  <c r="P43" i="17"/>
  <c r="AH52" i="17"/>
  <c r="AG32" i="17"/>
  <c r="AH32" i="17"/>
  <c r="AD32" i="17"/>
  <c r="AE23" i="17"/>
  <c r="AG23" i="17"/>
  <c r="L43" i="17"/>
  <c r="L79" i="17"/>
  <c r="AF14" i="17"/>
  <c r="M75" i="17"/>
  <c r="J89" i="17"/>
  <c r="J80" i="17"/>
  <c r="M77" i="17"/>
  <c r="Q43" i="17"/>
  <c r="Q42" i="17"/>
  <c r="AF77" i="17"/>
  <c r="AA80" i="17"/>
  <c r="AA89" i="17" s="1"/>
  <c r="Q74" i="17"/>
  <c r="Q78" i="17"/>
  <c r="K88" i="17"/>
  <c r="K79" i="17"/>
  <c r="O79" i="17"/>
  <c r="O97" i="17" s="1"/>
  <c r="P76" i="17"/>
  <c r="K75" i="17"/>
  <c r="K24" i="17"/>
  <c r="K77" i="17"/>
  <c r="K74" i="17"/>
  <c r="K95" i="17" s="1"/>
  <c r="K62" i="17"/>
  <c r="K72" i="17"/>
  <c r="P74" i="17"/>
  <c r="AE33" i="17"/>
  <c r="K43" i="17"/>
  <c r="O43" i="17"/>
  <c r="S43" i="17"/>
  <c r="Y43" i="17"/>
  <c r="AC43" i="17"/>
  <c r="AE70" i="17"/>
  <c r="X80" i="17"/>
  <c r="X89" i="17"/>
  <c r="P80" i="17"/>
  <c r="AG79" i="17"/>
  <c r="AG97" i="17" s="1"/>
  <c r="K89" i="17"/>
  <c r="K80" i="17"/>
  <c r="L72" i="17"/>
  <c r="L74" i="17"/>
  <c r="L97" i="17" s="1"/>
  <c r="O84" i="17"/>
  <c r="O85" i="17"/>
  <c r="O95" i="17"/>
  <c r="O86" i="17"/>
  <c r="T87" i="17"/>
  <c r="Z87" i="17"/>
  <c r="T89" i="17"/>
  <c r="O94" i="17"/>
  <c r="K78" i="17"/>
  <c r="K87" i="17" s="1"/>
  <c r="AG74" i="17"/>
  <c r="AG87" i="17"/>
  <c r="AG75" i="17"/>
  <c r="L24" i="17"/>
  <c r="K76" i="17"/>
  <c r="AG76" i="17"/>
  <c r="R43" i="17"/>
  <c r="AG44" i="17"/>
  <c r="M78" i="17"/>
  <c r="K53" i="17"/>
  <c r="L89" i="17"/>
  <c r="L80" i="17"/>
  <c r="M72" i="17"/>
  <c r="Z86" i="17"/>
  <c r="W87" i="17"/>
  <c r="O83" i="17"/>
  <c r="Z84" i="17"/>
  <c r="AF74" i="17"/>
  <c r="AF86" i="17" s="1"/>
  <c r="AF75" i="17"/>
  <c r="AF84" i="17" s="1"/>
  <c r="L33" i="17"/>
  <c r="L76" i="17"/>
  <c r="L77" i="17"/>
  <c r="L95" i="17" s="1"/>
  <c r="L53" i="17"/>
  <c r="L62" i="17"/>
  <c r="T85" i="17"/>
  <c r="Z85" i="17"/>
  <c r="W86" i="17"/>
  <c r="L78" i="17"/>
  <c r="M79" i="17"/>
  <c r="M97" i="17" s="1"/>
  <c r="W85" i="17"/>
  <c r="L88" i="17"/>
  <c r="M89" i="17"/>
  <c r="O93" i="17"/>
  <c r="AE42" i="17"/>
  <c r="T44" i="17"/>
  <c r="AF88" i="17"/>
  <c r="N44" i="17"/>
  <c r="AD87" i="18"/>
  <c r="AE85" i="18"/>
  <c r="AD86" i="18"/>
  <c r="AE97" i="18"/>
  <c r="AD95" i="18"/>
  <c r="AD96" i="18"/>
  <c r="AE83" i="18"/>
  <c r="AE98" i="18"/>
  <c r="AE94" i="18"/>
  <c r="AE93" i="18"/>
  <c r="AE84" i="18"/>
  <c r="AD98" i="18"/>
  <c r="AD83" i="18"/>
  <c r="AG88" i="17"/>
  <c r="P85" i="17"/>
  <c r="P94" i="17"/>
  <c r="Q98" i="17"/>
  <c r="Q83" i="17"/>
  <c r="L96" i="17"/>
  <c r="L87" i="17"/>
  <c r="Q77" i="17"/>
  <c r="Q44" i="17"/>
  <c r="L86" i="17"/>
  <c r="AG85" i="17"/>
  <c r="AG94" i="17"/>
  <c r="AG98" i="17"/>
  <c r="AG83" i="17"/>
  <c r="K84" i="17"/>
  <c r="L98" i="17"/>
  <c r="L83" i="17"/>
  <c r="P89" i="17"/>
  <c r="Q96" i="17"/>
  <c r="Q87" i="17"/>
  <c r="AG93" i="17"/>
  <c r="AG84" i="17"/>
  <c r="L85" i="17"/>
  <c r="L94" i="17"/>
  <c r="AG96" i="17"/>
  <c r="P98" i="17"/>
  <c r="P83" i="17"/>
  <c r="K83" i="17"/>
  <c r="AF85" i="17"/>
  <c r="Q86" i="17"/>
  <c r="Q95" i="17"/>
  <c r="AE69" i="16"/>
  <c r="AE68" i="16"/>
  <c r="AE67" i="16"/>
  <c r="AE66" i="16"/>
  <c r="AE60" i="16"/>
  <c r="AE59" i="16"/>
  <c r="AE58" i="16"/>
  <c r="AE57" i="16"/>
  <c r="AE51" i="16"/>
  <c r="AE50" i="16"/>
  <c r="AE49" i="16"/>
  <c r="AE48" i="16"/>
  <c r="AE40" i="16"/>
  <c r="AE39" i="16"/>
  <c r="AE38" i="16"/>
  <c r="AE37" i="16"/>
  <c r="AE31" i="16"/>
  <c r="AE30" i="16"/>
  <c r="AE29" i="16"/>
  <c r="AE28" i="16"/>
  <c r="AE22" i="16"/>
  <c r="AE21" i="16"/>
  <c r="AE20" i="16"/>
  <c r="AE19" i="16"/>
  <c r="AE13" i="16"/>
  <c r="AE12" i="16"/>
  <c r="AE11" i="16"/>
  <c r="AE10" i="16"/>
  <c r="I98" i="16"/>
  <c r="H98" i="16"/>
  <c r="G98" i="16"/>
  <c r="F98" i="16"/>
  <c r="I97" i="16"/>
  <c r="H97" i="16"/>
  <c r="G97" i="16"/>
  <c r="F97" i="16"/>
  <c r="I96" i="16"/>
  <c r="H96" i="16"/>
  <c r="G96" i="16"/>
  <c r="F96" i="16"/>
  <c r="I95" i="16"/>
  <c r="H95" i="16"/>
  <c r="G95" i="16"/>
  <c r="F95" i="16"/>
  <c r="I94" i="16"/>
  <c r="H94" i="16"/>
  <c r="G94" i="16"/>
  <c r="F94" i="16"/>
  <c r="I93" i="16"/>
  <c r="H93" i="16"/>
  <c r="G93" i="16"/>
  <c r="F93" i="16"/>
  <c r="AG92" i="16"/>
  <c r="AE92" i="16"/>
  <c r="AD92" i="16"/>
  <c r="Q92" i="16"/>
  <c r="P92" i="16"/>
  <c r="O92" i="16"/>
  <c r="N92" i="16"/>
  <c r="M92" i="16"/>
  <c r="L92" i="16"/>
  <c r="K92" i="16"/>
  <c r="I92" i="16"/>
  <c r="H92" i="16"/>
  <c r="G92" i="16"/>
  <c r="F92" i="16"/>
  <c r="I89" i="16"/>
  <c r="H89" i="16"/>
  <c r="G89" i="16"/>
  <c r="F89" i="16"/>
  <c r="AC88" i="16"/>
  <c r="AB88" i="16"/>
  <c r="AA88" i="16"/>
  <c r="Z88" i="16"/>
  <c r="Y88" i="16"/>
  <c r="X88" i="16"/>
  <c r="U88" i="16"/>
  <c r="T88" i="16"/>
  <c r="J88" i="16"/>
  <c r="I88" i="16"/>
  <c r="H88" i="16"/>
  <c r="G88" i="16"/>
  <c r="F88" i="16"/>
  <c r="I87" i="16"/>
  <c r="H87" i="16"/>
  <c r="G87" i="16"/>
  <c r="F87" i="16"/>
  <c r="I86" i="16"/>
  <c r="H86" i="16"/>
  <c r="G86" i="16"/>
  <c r="F86" i="16"/>
  <c r="I85" i="16"/>
  <c r="H85" i="16"/>
  <c r="G85" i="16"/>
  <c r="F85" i="16"/>
  <c r="I84" i="16"/>
  <c r="H84" i="16"/>
  <c r="G84" i="16"/>
  <c r="F84" i="16"/>
  <c r="I83" i="16"/>
  <c r="H83" i="16"/>
  <c r="G83" i="16"/>
  <c r="F83" i="16"/>
  <c r="T80" i="16"/>
  <c r="AC79" i="16"/>
  <c r="AB79" i="16"/>
  <c r="AA79" i="16"/>
  <c r="Z79" i="16"/>
  <c r="Y79" i="16"/>
  <c r="X79" i="16"/>
  <c r="U79" i="16"/>
  <c r="T79" i="16"/>
  <c r="AC78" i="16"/>
  <c r="AB78" i="16"/>
  <c r="AA78" i="16"/>
  <c r="Z78" i="16"/>
  <c r="Y78" i="16"/>
  <c r="X78" i="16"/>
  <c r="U78" i="16"/>
  <c r="T78" i="16"/>
  <c r="AC77" i="16"/>
  <c r="AB77" i="16"/>
  <c r="AA77" i="16"/>
  <c r="Z77" i="16"/>
  <c r="Y77" i="16"/>
  <c r="X77" i="16"/>
  <c r="U77" i="16"/>
  <c r="O77" i="16"/>
  <c r="AC76" i="16"/>
  <c r="AB76" i="16"/>
  <c r="AA76" i="16"/>
  <c r="Y76" i="16"/>
  <c r="U76" i="16"/>
  <c r="O76" i="16"/>
  <c r="AC75" i="16"/>
  <c r="AB75" i="16"/>
  <c r="AA75" i="16"/>
  <c r="Z75" i="16"/>
  <c r="Z84" i="16" s="1"/>
  <c r="Y75" i="16"/>
  <c r="X75" i="16"/>
  <c r="O75" i="16"/>
  <c r="AC74" i="16"/>
  <c r="AB74" i="16"/>
  <c r="AB83" i="16"/>
  <c r="AA74" i="16"/>
  <c r="AA83" i="16"/>
  <c r="Z74" i="16"/>
  <c r="Z83" i="16"/>
  <c r="Y74" i="16"/>
  <c r="Y83" i="16"/>
  <c r="X74" i="16"/>
  <c r="X83" i="16"/>
  <c r="U74" i="16"/>
  <c r="U83" i="16"/>
  <c r="T74" i="16"/>
  <c r="O74" i="16"/>
  <c r="O98" i="16"/>
  <c r="N71" i="16"/>
  <c r="AC70" i="16"/>
  <c r="AC80" i="16"/>
  <c r="AB70" i="16"/>
  <c r="AB80" i="16"/>
  <c r="AA70" i="16"/>
  <c r="AA80" i="16"/>
  <c r="Z70" i="16"/>
  <c r="Z80" i="16"/>
  <c r="Y70" i="16"/>
  <c r="Y80" i="16"/>
  <c r="X70" i="16"/>
  <c r="X80" i="16"/>
  <c r="X89" i="16" s="1"/>
  <c r="U70" i="16"/>
  <c r="U80" i="16"/>
  <c r="T70" i="16"/>
  <c r="S70" i="16"/>
  <c r="S71" i="16" s="1"/>
  <c r="R70" i="16"/>
  <c r="R71" i="16" s="1"/>
  <c r="Q70" i="16"/>
  <c r="Q71" i="16" s="1"/>
  <c r="P70" i="16"/>
  <c r="P71" i="16"/>
  <c r="O70" i="16"/>
  <c r="O71" i="16" s="1"/>
  <c r="O80" i="16" s="1"/>
  <c r="M70" i="16"/>
  <c r="M80" i="16"/>
  <c r="L70" i="16"/>
  <c r="K70" i="16"/>
  <c r="J70" i="16"/>
  <c r="AH69" i="16"/>
  <c r="AG69" i="16"/>
  <c r="AF69" i="16"/>
  <c r="AD69" i="16"/>
  <c r="B69" i="16"/>
  <c r="AH68" i="16"/>
  <c r="AG68" i="16"/>
  <c r="AF68" i="16"/>
  <c r="AD68" i="16"/>
  <c r="B68" i="16"/>
  <c r="AH67" i="16"/>
  <c r="AG67" i="16"/>
  <c r="AF67" i="16"/>
  <c r="AF70" i="16" s="1"/>
  <c r="AD67" i="16"/>
  <c r="AH66" i="16"/>
  <c r="AG66" i="16"/>
  <c r="AF66" i="16"/>
  <c r="AD66" i="16"/>
  <c r="B66" i="16"/>
  <c r="AG62" i="16"/>
  <c r="AF62" i="16"/>
  <c r="AF79" i="16" s="1"/>
  <c r="AF88" i="16" s="1"/>
  <c r="AC61" i="16"/>
  <c r="AB61" i="16"/>
  <c r="AA61" i="16"/>
  <c r="Z61" i="16"/>
  <c r="Y61" i="16"/>
  <c r="X61" i="16"/>
  <c r="U61" i="16"/>
  <c r="T61" i="16"/>
  <c r="S61" i="16"/>
  <c r="S62" i="16" s="1"/>
  <c r="R61" i="16"/>
  <c r="R62" i="16" s="1"/>
  <c r="Q61" i="16"/>
  <c r="Q62" i="16" s="1"/>
  <c r="P61" i="16"/>
  <c r="P62" i="16" s="1"/>
  <c r="O61" i="16"/>
  <c r="O62" i="16"/>
  <c r="N61" i="16"/>
  <c r="M61" i="16"/>
  <c r="M88" i="16"/>
  <c r="L61" i="16"/>
  <c r="K61" i="16"/>
  <c r="AH60" i="16"/>
  <c r="AG60" i="16"/>
  <c r="AF60" i="16"/>
  <c r="AD60" i="16"/>
  <c r="B60" i="16"/>
  <c r="AH59" i="16"/>
  <c r="AG59" i="16"/>
  <c r="AF59" i="16"/>
  <c r="AF61" i="16" s="1"/>
  <c r="AD59" i="16"/>
  <c r="B59" i="16"/>
  <c r="AH58" i="16"/>
  <c r="AG58" i="16"/>
  <c r="AF58" i="16"/>
  <c r="AD58" i="16"/>
  <c r="B58" i="16"/>
  <c r="AH57" i="16"/>
  <c r="AG57" i="16"/>
  <c r="AF57" i="16"/>
  <c r="AD57" i="16"/>
  <c r="B57" i="16"/>
  <c r="AG53" i="16"/>
  <c r="AF53" i="16"/>
  <c r="AC52" i="16"/>
  <c r="AB52" i="16"/>
  <c r="AA52" i="16"/>
  <c r="Z52" i="16"/>
  <c r="Y52" i="16"/>
  <c r="X52" i="16"/>
  <c r="U52" i="16"/>
  <c r="T52" i="16"/>
  <c r="S52" i="16"/>
  <c r="S53" i="16"/>
  <c r="R52" i="16"/>
  <c r="R53" i="16"/>
  <c r="Q52" i="16"/>
  <c r="Q53" i="16"/>
  <c r="P52" i="16"/>
  <c r="P53" i="16"/>
  <c r="O52" i="16"/>
  <c r="O53" i="16"/>
  <c r="N52" i="16"/>
  <c r="N53" i="16"/>
  <c r="M52" i="16"/>
  <c r="K52" i="16"/>
  <c r="J52" i="16"/>
  <c r="F52" i="16"/>
  <c r="AH51" i="16"/>
  <c r="AG51" i="16"/>
  <c r="AF51" i="16"/>
  <c r="AD51" i="16"/>
  <c r="B51" i="16"/>
  <c r="AH50" i="16"/>
  <c r="AG50" i="16"/>
  <c r="AF50" i="16"/>
  <c r="AD50" i="16"/>
  <c r="AD52" i="16" s="1"/>
  <c r="B50" i="16"/>
  <c r="B67" i="16"/>
  <c r="AH49" i="16"/>
  <c r="AG49" i="16"/>
  <c r="AF49" i="16"/>
  <c r="AD49" i="16"/>
  <c r="B49" i="16"/>
  <c r="AH48" i="16"/>
  <c r="AH52" i="16" s="1"/>
  <c r="AH43" i="16" s="1"/>
  <c r="AG48" i="16"/>
  <c r="AF48" i="16"/>
  <c r="AD48" i="16"/>
  <c r="B48" i="16"/>
  <c r="AI44" i="16"/>
  <c r="AC44" i="16"/>
  <c r="AB44" i="16"/>
  <c r="AA44" i="16"/>
  <c r="Z44" i="16"/>
  <c r="Y44" i="16"/>
  <c r="X44" i="16"/>
  <c r="U44" i="16"/>
  <c r="AG42" i="16"/>
  <c r="AF42" i="16"/>
  <c r="AC41" i="16"/>
  <c r="AB41" i="16"/>
  <c r="AB43" i="16" s="1"/>
  <c r="AA41" i="16"/>
  <c r="Z41" i="16"/>
  <c r="Y41" i="16"/>
  <c r="X41" i="16"/>
  <c r="U41" i="16"/>
  <c r="T41" i="16"/>
  <c r="S41" i="16"/>
  <c r="R41" i="16"/>
  <c r="Q41" i="16"/>
  <c r="P41" i="16"/>
  <c r="O41" i="16"/>
  <c r="N41" i="16"/>
  <c r="M41" i="16"/>
  <c r="L41" i="16"/>
  <c r="K41" i="16"/>
  <c r="K77" i="16" s="1"/>
  <c r="J41" i="16"/>
  <c r="AH40" i="16"/>
  <c r="AG40" i="16"/>
  <c r="AF40" i="16"/>
  <c r="AD40" i="16"/>
  <c r="B40" i="16"/>
  <c r="AH39" i="16"/>
  <c r="AG39" i="16"/>
  <c r="AF39" i="16"/>
  <c r="AD39" i="16"/>
  <c r="B39" i="16"/>
  <c r="AH38" i="16"/>
  <c r="AG38" i="16"/>
  <c r="AF38" i="16"/>
  <c r="AD38" i="16"/>
  <c r="AH37" i="16"/>
  <c r="AG37" i="16"/>
  <c r="AF37" i="16"/>
  <c r="AD37" i="16"/>
  <c r="B37" i="16"/>
  <c r="AG33" i="16"/>
  <c r="AC32" i="16"/>
  <c r="AB32" i="16"/>
  <c r="AA32" i="16"/>
  <c r="Z32" i="16"/>
  <c r="Z76" i="16"/>
  <c r="Y32" i="16"/>
  <c r="X32" i="16"/>
  <c r="U32" i="16"/>
  <c r="T32" i="16"/>
  <c r="T76" i="16"/>
  <c r="S32" i="16"/>
  <c r="S33" i="16" s="1"/>
  <c r="R32" i="16"/>
  <c r="R33" i="16" s="1"/>
  <c r="Q32" i="16"/>
  <c r="Q33" i="16" s="1"/>
  <c r="P32" i="16"/>
  <c r="P33" i="16" s="1"/>
  <c r="O32" i="16"/>
  <c r="N32" i="16"/>
  <c r="N33" i="16"/>
  <c r="M32" i="16"/>
  <c r="L32" i="16"/>
  <c r="K32" i="16"/>
  <c r="J32" i="16"/>
  <c r="F32" i="16"/>
  <c r="AH31" i="16"/>
  <c r="AH32" i="16" s="1"/>
  <c r="AG31" i="16"/>
  <c r="AF31" i="16"/>
  <c r="AD31" i="16"/>
  <c r="B31" i="16"/>
  <c r="AH30" i="16"/>
  <c r="AG30" i="16"/>
  <c r="AF30" i="16"/>
  <c r="AD30" i="16"/>
  <c r="AD32" i="16" s="1"/>
  <c r="B30" i="16"/>
  <c r="AH29" i="16"/>
  <c r="AG29" i="16"/>
  <c r="AF29" i="16"/>
  <c r="AD29" i="16"/>
  <c r="AH28" i="16"/>
  <c r="AG28" i="16"/>
  <c r="AF28" i="16"/>
  <c r="AF32" i="16" s="1"/>
  <c r="AD28" i="16"/>
  <c r="B28" i="16"/>
  <c r="B38" i="16" s="1"/>
  <c r="AG24" i="16"/>
  <c r="AF24" i="16"/>
  <c r="AC23" i="16"/>
  <c r="AB23" i="16"/>
  <c r="AA23" i="16"/>
  <c r="Z23" i="16"/>
  <c r="Y23" i="16"/>
  <c r="X23" i="16"/>
  <c r="U23" i="16"/>
  <c r="U75" i="16"/>
  <c r="T23" i="16"/>
  <c r="T75" i="16"/>
  <c r="S23" i="16"/>
  <c r="S24" i="16" s="1"/>
  <c r="AE24" i="16" s="1"/>
  <c r="R23" i="16"/>
  <c r="R24" i="16" s="1"/>
  <c r="AD24" i="16" s="1"/>
  <c r="AD75" i="16" s="1"/>
  <c r="Q23" i="16"/>
  <c r="Q24" i="16" s="1"/>
  <c r="P23" i="16"/>
  <c r="P24" i="16" s="1"/>
  <c r="O23" i="16"/>
  <c r="N23" i="16"/>
  <c r="N24" i="16"/>
  <c r="M23" i="16"/>
  <c r="AH22" i="16"/>
  <c r="AG22" i="16"/>
  <c r="AF22" i="16"/>
  <c r="AD22" i="16"/>
  <c r="AH21" i="16"/>
  <c r="AG21" i="16"/>
  <c r="AF21" i="16"/>
  <c r="AD21" i="16"/>
  <c r="B21" i="16"/>
  <c r="AH20" i="16"/>
  <c r="AG20" i="16"/>
  <c r="AF20" i="16"/>
  <c r="AD20" i="16"/>
  <c r="AD23" i="16" s="1"/>
  <c r="B20" i="16"/>
  <c r="AH19" i="16"/>
  <c r="AG19" i="16"/>
  <c r="AF19" i="16"/>
  <c r="AD19" i="16"/>
  <c r="B19" i="16"/>
  <c r="C17" i="16"/>
  <c r="C26" i="16"/>
  <c r="C35" i="16" s="1"/>
  <c r="C46" i="16" s="1"/>
  <c r="C55" i="16" s="1"/>
  <c r="C64" i="16" s="1"/>
  <c r="AG15" i="16"/>
  <c r="AF15" i="16"/>
  <c r="AF78" i="16" s="1"/>
  <c r="AF87" i="16" s="1"/>
  <c r="AC14" i="16"/>
  <c r="AB14" i="16"/>
  <c r="AA14" i="16"/>
  <c r="Z14" i="16"/>
  <c r="Y14" i="16"/>
  <c r="X14" i="16"/>
  <c r="U14" i="16"/>
  <c r="T14" i="16"/>
  <c r="S14" i="16"/>
  <c r="S15" i="16"/>
  <c r="R14" i="16"/>
  <c r="R15" i="16" s="1"/>
  <c r="R78" i="16" s="1"/>
  <c r="Q14" i="16"/>
  <c r="Q15" i="16"/>
  <c r="P14" i="16"/>
  <c r="P15" i="16"/>
  <c r="O14" i="16"/>
  <c r="N14" i="16"/>
  <c r="N74" i="16" s="1"/>
  <c r="M14" i="16"/>
  <c r="L14" i="16"/>
  <c r="L75" i="16"/>
  <c r="K14" i="16"/>
  <c r="J14" i="16"/>
  <c r="J79" i="16" s="1"/>
  <c r="AH13" i="16"/>
  <c r="AG13" i="16"/>
  <c r="AF13" i="16"/>
  <c r="AD13" i="16"/>
  <c r="B13" i="16"/>
  <c r="B22" i="16" s="1"/>
  <c r="B29" i="16" s="1"/>
  <c r="AH12" i="16"/>
  <c r="AG12" i="16"/>
  <c r="AG14" i="16" s="1"/>
  <c r="AF12" i="16"/>
  <c r="AD12" i="16"/>
  <c r="B12" i="16"/>
  <c r="AH11" i="16"/>
  <c r="AG11" i="16"/>
  <c r="AF11" i="16"/>
  <c r="AD11" i="16"/>
  <c r="B11" i="16"/>
  <c r="AH10" i="16"/>
  <c r="AG10" i="16"/>
  <c r="AF10" i="16"/>
  <c r="AD10" i="16"/>
  <c r="B10" i="16"/>
  <c r="T42" i="16"/>
  <c r="T44" i="16" s="1"/>
  <c r="AC87" i="16"/>
  <c r="O43" i="16"/>
  <c r="Y43" i="16"/>
  <c r="AC43" i="16"/>
  <c r="AF71" i="16"/>
  <c r="AF80" i="16"/>
  <c r="AG71" i="16"/>
  <c r="AG80" i="16" s="1"/>
  <c r="AG89" i="16" s="1"/>
  <c r="AF52" i="16"/>
  <c r="AH53" i="16"/>
  <c r="P74" i="16"/>
  <c r="P98" i="16" s="1"/>
  <c r="AG77" i="16"/>
  <c r="Z85" i="16"/>
  <c r="T83" i="16"/>
  <c r="T85" i="16"/>
  <c r="S43" i="16"/>
  <c r="S42" i="16"/>
  <c r="S77" i="16"/>
  <c r="S75" i="16"/>
  <c r="AH23" i="16"/>
  <c r="AC85" i="16"/>
  <c r="Y87" i="16"/>
  <c r="N43" i="16"/>
  <c r="X43" i="16"/>
  <c r="AG44" i="16"/>
  <c r="AE52" i="16"/>
  <c r="AF23" i="16"/>
  <c r="Y84" i="16"/>
  <c r="AC84" i="16"/>
  <c r="AB86" i="16"/>
  <c r="Z87" i="16"/>
  <c r="AE14" i="16"/>
  <c r="AG61" i="16"/>
  <c r="T84" i="16"/>
  <c r="F100" i="16"/>
  <c r="H100" i="16"/>
  <c r="T87" i="16"/>
  <c r="M72" i="16"/>
  <c r="AE41" i="16"/>
  <c r="AD70" i="16"/>
  <c r="AH70" i="16"/>
  <c r="I100" i="16"/>
  <c r="AF33" i="16"/>
  <c r="AF76" i="16" s="1"/>
  <c r="X76" i="16"/>
  <c r="X85" i="16"/>
  <c r="P43" i="16"/>
  <c r="O85" i="16"/>
  <c r="Y85" i="16"/>
  <c r="Y89" i="16"/>
  <c r="AC89" i="16"/>
  <c r="AC83" i="16"/>
  <c r="G100" i="16"/>
  <c r="Z43" i="16"/>
  <c r="AG32" i="16"/>
  <c r="AF41" i="16"/>
  <c r="AD41" i="16"/>
  <c r="AH41" i="16"/>
  <c r="U43" i="16"/>
  <c r="AA43" i="16"/>
  <c r="N42" i="16"/>
  <c r="AG52" i="16"/>
  <c r="L62" i="16"/>
  <c r="O89" i="16"/>
  <c r="Y86" i="16"/>
  <c r="AC86" i="16"/>
  <c r="X87" i="16"/>
  <c r="AB87" i="16"/>
  <c r="O83" i="16"/>
  <c r="O94" i="16"/>
  <c r="AB89" i="16"/>
  <c r="X86" i="16"/>
  <c r="L43" i="16"/>
  <c r="T43" i="16"/>
  <c r="K43" i="16"/>
  <c r="AG23" i="16"/>
  <c r="AE23" i="16"/>
  <c r="AE32" i="16"/>
  <c r="AG41" i="16"/>
  <c r="P42" i="16"/>
  <c r="P44" i="16"/>
  <c r="AE61" i="16"/>
  <c r="AE88" i="16"/>
  <c r="O84" i="16"/>
  <c r="X84" i="16"/>
  <c r="AB84" i="16"/>
  <c r="AB85" i="16"/>
  <c r="Z86" i="16"/>
  <c r="K24" i="16"/>
  <c r="L24" i="16"/>
  <c r="L76" i="16"/>
  <c r="L94" i="16" s="1"/>
  <c r="K53" i="16"/>
  <c r="K76" i="16"/>
  <c r="K78" i="16"/>
  <c r="K96" i="16" s="1"/>
  <c r="AF14" i="16"/>
  <c r="AD14" i="16"/>
  <c r="AH14" i="16"/>
  <c r="N75" i="16"/>
  <c r="N84" i="16"/>
  <c r="Q76" i="16"/>
  <c r="N78" i="16"/>
  <c r="N96" i="16"/>
  <c r="L53" i="16"/>
  <c r="R74" i="16"/>
  <c r="R83" i="16" s="1"/>
  <c r="J89" i="16"/>
  <c r="J80" i="16"/>
  <c r="M77" i="16"/>
  <c r="M86" i="16" s="1"/>
  <c r="M43" i="16"/>
  <c r="P78" i="16"/>
  <c r="P87" i="16" s="1"/>
  <c r="AD53" i="16"/>
  <c r="M78" i="16"/>
  <c r="M96" i="16" s="1"/>
  <c r="Q78" i="16"/>
  <c r="O88" i="16"/>
  <c r="O79" i="16"/>
  <c r="O97" i="16"/>
  <c r="Q88" i="16"/>
  <c r="Q79" i="16"/>
  <c r="Q80" i="16"/>
  <c r="AD15" i="16"/>
  <c r="AD74" i="16" s="1"/>
  <c r="Q43" i="16"/>
  <c r="Q42" i="16"/>
  <c r="N88" i="16"/>
  <c r="N62" i="16"/>
  <c r="N79" i="16"/>
  <c r="N97" i="16" s="1"/>
  <c r="AG70" i="16"/>
  <c r="M75" i="16"/>
  <c r="M84" i="16" s="1"/>
  <c r="M74" i="16"/>
  <c r="Q75" i="16"/>
  <c r="Q84" i="16" s="1"/>
  <c r="Q74" i="16"/>
  <c r="P76" i="16"/>
  <c r="P85" i="16" s="1"/>
  <c r="AD61" i="16"/>
  <c r="AD88" i="16" s="1"/>
  <c r="AH61" i="16"/>
  <c r="AE70" i="16"/>
  <c r="N98" i="16"/>
  <c r="N83" i="16"/>
  <c r="K88" i="16"/>
  <c r="K79" i="16"/>
  <c r="AG79" i="16"/>
  <c r="K89" i="16"/>
  <c r="K80" i="16"/>
  <c r="P80" i="16"/>
  <c r="L74" i="16"/>
  <c r="U89" i="16"/>
  <c r="K74" i="16"/>
  <c r="K95" i="16" s="1"/>
  <c r="K72" i="16"/>
  <c r="K75" i="16"/>
  <c r="AF74" i="16"/>
  <c r="AF83" i="16"/>
  <c r="AF75" i="16"/>
  <c r="AF84" i="16" s="1"/>
  <c r="M76" i="16"/>
  <c r="K33" i="16"/>
  <c r="AG76" i="16"/>
  <c r="AG85" i="16" s="1"/>
  <c r="AF77" i="16"/>
  <c r="J78" i="16"/>
  <c r="AG78" i="16"/>
  <c r="L79" i="16"/>
  <c r="L89" i="16"/>
  <c r="L80" i="16"/>
  <c r="U84" i="16"/>
  <c r="AA84" i="16"/>
  <c r="U86" i="16"/>
  <c r="AA86" i="16"/>
  <c r="L78" i="16"/>
  <c r="U87" i="16"/>
  <c r="AA87" i="16"/>
  <c r="U85" i="16"/>
  <c r="L88" i="16"/>
  <c r="AA89" i="16"/>
  <c r="J74" i="16"/>
  <c r="J83" i="16" s="1"/>
  <c r="P75" i="16"/>
  <c r="AG74" i="16"/>
  <c r="AG87" i="16" s="1"/>
  <c r="AG75" i="16"/>
  <c r="AG93" i="16" s="1"/>
  <c r="L33" i="16"/>
  <c r="L77" i="16"/>
  <c r="L86" i="16" s="1"/>
  <c r="AF44" i="16"/>
  <c r="K62" i="16"/>
  <c r="P79" i="16"/>
  <c r="P97" i="16" s="1"/>
  <c r="L72" i="16"/>
  <c r="O95" i="16"/>
  <c r="O86" i="16"/>
  <c r="M79" i="16"/>
  <c r="T89" i="16"/>
  <c r="Z89" i="16"/>
  <c r="AA85" i="16"/>
  <c r="P88" i="16"/>
  <c r="M89" i="16"/>
  <c r="O93" i="16"/>
  <c r="S100" i="15"/>
  <c r="V100" i="15"/>
  <c r="W100" i="15"/>
  <c r="X100" i="15"/>
  <c r="Y100" i="15"/>
  <c r="Z100" i="15"/>
  <c r="AA100" i="15"/>
  <c r="AB100" i="15"/>
  <c r="AC100" i="15"/>
  <c r="T77" i="16"/>
  <c r="T86" i="16"/>
  <c r="AF43" i="16"/>
  <c r="P83" i="16"/>
  <c r="P77" i="16"/>
  <c r="AG88" i="16"/>
  <c r="AE42" i="16"/>
  <c r="S44" i="16"/>
  <c r="N93" i="16"/>
  <c r="AE43" i="16"/>
  <c r="Q85" i="16"/>
  <c r="N44" i="16"/>
  <c r="AG43" i="16"/>
  <c r="L97" i="16"/>
  <c r="AF86" i="16"/>
  <c r="N87" i="16"/>
  <c r="K83" i="16"/>
  <c r="K97" i="16"/>
  <c r="P94" i="16"/>
  <c r="Q93" i="16"/>
  <c r="AG96" i="16"/>
  <c r="AG94" i="16"/>
  <c r="L98" i="16"/>
  <c r="L83" i="16"/>
  <c r="M98" i="16"/>
  <c r="M83" i="16"/>
  <c r="Q96" i="16"/>
  <c r="Q87" i="16"/>
  <c r="L95" i="16"/>
  <c r="L93" i="16"/>
  <c r="L100" i="16"/>
  <c r="M93" i="16"/>
  <c r="Q89" i="16"/>
  <c r="M87" i="16"/>
  <c r="AF85" i="16"/>
  <c r="M95" i="16"/>
  <c r="AG84" i="16"/>
  <c r="AG98" i="16"/>
  <c r="AG83" i="16"/>
  <c r="AF89" i="16"/>
  <c r="AG95" i="16"/>
  <c r="M97" i="16"/>
  <c r="P93" i="16"/>
  <c r="L96" i="16"/>
  <c r="L87" i="16"/>
  <c r="M94" i="16"/>
  <c r="M85" i="16"/>
  <c r="AG97" i="16"/>
  <c r="Q98" i="16"/>
  <c r="Q83" i="16"/>
  <c r="L84" i="16"/>
  <c r="Q94" i="16"/>
  <c r="Q97" i="16"/>
  <c r="I110" i="15"/>
  <c r="H110" i="15"/>
  <c r="G110" i="15"/>
  <c r="F110" i="15"/>
  <c r="I109" i="15"/>
  <c r="H109" i="15"/>
  <c r="G109" i="15"/>
  <c r="F109" i="15"/>
  <c r="I108" i="15"/>
  <c r="H108" i="15"/>
  <c r="G108" i="15"/>
  <c r="F108" i="15"/>
  <c r="I107" i="15"/>
  <c r="H107" i="15"/>
  <c r="G107" i="15"/>
  <c r="F107" i="15"/>
  <c r="I106" i="15"/>
  <c r="H106" i="15"/>
  <c r="G106" i="15"/>
  <c r="F106" i="15"/>
  <c r="I105" i="15"/>
  <c r="H105" i="15"/>
  <c r="G105" i="15"/>
  <c r="F105" i="15"/>
  <c r="AG104" i="15"/>
  <c r="AE104" i="15"/>
  <c r="AD104" i="15"/>
  <c r="Q104" i="15"/>
  <c r="P104" i="15"/>
  <c r="O104" i="15"/>
  <c r="N104" i="15"/>
  <c r="M104" i="15"/>
  <c r="L104" i="15"/>
  <c r="K104" i="15"/>
  <c r="I104" i="15"/>
  <c r="H104" i="15"/>
  <c r="G104" i="15"/>
  <c r="F104" i="15"/>
  <c r="I101" i="15"/>
  <c r="H101" i="15"/>
  <c r="G101" i="15"/>
  <c r="F101" i="15"/>
  <c r="J100" i="15"/>
  <c r="I100" i="15"/>
  <c r="H100" i="15"/>
  <c r="G100" i="15"/>
  <c r="F100" i="15"/>
  <c r="I99" i="15"/>
  <c r="H99" i="15"/>
  <c r="G99" i="15"/>
  <c r="F99" i="15"/>
  <c r="I98" i="15"/>
  <c r="H98" i="15"/>
  <c r="G98" i="15"/>
  <c r="F98" i="15"/>
  <c r="I97" i="15"/>
  <c r="H97" i="15"/>
  <c r="G97" i="15"/>
  <c r="F97" i="15"/>
  <c r="I96" i="15"/>
  <c r="H96" i="15"/>
  <c r="G96" i="15"/>
  <c r="F96" i="15"/>
  <c r="I95" i="15"/>
  <c r="H95" i="15"/>
  <c r="G95" i="15"/>
  <c r="F95" i="15"/>
  <c r="AC92" i="15"/>
  <c r="AB92" i="15"/>
  <c r="AA92" i="15"/>
  <c r="Z92" i="15"/>
  <c r="Y92" i="15"/>
  <c r="X92" i="15"/>
  <c r="W92" i="15"/>
  <c r="V92" i="15"/>
  <c r="S92" i="15"/>
  <c r="AC91" i="15"/>
  <c r="AB91" i="15"/>
  <c r="AA91" i="15"/>
  <c r="Z91" i="15"/>
  <c r="Y91" i="15"/>
  <c r="X91" i="15"/>
  <c r="W91" i="15"/>
  <c r="V91" i="15"/>
  <c r="S91" i="15"/>
  <c r="AC90" i="15"/>
  <c r="AB90" i="15"/>
  <c r="Z90" i="15"/>
  <c r="Y90" i="15"/>
  <c r="W90" i="15"/>
  <c r="V90" i="15"/>
  <c r="S90" i="15"/>
  <c r="S99" i="15" s="1"/>
  <c r="AC89" i="15"/>
  <c r="AB89" i="15"/>
  <c r="AA89" i="15"/>
  <c r="Z89" i="15"/>
  <c r="Y89" i="15"/>
  <c r="O89" i="15"/>
  <c r="AC88" i="15"/>
  <c r="AB88" i="15"/>
  <c r="AA88" i="15"/>
  <c r="Y88" i="15"/>
  <c r="Y97" i="15" s="1"/>
  <c r="W88" i="15"/>
  <c r="S88" i="15"/>
  <c r="O88" i="15"/>
  <c r="AC87" i="15"/>
  <c r="AB87" i="15"/>
  <c r="AA87" i="15"/>
  <c r="Z87" i="15"/>
  <c r="Y87" i="15"/>
  <c r="X87" i="15"/>
  <c r="W87" i="15"/>
  <c r="V87" i="15"/>
  <c r="S87" i="15"/>
  <c r="O87" i="15"/>
  <c r="AC86" i="15"/>
  <c r="AC95" i="15" s="1"/>
  <c r="AB86" i="15"/>
  <c r="AA86" i="15"/>
  <c r="AA95" i="15" s="1"/>
  <c r="Z86" i="15"/>
  <c r="Y86" i="15"/>
  <c r="Y95" i="15"/>
  <c r="X86" i="15"/>
  <c r="X101" i="15" s="1"/>
  <c r="W86" i="15"/>
  <c r="V86" i="15"/>
  <c r="S86" i="15"/>
  <c r="O86" i="15"/>
  <c r="O110" i="15" s="1"/>
  <c r="AG83" i="15"/>
  <c r="AF83" i="15"/>
  <c r="AE83" i="15"/>
  <c r="N83" i="15"/>
  <c r="AC82" i="15"/>
  <c r="AB82" i="15"/>
  <c r="AA82" i="15"/>
  <c r="Z82" i="15"/>
  <c r="Y82" i="15"/>
  <c r="X82" i="15"/>
  <c r="W82" i="15"/>
  <c r="V82" i="15"/>
  <c r="S82" i="15"/>
  <c r="R82" i="15"/>
  <c r="R83" i="15"/>
  <c r="Q82" i="15"/>
  <c r="Q83" i="15"/>
  <c r="P82" i="15"/>
  <c r="P83" i="15" s="1"/>
  <c r="O82" i="15"/>
  <c r="O83" i="15" s="1"/>
  <c r="O92" i="15" s="1"/>
  <c r="M82" i="15"/>
  <c r="M92" i="15" s="1"/>
  <c r="L82" i="15"/>
  <c r="L92" i="15"/>
  <c r="K82" i="15"/>
  <c r="K101" i="15"/>
  <c r="J82" i="15"/>
  <c r="J101" i="15" s="1"/>
  <c r="AH81" i="15"/>
  <c r="AG81" i="15"/>
  <c r="AF81" i="15"/>
  <c r="AE81" i="15"/>
  <c r="AD81" i="15"/>
  <c r="B81" i="15"/>
  <c r="AH80" i="15"/>
  <c r="AG80" i="15"/>
  <c r="AF80" i="15"/>
  <c r="AE80" i="15"/>
  <c r="AD80" i="15"/>
  <c r="B80" i="15"/>
  <c r="AH79" i="15"/>
  <c r="AG79" i="15"/>
  <c r="AF79" i="15"/>
  <c r="AE79" i="15"/>
  <c r="AD79" i="15"/>
  <c r="AH78" i="15"/>
  <c r="AG78" i="15"/>
  <c r="AF78" i="15"/>
  <c r="AE78" i="15"/>
  <c r="AD78" i="15"/>
  <c r="B78" i="15"/>
  <c r="U75" i="15"/>
  <c r="T75" i="15"/>
  <c r="J75" i="15"/>
  <c r="AG72" i="15"/>
  <c r="AF72" i="15"/>
  <c r="AE72" i="15"/>
  <c r="AC71" i="15"/>
  <c r="AB71" i="15"/>
  <c r="AA71" i="15"/>
  <c r="Z71" i="15"/>
  <c r="Y71" i="15"/>
  <c r="X71" i="15"/>
  <c r="W71" i="15"/>
  <c r="V71" i="15"/>
  <c r="S71" i="15"/>
  <c r="R71" i="15"/>
  <c r="R72" i="15" s="1"/>
  <c r="R100" i="15" s="1"/>
  <c r="Q71" i="15"/>
  <c r="Q72" i="15"/>
  <c r="Q100" i="15"/>
  <c r="P71" i="15"/>
  <c r="P72" i="15"/>
  <c r="O71" i="15"/>
  <c r="O72" i="15" s="1"/>
  <c r="N71" i="15"/>
  <c r="N100" i="15" s="1"/>
  <c r="M71" i="15"/>
  <c r="M100" i="15"/>
  <c r="L71" i="15"/>
  <c r="L100" i="15"/>
  <c r="K71" i="15"/>
  <c r="AH70" i="15"/>
  <c r="AG70" i="15"/>
  <c r="AF70" i="15"/>
  <c r="AE70" i="15"/>
  <c r="AD70" i="15"/>
  <c r="B70" i="15"/>
  <c r="AH69" i="15"/>
  <c r="AG69" i="15"/>
  <c r="AF69" i="15"/>
  <c r="AE69" i="15"/>
  <c r="AD69" i="15"/>
  <c r="B69" i="15"/>
  <c r="AH68" i="15"/>
  <c r="AG68" i="15"/>
  <c r="AF68" i="15"/>
  <c r="AE68" i="15"/>
  <c r="AD68" i="15"/>
  <c r="B68" i="15"/>
  <c r="AH67" i="15"/>
  <c r="AG67" i="15"/>
  <c r="AF67" i="15"/>
  <c r="AE67" i="15"/>
  <c r="AD67" i="15"/>
  <c r="B67" i="15"/>
  <c r="U64" i="15"/>
  <c r="T64" i="15"/>
  <c r="J64" i="15"/>
  <c r="AE61" i="15"/>
  <c r="AC60" i="15"/>
  <c r="AB60" i="15"/>
  <c r="AA60" i="15"/>
  <c r="Z60" i="15"/>
  <c r="Y60" i="15"/>
  <c r="X60" i="15"/>
  <c r="X90" i="15"/>
  <c r="W60" i="15"/>
  <c r="V60" i="15"/>
  <c r="S60" i="15"/>
  <c r="R60" i="15"/>
  <c r="R61" i="15" s="1"/>
  <c r="Q60" i="15"/>
  <c r="Q61" i="15"/>
  <c r="P60" i="15"/>
  <c r="P61" i="15"/>
  <c r="O60" i="15"/>
  <c r="O61" i="15" s="1"/>
  <c r="N60" i="15"/>
  <c r="N61" i="15" s="1"/>
  <c r="M60" i="15"/>
  <c r="K60" i="15"/>
  <c r="J60" i="15"/>
  <c r="F60" i="15"/>
  <c r="AH59" i="15"/>
  <c r="AG59" i="15"/>
  <c r="AF59" i="15"/>
  <c r="AE59" i="15"/>
  <c r="AD59" i="15"/>
  <c r="B59" i="15"/>
  <c r="AH58" i="15"/>
  <c r="AG58" i="15"/>
  <c r="AF58" i="15"/>
  <c r="AE58" i="15"/>
  <c r="AD58" i="15"/>
  <c r="B58" i="15"/>
  <c r="B79" i="15"/>
  <c r="AH57" i="15"/>
  <c r="AG57" i="15"/>
  <c r="AF57" i="15"/>
  <c r="AE57" i="15"/>
  <c r="AD57" i="15"/>
  <c r="B57" i="15"/>
  <c r="AH56" i="15"/>
  <c r="AG56" i="15"/>
  <c r="AF56" i="15"/>
  <c r="AE56" i="15"/>
  <c r="AD56" i="15"/>
  <c r="B56" i="15"/>
  <c r="U53" i="15"/>
  <c r="T53" i="15"/>
  <c r="J53" i="15"/>
  <c r="AI50" i="15"/>
  <c r="AC50" i="15"/>
  <c r="AB50" i="15"/>
  <c r="Z50" i="15"/>
  <c r="Y50" i="15"/>
  <c r="Q47" i="15"/>
  <c r="Q48" i="15"/>
  <c r="AG48" i="15"/>
  <c r="AG50" i="15" s="1"/>
  <c r="AF48" i="15"/>
  <c r="X89" i="15"/>
  <c r="W89" i="15"/>
  <c r="AC47" i="15"/>
  <c r="AB47" i="15"/>
  <c r="AA47" i="15"/>
  <c r="Z47" i="15"/>
  <c r="Y47" i="15"/>
  <c r="X47" i="15"/>
  <c r="W47" i="15"/>
  <c r="W49" i="15"/>
  <c r="V47" i="15"/>
  <c r="S47" i="15"/>
  <c r="R47" i="15"/>
  <c r="R48" i="15" s="1"/>
  <c r="P47" i="15"/>
  <c r="P48" i="15"/>
  <c r="O47" i="15"/>
  <c r="N47" i="15"/>
  <c r="M47" i="15"/>
  <c r="L47" i="15"/>
  <c r="K47" i="15"/>
  <c r="J47" i="15"/>
  <c r="AH46" i="15"/>
  <c r="AG46" i="15"/>
  <c r="AF46" i="15"/>
  <c r="AE46" i="15"/>
  <c r="AD46" i="15"/>
  <c r="B46" i="15"/>
  <c r="AH45" i="15"/>
  <c r="AG45" i="15"/>
  <c r="AF45" i="15"/>
  <c r="AE45" i="15"/>
  <c r="AD45" i="15"/>
  <c r="B45" i="15"/>
  <c r="AH44" i="15"/>
  <c r="AG44" i="15"/>
  <c r="AF44" i="15"/>
  <c r="AE44" i="15"/>
  <c r="AD44" i="15"/>
  <c r="AH43" i="15"/>
  <c r="AG43" i="15"/>
  <c r="AF43" i="15"/>
  <c r="AE43" i="15"/>
  <c r="AD43" i="15"/>
  <c r="B43" i="15"/>
  <c r="U40" i="15"/>
  <c r="T40" i="15"/>
  <c r="J40" i="15"/>
  <c r="AG37" i="15"/>
  <c r="AC36" i="15"/>
  <c r="AB36" i="15"/>
  <c r="AA36" i="15"/>
  <c r="Z36" i="15"/>
  <c r="Z37" i="15" s="1"/>
  <c r="Z88" i="15" s="1"/>
  <c r="Y36" i="15"/>
  <c r="X36" i="15"/>
  <c r="X37" i="15"/>
  <c r="W36" i="15"/>
  <c r="V36" i="15"/>
  <c r="V37" i="15"/>
  <c r="AE37" i="15" s="1"/>
  <c r="S36" i="15"/>
  <c r="R36" i="15"/>
  <c r="R37" i="15" s="1"/>
  <c r="Q36" i="15"/>
  <c r="Q37" i="15"/>
  <c r="P36" i="15"/>
  <c r="P37" i="15"/>
  <c r="O36" i="15"/>
  <c r="N36" i="15"/>
  <c r="N37" i="15"/>
  <c r="M36" i="15"/>
  <c r="L36" i="15"/>
  <c r="K36" i="15"/>
  <c r="J36" i="15"/>
  <c r="F36" i="15"/>
  <c r="AH35" i="15"/>
  <c r="AG35" i="15"/>
  <c r="AF35" i="15"/>
  <c r="AE35" i="15"/>
  <c r="AD35" i="15"/>
  <c r="B35" i="15"/>
  <c r="AH34" i="15"/>
  <c r="AG34" i="15"/>
  <c r="AF34" i="15"/>
  <c r="AE34" i="15"/>
  <c r="AD34" i="15"/>
  <c r="B34" i="15"/>
  <c r="AH33" i="15"/>
  <c r="AG33" i="15"/>
  <c r="AF33" i="15"/>
  <c r="AF32" i="15"/>
  <c r="AE33" i="15"/>
  <c r="AD33" i="15"/>
  <c r="AH32" i="15"/>
  <c r="AG32" i="15"/>
  <c r="AE32" i="15"/>
  <c r="AD32" i="15"/>
  <c r="B32" i="15"/>
  <c r="B44" i="15"/>
  <c r="J29" i="15"/>
  <c r="AG26" i="15"/>
  <c r="AF26" i="15"/>
  <c r="AE26" i="15"/>
  <c r="AC25" i="15"/>
  <c r="AB25" i="15"/>
  <c r="AA25" i="15"/>
  <c r="Z25" i="15"/>
  <c r="Y25" i="15"/>
  <c r="X25" i="15"/>
  <c r="W25" i="15"/>
  <c r="V25" i="15"/>
  <c r="S25" i="15"/>
  <c r="R25" i="15"/>
  <c r="R26" i="15" s="1"/>
  <c r="Q25" i="15"/>
  <c r="Q26" i="15" s="1"/>
  <c r="P25" i="15"/>
  <c r="P26" i="15"/>
  <c r="O25" i="15"/>
  <c r="N25" i="15"/>
  <c r="N26" i="15"/>
  <c r="M25" i="15"/>
  <c r="AH24" i="15"/>
  <c r="AG24" i="15"/>
  <c r="AF24" i="15"/>
  <c r="AE24" i="15"/>
  <c r="AD24" i="15"/>
  <c r="AH23" i="15"/>
  <c r="AG23" i="15"/>
  <c r="AF23" i="15"/>
  <c r="AE23" i="15"/>
  <c r="AD23" i="15"/>
  <c r="B23" i="15"/>
  <c r="AH22" i="15"/>
  <c r="AG22" i="15"/>
  <c r="AF22" i="15"/>
  <c r="AE22" i="15"/>
  <c r="AD22" i="15"/>
  <c r="B22" i="15"/>
  <c r="AH21" i="15"/>
  <c r="AG21" i="15"/>
  <c r="AF21" i="15"/>
  <c r="AE21" i="15"/>
  <c r="AD21" i="15"/>
  <c r="B21" i="15"/>
  <c r="C19" i="15"/>
  <c r="C30" i="15"/>
  <c r="C41" i="15" s="1"/>
  <c r="C54" i="15" s="1"/>
  <c r="C65" i="15" s="1"/>
  <c r="C76" i="15" s="1"/>
  <c r="J18" i="15"/>
  <c r="C17" i="15"/>
  <c r="C28" i="15" s="1"/>
  <c r="C39" i="15"/>
  <c r="C52" i="15" s="1"/>
  <c r="C63" i="15" s="1"/>
  <c r="C74" i="15" s="1"/>
  <c r="AG15" i="15"/>
  <c r="AG92" i="15"/>
  <c r="AF15" i="15"/>
  <c r="AE15" i="15"/>
  <c r="AE86" i="15"/>
  <c r="AC14" i="15"/>
  <c r="AB14" i="15"/>
  <c r="AA14" i="15"/>
  <c r="Z14" i="15"/>
  <c r="Y14" i="15"/>
  <c r="X14" i="15"/>
  <c r="W14" i="15"/>
  <c r="V14" i="15"/>
  <c r="S14" i="15"/>
  <c r="R14" i="15"/>
  <c r="R15" i="15"/>
  <c r="Q14" i="15"/>
  <c r="Q15" i="15"/>
  <c r="P14" i="15"/>
  <c r="P15" i="15" s="1"/>
  <c r="O14" i="15"/>
  <c r="N14" i="15"/>
  <c r="N15" i="15" s="1"/>
  <c r="M14" i="15"/>
  <c r="M86" i="15" s="1"/>
  <c r="L14" i="15"/>
  <c r="L87" i="15"/>
  <c r="K14" i="15"/>
  <c r="K91" i="15"/>
  <c r="J14" i="15"/>
  <c r="J86" i="15" s="1"/>
  <c r="J95" i="15" s="1"/>
  <c r="AH13" i="15"/>
  <c r="AG13" i="15"/>
  <c r="AF13" i="15"/>
  <c r="AE13" i="15"/>
  <c r="AD13" i="15"/>
  <c r="B13" i="15"/>
  <c r="B24" i="15" s="1"/>
  <c r="B33" i="15" s="1"/>
  <c r="AH12" i="15"/>
  <c r="AG12" i="15"/>
  <c r="AF12" i="15"/>
  <c r="AE12" i="15"/>
  <c r="AD12" i="15"/>
  <c r="B12" i="15"/>
  <c r="AH11" i="15"/>
  <c r="AG11" i="15"/>
  <c r="AF11" i="15"/>
  <c r="AE11" i="15"/>
  <c r="AD11" i="15"/>
  <c r="B11" i="15"/>
  <c r="AH10" i="15"/>
  <c r="AG10" i="15"/>
  <c r="AF10" i="15"/>
  <c r="AE10" i="15"/>
  <c r="AD10" i="15"/>
  <c r="B10" i="15"/>
  <c r="AE92" i="15"/>
  <c r="AE101" i="15" s="1"/>
  <c r="AA96" i="15"/>
  <c r="AA98" i="15"/>
  <c r="Y101" i="15"/>
  <c r="V89" i="15"/>
  <c r="V50" i="15"/>
  <c r="AA90" i="15"/>
  <c r="AA99" i="15" s="1"/>
  <c r="AG61" i="15"/>
  <c r="AA50" i="15"/>
  <c r="W50" i="15"/>
  <c r="X50" i="15"/>
  <c r="AF61" i="15"/>
  <c r="K100" i="15"/>
  <c r="J92" i="15"/>
  <c r="N48" i="15"/>
  <c r="N89" i="15"/>
  <c r="I110" i="14"/>
  <c r="H110" i="14"/>
  <c r="G110" i="14"/>
  <c r="F110" i="14"/>
  <c r="I109" i="14"/>
  <c r="H109" i="14"/>
  <c r="G109" i="14"/>
  <c r="F109" i="14"/>
  <c r="I108" i="14"/>
  <c r="H108" i="14"/>
  <c r="G108" i="14"/>
  <c r="F108" i="14"/>
  <c r="I107" i="14"/>
  <c r="H107" i="14"/>
  <c r="G107" i="14"/>
  <c r="F107" i="14"/>
  <c r="I106" i="14"/>
  <c r="H106" i="14"/>
  <c r="G106" i="14"/>
  <c r="F106" i="14"/>
  <c r="I105" i="14"/>
  <c r="H105" i="14"/>
  <c r="G105" i="14"/>
  <c r="F105" i="14"/>
  <c r="AG104" i="14"/>
  <c r="AE104" i="14"/>
  <c r="AD104" i="14"/>
  <c r="Q104" i="14"/>
  <c r="P104" i="14"/>
  <c r="O104" i="14"/>
  <c r="N104" i="14"/>
  <c r="M104" i="14"/>
  <c r="L104" i="14"/>
  <c r="K104" i="14"/>
  <c r="I104" i="14"/>
  <c r="H104" i="14"/>
  <c r="G104" i="14"/>
  <c r="F104" i="14"/>
  <c r="I101" i="14"/>
  <c r="H101" i="14"/>
  <c r="G101" i="14"/>
  <c r="F101" i="14"/>
  <c r="U100" i="14"/>
  <c r="R100" i="14"/>
  <c r="J100" i="14"/>
  <c r="I100" i="14"/>
  <c r="H100" i="14"/>
  <c r="G100" i="14"/>
  <c r="F100" i="14"/>
  <c r="I99" i="14"/>
  <c r="H99" i="14"/>
  <c r="G99" i="14"/>
  <c r="F99" i="14"/>
  <c r="I98" i="14"/>
  <c r="H98" i="14"/>
  <c r="G98" i="14"/>
  <c r="F98" i="14"/>
  <c r="I97" i="14"/>
  <c r="H97" i="14"/>
  <c r="G97" i="14"/>
  <c r="F97" i="14"/>
  <c r="I96" i="14"/>
  <c r="H96" i="14"/>
  <c r="G96" i="14"/>
  <c r="F96" i="14"/>
  <c r="I95" i="14"/>
  <c r="H95" i="14"/>
  <c r="G95" i="14"/>
  <c r="F95" i="14"/>
  <c r="X92" i="14"/>
  <c r="W92" i="14"/>
  <c r="V92" i="14"/>
  <c r="U92" i="14"/>
  <c r="R92" i="14"/>
  <c r="R101" i="14" s="1"/>
  <c r="W91" i="14"/>
  <c r="V91" i="14"/>
  <c r="U91" i="14"/>
  <c r="R91" i="14"/>
  <c r="X90" i="14"/>
  <c r="W90" i="14"/>
  <c r="V90" i="14"/>
  <c r="U90" i="14"/>
  <c r="R90" i="14"/>
  <c r="X89" i="14"/>
  <c r="W89" i="14"/>
  <c r="V89" i="14"/>
  <c r="U89" i="14"/>
  <c r="R89" i="14"/>
  <c r="O89" i="14"/>
  <c r="X88" i="14"/>
  <c r="W88" i="14"/>
  <c r="V88" i="14"/>
  <c r="V97" i="14"/>
  <c r="U88" i="14"/>
  <c r="R88" i="14"/>
  <c r="O88" i="14"/>
  <c r="X87" i="14"/>
  <c r="W87" i="14"/>
  <c r="V87" i="14"/>
  <c r="U87" i="14"/>
  <c r="R87" i="14"/>
  <c r="R96" i="14" s="1"/>
  <c r="O87" i="14"/>
  <c r="X86" i="14"/>
  <c r="X95" i="14" s="1"/>
  <c r="W86" i="14"/>
  <c r="V86" i="14"/>
  <c r="V95" i="14" s="1"/>
  <c r="U86" i="14"/>
  <c r="U99" i="14"/>
  <c r="R86" i="14"/>
  <c r="R95" i="14"/>
  <c r="O86" i="14"/>
  <c r="AG83" i="14"/>
  <c r="AF83" i="14"/>
  <c r="AE83" i="14"/>
  <c r="N83" i="14"/>
  <c r="AC82" i="14"/>
  <c r="AB82" i="14"/>
  <c r="AA82" i="14"/>
  <c r="Z82" i="14"/>
  <c r="Y82" i="14"/>
  <c r="X82" i="14"/>
  <c r="W82" i="14"/>
  <c r="V82" i="14"/>
  <c r="U82" i="14"/>
  <c r="R82" i="14"/>
  <c r="Q82" i="14"/>
  <c r="Q83" i="14" s="1"/>
  <c r="P82" i="14"/>
  <c r="P83" i="14"/>
  <c r="AD83" i="14" s="1"/>
  <c r="O82" i="14"/>
  <c r="O83" i="14"/>
  <c r="O92" i="14"/>
  <c r="M82" i="14"/>
  <c r="M101" i="14"/>
  <c r="L82" i="14"/>
  <c r="L101" i="14" s="1"/>
  <c r="K82" i="14"/>
  <c r="J82" i="14"/>
  <c r="J101" i="14"/>
  <c r="AH81" i="14"/>
  <c r="AG81" i="14"/>
  <c r="AF81" i="14"/>
  <c r="AE81" i="14"/>
  <c r="AD81" i="14"/>
  <c r="B81" i="14"/>
  <c r="AH80" i="14"/>
  <c r="AG80" i="14"/>
  <c r="AF80" i="14"/>
  <c r="AE80" i="14"/>
  <c r="AD80" i="14"/>
  <c r="B80" i="14"/>
  <c r="AH79" i="14"/>
  <c r="AG79" i="14"/>
  <c r="AF79" i="14"/>
  <c r="AE79" i="14"/>
  <c r="AD79" i="14"/>
  <c r="AH78" i="14"/>
  <c r="AG78" i="14"/>
  <c r="AF78" i="14"/>
  <c r="AE78" i="14"/>
  <c r="AD78" i="14"/>
  <c r="B78" i="14"/>
  <c r="T75" i="14"/>
  <c r="S75" i="14"/>
  <c r="J75" i="14"/>
  <c r="AE72" i="14"/>
  <c r="AC71" i="14"/>
  <c r="AC100" i="14" s="1"/>
  <c r="AB71" i="14"/>
  <c r="AA71" i="14"/>
  <c r="AA100" i="14"/>
  <c r="Z71" i="14"/>
  <c r="Z100" i="14" s="1"/>
  <c r="Y71" i="14"/>
  <c r="Y100" i="14" s="1"/>
  <c r="X71" i="14"/>
  <c r="X72" i="14"/>
  <c r="X91" i="14" s="1"/>
  <c r="W71" i="14"/>
  <c r="W100" i="14"/>
  <c r="V71" i="14"/>
  <c r="V100" i="14"/>
  <c r="U71" i="14"/>
  <c r="R71" i="14"/>
  <c r="Q71" i="14"/>
  <c r="Q72" i="14" s="1"/>
  <c r="P71" i="14"/>
  <c r="P72" i="14"/>
  <c r="P100" i="14" s="1"/>
  <c r="O71" i="14"/>
  <c r="O72" i="14" s="1"/>
  <c r="O100" i="14" s="1"/>
  <c r="N71" i="14"/>
  <c r="M71" i="14"/>
  <c r="L71" i="14"/>
  <c r="L100" i="14"/>
  <c r="K71" i="14"/>
  <c r="K100" i="14"/>
  <c r="AH70" i="14"/>
  <c r="AG70" i="14"/>
  <c r="AF70" i="14"/>
  <c r="AE70" i="14"/>
  <c r="AD70" i="14"/>
  <c r="B70" i="14"/>
  <c r="AH69" i="14"/>
  <c r="AG69" i="14"/>
  <c r="AF69" i="14"/>
  <c r="AE69" i="14"/>
  <c r="AD69" i="14"/>
  <c r="B69" i="14"/>
  <c r="AH68" i="14"/>
  <c r="AG68" i="14"/>
  <c r="AF68" i="14"/>
  <c r="AE68" i="14"/>
  <c r="AD68" i="14"/>
  <c r="B68" i="14"/>
  <c r="AH67" i="14"/>
  <c r="AG67" i="14"/>
  <c r="AF67" i="14"/>
  <c r="AE67" i="14"/>
  <c r="AD67" i="14"/>
  <c r="B67" i="14"/>
  <c r="T64" i="14"/>
  <c r="S64" i="14"/>
  <c r="J64" i="14"/>
  <c r="AF61" i="14"/>
  <c r="AE61" i="14"/>
  <c r="T61" i="14"/>
  <c r="S61" i="14"/>
  <c r="AC60" i="14"/>
  <c r="AB60" i="14"/>
  <c r="AA60" i="14"/>
  <c r="Z60" i="14"/>
  <c r="Y60" i="14"/>
  <c r="X60" i="14"/>
  <c r="W60" i="14"/>
  <c r="V60" i="14"/>
  <c r="U60" i="14"/>
  <c r="R60" i="14"/>
  <c r="Q60" i="14"/>
  <c r="Q61" i="14"/>
  <c r="P60" i="14"/>
  <c r="P61" i="14"/>
  <c r="O60" i="14"/>
  <c r="O61" i="14" s="1"/>
  <c r="N60" i="14"/>
  <c r="N61" i="14" s="1"/>
  <c r="M60" i="14"/>
  <c r="K60" i="14"/>
  <c r="J60" i="14"/>
  <c r="F60" i="14"/>
  <c r="AH59" i="14"/>
  <c r="AG59" i="14"/>
  <c r="AF59" i="14"/>
  <c r="AE59" i="14"/>
  <c r="AD59" i="14"/>
  <c r="B59" i="14"/>
  <c r="AH58" i="14"/>
  <c r="AG58" i="14"/>
  <c r="AF58" i="14"/>
  <c r="AE58" i="14"/>
  <c r="AD58" i="14"/>
  <c r="B58" i="14"/>
  <c r="B79" i="14"/>
  <c r="AH57" i="14"/>
  <c r="AG57" i="14"/>
  <c r="AF57" i="14"/>
  <c r="AE57" i="14"/>
  <c r="AD57" i="14"/>
  <c r="B57" i="14"/>
  <c r="AH56" i="14"/>
  <c r="AG56" i="14"/>
  <c r="AF56" i="14"/>
  <c r="AE56" i="14"/>
  <c r="AD56" i="14"/>
  <c r="B56" i="14"/>
  <c r="T53" i="14"/>
  <c r="S53" i="14"/>
  <c r="J53" i="14"/>
  <c r="AI50" i="14"/>
  <c r="AC50" i="14"/>
  <c r="AB50" i="14"/>
  <c r="Z50" i="14"/>
  <c r="Y50" i="14"/>
  <c r="X50" i="14"/>
  <c r="W50" i="14"/>
  <c r="V50" i="14"/>
  <c r="U50" i="14"/>
  <c r="R50" i="14"/>
  <c r="AG48" i="14"/>
  <c r="AF48" i="14"/>
  <c r="AF50" i="14" s="1"/>
  <c r="AE48" i="14"/>
  <c r="AC47" i="14"/>
  <c r="AB47" i="14"/>
  <c r="AA47" i="14"/>
  <c r="Z47" i="14"/>
  <c r="Y47" i="14"/>
  <c r="X47" i="14"/>
  <c r="W47" i="14"/>
  <c r="V47" i="14"/>
  <c r="V49" i="14" s="1"/>
  <c r="U47" i="14"/>
  <c r="R47" i="14"/>
  <c r="Q47" i="14"/>
  <c r="Q48" i="14"/>
  <c r="P47" i="14"/>
  <c r="O47" i="14"/>
  <c r="N47" i="14"/>
  <c r="N49" i="14" s="1"/>
  <c r="M47" i="14"/>
  <c r="M49" i="14" s="1"/>
  <c r="L47" i="14"/>
  <c r="K47" i="14"/>
  <c r="J47" i="14"/>
  <c r="AH46" i="14"/>
  <c r="AG46" i="14"/>
  <c r="AF46" i="14"/>
  <c r="AE46" i="14"/>
  <c r="AD46" i="14"/>
  <c r="B46" i="14"/>
  <c r="AH45" i="14"/>
  <c r="AG45" i="14"/>
  <c r="AF45" i="14"/>
  <c r="AE45" i="14"/>
  <c r="AD45" i="14"/>
  <c r="B45" i="14"/>
  <c r="AH44" i="14"/>
  <c r="AG44" i="14"/>
  <c r="AF44" i="14"/>
  <c r="AE44" i="14"/>
  <c r="AD44" i="14"/>
  <c r="AH43" i="14"/>
  <c r="AG43" i="14"/>
  <c r="AF43" i="14"/>
  <c r="AE43" i="14"/>
  <c r="AD43" i="14"/>
  <c r="B43" i="14"/>
  <c r="T40" i="14"/>
  <c r="S40" i="14"/>
  <c r="J40" i="14"/>
  <c r="AG37" i="14"/>
  <c r="AF37" i="14"/>
  <c r="AE37" i="14"/>
  <c r="AC36" i="14"/>
  <c r="AB36" i="14"/>
  <c r="AA36" i="14"/>
  <c r="Z36" i="14"/>
  <c r="Y36" i="14"/>
  <c r="X36" i="14"/>
  <c r="W36" i="14"/>
  <c r="V36" i="14"/>
  <c r="U36" i="14"/>
  <c r="R36" i="14"/>
  <c r="Q36" i="14"/>
  <c r="Q37" i="14"/>
  <c r="P36" i="14"/>
  <c r="P37" i="14" s="1"/>
  <c r="O36" i="14"/>
  <c r="N36" i="14"/>
  <c r="N37" i="14"/>
  <c r="M36" i="14"/>
  <c r="L36" i="14"/>
  <c r="K36" i="14"/>
  <c r="J36" i="14"/>
  <c r="F36" i="14"/>
  <c r="AH35" i="14"/>
  <c r="AG35" i="14"/>
  <c r="AF35" i="14"/>
  <c r="AE35" i="14"/>
  <c r="AD35" i="14"/>
  <c r="B35" i="14"/>
  <c r="AH34" i="14"/>
  <c r="AG34" i="14"/>
  <c r="AF34" i="14"/>
  <c r="AE34" i="14"/>
  <c r="AD34" i="14"/>
  <c r="B34" i="14"/>
  <c r="AH33" i="14"/>
  <c r="AG33" i="14"/>
  <c r="AF33" i="14"/>
  <c r="AE33" i="14"/>
  <c r="AD33" i="14"/>
  <c r="AH32" i="14"/>
  <c r="AG32" i="14"/>
  <c r="AF32" i="14"/>
  <c r="AE32" i="14"/>
  <c r="AD32" i="14"/>
  <c r="B32" i="14"/>
  <c r="B44" i="14" s="1"/>
  <c r="J29" i="14"/>
  <c r="AG26" i="14"/>
  <c r="AF26" i="14"/>
  <c r="AE26" i="14"/>
  <c r="AC25" i="14"/>
  <c r="AB25" i="14"/>
  <c r="AA25" i="14"/>
  <c r="Z25" i="14"/>
  <c r="Y25" i="14"/>
  <c r="X25" i="14"/>
  <c r="W25" i="14"/>
  <c r="V25" i="14"/>
  <c r="U25" i="14"/>
  <c r="R25" i="14"/>
  <c r="Q25" i="14"/>
  <c r="Q26" i="14" s="1"/>
  <c r="P25" i="14"/>
  <c r="P26" i="14" s="1"/>
  <c r="O25" i="14"/>
  <c r="N25" i="14"/>
  <c r="N26" i="14" s="1"/>
  <c r="M25" i="14"/>
  <c r="AH24" i="14"/>
  <c r="AG24" i="14"/>
  <c r="AF24" i="14"/>
  <c r="AE24" i="14"/>
  <c r="AD24" i="14"/>
  <c r="AH23" i="14"/>
  <c r="AG23" i="14"/>
  <c r="AF23" i="14"/>
  <c r="AE23" i="14"/>
  <c r="AD23" i="14"/>
  <c r="B23" i="14"/>
  <c r="AH22" i="14"/>
  <c r="AG22" i="14"/>
  <c r="AF22" i="14"/>
  <c r="AE22" i="14"/>
  <c r="AD22" i="14"/>
  <c r="B22" i="14"/>
  <c r="AH21" i="14"/>
  <c r="AG21" i="14"/>
  <c r="AF21" i="14"/>
  <c r="AE21" i="14"/>
  <c r="AD21" i="14"/>
  <c r="B21" i="14"/>
  <c r="C19" i="14"/>
  <c r="C30" i="14" s="1"/>
  <c r="C41" i="14" s="1"/>
  <c r="C54" i="14" s="1"/>
  <c r="C65" i="14" s="1"/>
  <c r="C76" i="14" s="1"/>
  <c r="J18" i="14"/>
  <c r="C17" i="14"/>
  <c r="C28" i="14"/>
  <c r="C39" i="14" s="1"/>
  <c r="C52" i="14" s="1"/>
  <c r="C63" i="14" s="1"/>
  <c r="C74" i="14" s="1"/>
  <c r="AE15" i="14"/>
  <c r="AE88" i="14"/>
  <c r="AC14" i="14"/>
  <c r="AC15" i="14"/>
  <c r="AC92" i="14" s="1"/>
  <c r="AB14" i="14"/>
  <c r="AB15" i="14" s="1"/>
  <c r="AB89" i="14" s="1"/>
  <c r="AA14" i="14"/>
  <c r="AA15" i="14"/>
  <c r="AA88" i="14"/>
  <c r="Z14" i="14"/>
  <c r="Z15" i="14"/>
  <c r="Y14" i="14"/>
  <c r="Y15" i="14" s="1"/>
  <c r="Y92" i="14" s="1"/>
  <c r="X14" i="14"/>
  <c r="W14" i="14"/>
  <c r="V14" i="14"/>
  <c r="U14" i="14"/>
  <c r="R14" i="14"/>
  <c r="Q14" i="14"/>
  <c r="Q15" i="14" s="1"/>
  <c r="Q89" i="14" s="1"/>
  <c r="P14" i="14"/>
  <c r="P15" i="14" s="1"/>
  <c r="O14" i="14"/>
  <c r="N14" i="14"/>
  <c r="N15" i="14" s="1"/>
  <c r="M14" i="14"/>
  <c r="M84" i="14"/>
  <c r="L14" i="14"/>
  <c r="L61" i="14" s="1"/>
  <c r="K14" i="14"/>
  <c r="J14" i="14"/>
  <c r="J90" i="14" s="1"/>
  <c r="J86" i="14"/>
  <c r="AH13" i="14"/>
  <c r="AG13" i="14"/>
  <c r="AF13" i="14"/>
  <c r="AE13" i="14"/>
  <c r="AD13" i="14"/>
  <c r="B13" i="14"/>
  <c r="B24" i="14" s="1"/>
  <c r="B33" i="14" s="1"/>
  <c r="AH12" i="14"/>
  <c r="AG12" i="14"/>
  <c r="AF12" i="14"/>
  <c r="AE12" i="14"/>
  <c r="AD12" i="14"/>
  <c r="B12" i="14"/>
  <c r="AH11" i="14"/>
  <c r="AG11" i="14"/>
  <c r="AF11" i="14"/>
  <c r="AE11" i="14"/>
  <c r="AD11" i="14"/>
  <c r="B11" i="14"/>
  <c r="AH10" i="14"/>
  <c r="AG10" i="14"/>
  <c r="AF10" i="14"/>
  <c r="AE10" i="14"/>
  <c r="AD10" i="14"/>
  <c r="B10" i="14"/>
  <c r="S89" i="15"/>
  <c r="AE48" i="15"/>
  <c r="S50" i="15"/>
  <c r="AF50" i="15"/>
  <c r="J91" i="14"/>
  <c r="N86" i="14"/>
  <c r="AE92" i="14"/>
  <c r="P48" i="14"/>
  <c r="AF72" i="14"/>
  <c r="M100" i="14"/>
  <c r="O95" i="14"/>
  <c r="I110" i="13"/>
  <c r="H110" i="13"/>
  <c r="G110" i="13"/>
  <c r="F110" i="13"/>
  <c r="I109" i="13"/>
  <c r="H109" i="13"/>
  <c r="G109" i="13"/>
  <c r="F109" i="13"/>
  <c r="I108" i="13"/>
  <c r="H108" i="13"/>
  <c r="G108" i="13"/>
  <c r="F108" i="13"/>
  <c r="I107" i="13"/>
  <c r="H107" i="13"/>
  <c r="G107" i="13"/>
  <c r="F107" i="13"/>
  <c r="I106" i="13"/>
  <c r="H106" i="13"/>
  <c r="G106" i="13"/>
  <c r="F106" i="13"/>
  <c r="I105" i="13"/>
  <c r="H105" i="13"/>
  <c r="G105" i="13"/>
  <c r="F105" i="13"/>
  <c r="AG104" i="13"/>
  <c r="AE104" i="13"/>
  <c r="AD104" i="13"/>
  <c r="Q104" i="13"/>
  <c r="P104" i="13"/>
  <c r="O104" i="13"/>
  <c r="N104" i="13"/>
  <c r="M104" i="13"/>
  <c r="L104" i="13"/>
  <c r="K104" i="13"/>
  <c r="I104" i="13"/>
  <c r="H104" i="13"/>
  <c r="G104" i="13"/>
  <c r="F104" i="13"/>
  <c r="I101" i="13"/>
  <c r="H101" i="13"/>
  <c r="G101" i="13"/>
  <c r="F101" i="13"/>
  <c r="J100" i="13"/>
  <c r="I100" i="13"/>
  <c r="H100" i="13"/>
  <c r="G100" i="13"/>
  <c r="F100" i="13"/>
  <c r="I99" i="13"/>
  <c r="H99" i="13"/>
  <c r="G99" i="13"/>
  <c r="F99" i="13"/>
  <c r="I98" i="13"/>
  <c r="H98" i="13"/>
  <c r="G98" i="13"/>
  <c r="F98" i="13"/>
  <c r="I97" i="13"/>
  <c r="H97" i="13"/>
  <c r="G97" i="13"/>
  <c r="F97" i="13"/>
  <c r="I96" i="13"/>
  <c r="H96" i="13"/>
  <c r="G96" i="13"/>
  <c r="F96" i="13"/>
  <c r="I95" i="13"/>
  <c r="H95" i="13"/>
  <c r="G95" i="13"/>
  <c r="F95" i="13"/>
  <c r="Y92" i="13"/>
  <c r="X92" i="13"/>
  <c r="W90" i="13"/>
  <c r="X89" i="13"/>
  <c r="X98" i="13" s="1"/>
  <c r="W89" i="13"/>
  <c r="O89" i="13"/>
  <c r="Y88" i="13"/>
  <c r="X88" i="13"/>
  <c r="W88" i="13"/>
  <c r="V88" i="13"/>
  <c r="U88" i="13"/>
  <c r="O88" i="13"/>
  <c r="O97" i="13" s="1"/>
  <c r="O87" i="13"/>
  <c r="Y86" i="13"/>
  <c r="X86" i="13"/>
  <c r="X95" i="13"/>
  <c r="W86" i="13"/>
  <c r="W95" i="13" s="1"/>
  <c r="V86" i="13"/>
  <c r="V95" i="13"/>
  <c r="U86" i="13"/>
  <c r="U95" i="13"/>
  <c r="R86" i="13"/>
  <c r="R95" i="13" s="1"/>
  <c r="O86" i="13"/>
  <c r="AG83" i="13"/>
  <c r="AF83" i="13"/>
  <c r="N83" i="13"/>
  <c r="AC82" i="13"/>
  <c r="AB82" i="13"/>
  <c r="AA82" i="13"/>
  <c r="Z82" i="13"/>
  <c r="Y82" i="13"/>
  <c r="X82" i="13"/>
  <c r="W82" i="13"/>
  <c r="W83" i="13"/>
  <c r="W92" i="13" s="1"/>
  <c r="V82" i="13"/>
  <c r="V83" i="13" s="1"/>
  <c r="V92" i="13" s="1"/>
  <c r="U82" i="13"/>
  <c r="U83" i="13" s="1"/>
  <c r="R82" i="13"/>
  <c r="R83" i="13"/>
  <c r="R92" i="13" s="1"/>
  <c r="Q82" i="13"/>
  <c r="Q83" i="13" s="1"/>
  <c r="P82" i="13"/>
  <c r="P83" i="13"/>
  <c r="O82" i="13"/>
  <c r="O83" i="13"/>
  <c r="O92" i="13"/>
  <c r="M82" i="13"/>
  <c r="M101" i="13"/>
  <c r="L82" i="13"/>
  <c r="L101" i="13"/>
  <c r="K82" i="13"/>
  <c r="J82" i="13"/>
  <c r="AH81" i="13"/>
  <c r="AG81" i="13"/>
  <c r="AF81" i="13"/>
  <c r="AE81" i="13"/>
  <c r="AD81" i="13"/>
  <c r="B81" i="13"/>
  <c r="AH80" i="13"/>
  <c r="AG80" i="13"/>
  <c r="AF80" i="13"/>
  <c r="AE80" i="13"/>
  <c r="AD80" i="13"/>
  <c r="B80" i="13"/>
  <c r="AH79" i="13"/>
  <c r="AG79" i="13"/>
  <c r="AF79" i="13"/>
  <c r="AE79" i="13"/>
  <c r="AD79" i="13"/>
  <c r="AH78" i="13"/>
  <c r="AG78" i="13"/>
  <c r="AF78" i="13"/>
  <c r="AE78" i="13"/>
  <c r="AD78" i="13"/>
  <c r="B78" i="13"/>
  <c r="T75" i="13"/>
  <c r="S75" i="13"/>
  <c r="J75" i="13"/>
  <c r="AC71" i="13"/>
  <c r="AC100" i="13"/>
  <c r="AB71" i="13"/>
  <c r="AA71" i="13"/>
  <c r="AA100" i="13"/>
  <c r="Z71" i="13"/>
  <c r="Z100" i="13" s="1"/>
  <c r="Y71" i="13"/>
  <c r="X71" i="13"/>
  <c r="X100" i="13"/>
  <c r="W71" i="13"/>
  <c r="W100" i="13" s="1"/>
  <c r="V71" i="13"/>
  <c r="V100" i="13" s="1"/>
  <c r="U71" i="13"/>
  <c r="U72" i="13"/>
  <c r="R71" i="13"/>
  <c r="R72" i="13"/>
  <c r="R100" i="13" s="1"/>
  <c r="Q71" i="13"/>
  <c r="Q72" i="13"/>
  <c r="Q100" i="13" s="1"/>
  <c r="P71" i="13"/>
  <c r="P72" i="13"/>
  <c r="P100" i="13" s="1"/>
  <c r="O71" i="13"/>
  <c r="O72" i="13" s="1"/>
  <c r="N71" i="13"/>
  <c r="N100" i="13"/>
  <c r="M71" i="13"/>
  <c r="L71" i="13"/>
  <c r="K71" i="13"/>
  <c r="AH70" i="13"/>
  <c r="AG70" i="13"/>
  <c r="AF70" i="13"/>
  <c r="AE70" i="13"/>
  <c r="AD70" i="13"/>
  <c r="B70" i="13"/>
  <c r="AH69" i="13"/>
  <c r="AG69" i="13"/>
  <c r="AF69" i="13"/>
  <c r="AE69" i="13"/>
  <c r="AD69" i="13"/>
  <c r="B69" i="13"/>
  <c r="AH68" i="13"/>
  <c r="AG68" i="13"/>
  <c r="AF68" i="13"/>
  <c r="AE68" i="13"/>
  <c r="AD68" i="13"/>
  <c r="B68" i="13"/>
  <c r="AH67" i="13"/>
  <c r="AG67" i="13"/>
  <c r="AF67" i="13"/>
  <c r="AE67" i="13"/>
  <c r="AD67" i="13"/>
  <c r="B67" i="13"/>
  <c r="T64" i="13"/>
  <c r="S64" i="13"/>
  <c r="J64" i="13"/>
  <c r="AG61" i="13"/>
  <c r="AC60" i="13"/>
  <c r="AB60" i="13"/>
  <c r="AA60" i="13"/>
  <c r="Z60" i="13"/>
  <c r="Z61" i="13" s="1"/>
  <c r="Y60" i="13"/>
  <c r="Y61" i="13"/>
  <c r="X60" i="13"/>
  <c r="W60" i="13"/>
  <c r="V60" i="13"/>
  <c r="V61" i="13" s="1"/>
  <c r="V90" i="13" s="1"/>
  <c r="U60" i="13"/>
  <c r="R60" i="13"/>
  <c r="R61" i="13"/>
  <c r="Q60" i="13"/>
  <c r="P60" i="13"/>
  <c r="P61" i="13"/>
  <c r="O60" i="13"/>
  <c r="N60" i="13"/>
  <c r="N61" i="13" s="1"/>
  <c r="M60" i="13"/>
  <c r="K60" i="13"/>
  <c r="J60" i="13"/>
  <c r="F60" i="13"/>
  <c r="AH59" i="13"/>
  <c r="AG59" i="13"/>
  <c r="AF59" i="13"/>
  <c r="AE59" i="13"/>
  <c r="AD59" i="13"/>
  <c r="B59" i="13"/>
  <c r="AH58" i="13"/>
  <c r="AG58" i="13"/>
  <c r="AF58" i="13"/>
  <c r="AE58" i="13"/>
  <c r="AD58" i="13"/>
  <c r="B58" i="13"/>
  <c r="B79" i="13"/>
  <c r="AH57" i="13"/>
  <c r="AG57" i="13"/>
  <c r="AF57" i="13"/>
  <c r="AE57" i="13"/>
  <c r="AD57" i="13"/>
  <c r="B57" i="13"/>
  <c r="AH56" i="13"/>
  <c r="AG56" i="13"/>
  <c r="AF56" i="13"/>
  <c r="AE56" i="13"/>
  <c r="AD56" i="13"/>
  <c r="B56" i="13"/>
  <c r="T53" i="13"/>
  <c r="S53" i="13"/>
  <c r="J53" i="13"/>
  <c r="AI50" i="13"/>
  <c r="AC50" i="13"/>
  <c r="AB50" i="13"/>
  <c r="AA50" i="13"/>
  <c r="W50" i="13"/>
  <c r="AG48" i="13"/>
  <c r="AC47" i="13"/>
  <c r="AB47" i="13"/>
  <c r="AA47" i="13"/>
  <c r="AA49" i="13" s="1"/>
  <c r="Z47" i="13"/>
  <c r="Z48" i="13"/>
  <c r="Y47" i="13"/>
  <c r="Y48" i="13"/>
  <c r="X47" i="13"/>
  <c r="W47" i="13"/>
  <c r="V47" i="13"/>
  <c r="V48" i="13" s="1"/>
  <c r="U47" i="13"/>
  <c r="U48" i="13"/>
  <c r="U89" i="13"/>
  <c r="U98" i="13" s="1"/>
  <c r="R47" i="13"/>
  <c r="R48" i="13" s="1"/>
  <c r="Q47" i="13"/>
  <c r="Q48" i="13" s="1"/>
  <c r="P47" i="13"/>
  <c r="P49" i="13" s="1"/>
  <c r="O47" i="13"/>
  <c r="N47" i="13"/>
  <c r="M47" i="13"/>
  <c r="L47" i="13"/>
  <c r="K47" i="13"/>
  <c r="J47" i="13"/>
  <c r="AH46" i="13"/>
  <c r="AG46" i="13"/>
  <c r="AF46" i="13"/>
  <c r="AE46" i="13"/>
  <c r="AD46" i="13"/>
  <c r="B46" i="13"/>
  <c r="AH45" i="13"/>
  <c r="AG45" i="13"/>
  <c r="AF45" i="13"/>
  <c r="AE45" i="13"/>
  <c r="AD45" i="13"/>
  <c r="B45" i="13"/>
  <c r="AH44" i="13"/>
  <c r="AG44" i="13"/>
  <c r="AF44" i="13"/>
  <c r="AE44" i="13"/>
  <c r="AD44" i="13"/>
  <c r="AH43" i="13"/>
  <c r="AG43" i="13"/>
  <c r="AF43" i="13"/>
  <c r="AE43" i="13"/>
  <c r="AD43" i="13"/>
  <c r="B43" i="13"/>
  <c r="T40" i="13"/>
  <c r="S40" i="13"/>
  <c r="J40" i="13"/>
  <c r="AE37" i="13"/>
  <c r="AC36" i="13"/>
  <c r="AC37" i="13"/>
  <c r="AB36" i="13"/>
  <c r="AB37" i="13" s="1"/>
  <c r="AA36" i="13"/>
  <c r="AA37" i="13"/>
  <c r="Z36" i="13"/>
  <c r="Z37" i="13" s="1"/>
  <c r="Y36" i="13"/>
  <c r="X36" i="13"/>
  <c r="W36" i="13"/>
  <c r="V36" i="13"/>
  <c r="U36" i="13"/>
  <c r="R36" i="13"/>
  <c r="R37" i="13"/>
  <c r="Q36" i="13"/>
  <c r="Q37" i="13"/>
  <c r="P36" i="13"/>
  <c r="P37" i="13" s="1"/>
  <c r="O36" i="13"/>
  <c r="N36" i="13"/>
  <c r="N37" i="13"/>
  <c r="M36" i="13"/>
  <c r="M88" i="13" s="1"/>
  <c r="L36" i="13"/>
  <c r="K36" i="13"/>
  <c r="J36" i="13"/>
  <c r="F36" i="13"/>
  <c r="AH35" i="13"/>
  <c r="AG35" i="13"/>
  <c r="AF35" i="13"/>
  <c r="AE35" i="13"/>
  <c r="AD35" i="13"/>
  <c r="B35" i="13"/>
  <c r="AH34" i="13"/>
  <c r="AG34" i="13"/>
  <c r="AF34" i="13"/>
  <c r="AE34" i="13"/>
  <c r="AD34" i="13"/>
  <c r="B34" i="13"/>
  <c r="AH33" i="13"/>
  <c r="AG33" i="13"/>
  <c r="AF33" i="13"/>
  <c r="AE33" i="13"/>
  <c r="AD33" i="13"/>
  <c r="AH32" i="13"/>
  <c r="AG32" i="13"/>
  <c r="AF32" i="13"/>
  <c r="AE32" i="13"/>
  <c r="AD32" i="13"/>
  <c r="B32" i="13"/>
  <c r="B44" i="13" s="1"/>
  <c r="J29" i="13"/>
  <c r="AC25" i="13"/>
  <c r="AC26" i="13" s="1"/>
  <c r="AB25" i="13"/>
  <c r="AB26" i="13" s="1"/>
  <c r="AA25" i="13"/>
  <c r="AA26" i="13" s="1"/>
  <c r="Z25" i="13"/>
  <c r="Z26" i="13"/>
  <c r="Y25" i="13"/>
  <c r="Y26" i="13" s="1"/>
  <c r="Y87" i="13" s="1"/>
  <c r="Y96" i="13" s="1"/>
  <c r="X25" i="13"/>
  <c r="X26" i="13"/>
  <c r="X87" i="13" s="1"/>
  <c r="X96" i="13" s="1"/>
  <c r="W25" i="13"/>
  <c r="W26" i="13"/>
  <c r="W87" i="13"/>
  <c r="W96" i="13" s="1"/>
  <c r="V25" i="13"/>
  <c r="V26" i="13"/>
  <c r="U25" i="13"/>
  <c r="U26" i="13"/>
  <c r="R25" i="13"/>
  <c r="R26" i="13" s="1"/>
  <c r="Q25" i="13"/>
  <c r="Q26" i="13" s="1"/>
  <c r="P25" i="13"/>
  <c r="P26" i="13"/>
  <c r="O25" i="13"/>
  <c r="N25" i="13"/>
  <c r="N26" i="13" s="1"/>
  <c r="M25" i="13"/>
  <c r="AH24" i="13"/>
  <c r="AG24" i="13"/>
  <c r="AF24" i="13"/>
  <c r="AE24" i="13"/>
  <c r="AD24" i="13"/>
  <c r="AH23" i="13"/>
  <c r="AG23" i="13"/>
  <c r="AF23" i="13"/>
  <c r="AE23" i="13"/>
  <c r="AD23" i="13"/>
  <c r="B23" i="13"/>
  <c r="AH22" i="13"/>
  <c r="AG22" i="13"/>
  <c r="AF22" i="13"/>
  <c r="AE22" i="13"/>
  <c r="AD22" i="13"/>
  <c r="B22" i="13"/>
  <c r="AH21" i="13"/>
  <c r="AG21" i="13"/>
  <c r="AF21" i="13"/>
  <c r="AE21" i="13"/>
  <c r="AD21" i="13"/>
  <c r="B21" i="13"/>
  <c r="C19" i="13"/>
  <c r="C30" i="13"/>
  <c r="C41" i="13" s="1"/>
  <c r="C54" i="13" s="1"/>
  <c r="C65" i="13" s="1"/>
  <c r="C76" i="13" s="1"/>
  <c r="J18" i="13"/>
  <c r="C17" i="13"/>
  <c r="C28" i="13"/>
  <c r="C39" i="13"/>
  <c r="C52" i="13" s="1"/>
  <c r="C63" i="13" s="1"/>
  <c r="C74" i="13"/>
  <c r="AE15" i="13"/>
  <c r="AE86" i="13"/>
  <c r="AE95" i="13" s="1"/>
  <c r="AC14" i="13"/>
  <c r="AC15" i="13"/>
  <c r="AB14" i="13"/>
  <c r="AB15" i="13" s="1"/>
  <c r="AA14" i="13"/>
  <c r="AA15" i="13" s="1"/>
  <c r="AA90" i="13" s="1"/>
  <c r="AA99" i="13" s="1"/>
  <c r="Z14" i="13"/>
  <c r="Z15" i="13"/>
  <c r="Y14" i="13"/>
  <c r="X14" i="13"/>
  <c r="W14" i="13"/>
  <c r="V14" i="13"/>
  <c r="U14" i="13"/>
  <c r="R14" i="13"/>
  <c r="Q14" i="13"/>
  <c r="Q15" i="13" s="1"/>
  <c r="P14" i="13"/>
  <c r="P15" i="13" s="1"/>
  <c r="O14" i="13"/>
  <c r="N14" i="13"/>
  <c r="N91" i="13" s="1"/>
  <c r="M14" i="13"/>
  <c r="M91" i="13" s="1"/>
  <c r="M109" i="13" s="1"/>
  <c r="M86" i="13"/>
  <c r="M110" i="13" s="1"/>
  <c r="L14" i="13"/>
  <c r="L90" i="13"/>
  <c r="K14" i="13"/>
  <c r="K87" i="13" s="1"/>
  <c r="J14" i="13"/>
  <c r="AH13" i="13"/>
  <c r="AG13" i="13"/>
  <c r="AF13" i="13"/>
  <c r="AE13" i="13"/>
  <c r="AD13" i="13"/>
  <c r="B13" i="13"/>
  <c r="B24" i="13"/>
  <c r="B33" i="13" s="1"/>
  <c r="AH12" i="13"/>
  <c r="AG12" i="13"/>
  <c r="AF12" i="13"/>
  <c r="AE12" i="13"/>
  <c r="AD12" i="13"/>
  <c r="B12" i="13"/>
  <c r="AH11" i="13"/>
  <c r="AG11" i="13"/>
  <c r="AF11" i="13"/>
  <c r="AE11" i="13"/>
  <c r="AD11" i="13"/>
  <c r="B11" i="13"/>
  <c r="AH10" i="13"/>
  <c r="AG10" i="13"/>
  <c r="AF10" i="13"/>
  <c r="AE10" i="13"/>
  <c r="AD10" i="13"/>
  <c r="B10" i="13"/>
  <c r="I110" i="12"/>
  <c r="H110" i="12"/>
  <c r="G110" i="12"/>
  <c r="F110" i="12"/>
  <c r="I109" i="12"/>
  <c r="H109" i="12"/>
  <c r="G109" i="12"/>
  <c r="F109" i="12"/>
  <c r="I108" i="12"/>
  <c r="H108" i="12"/>
  <c r="G108" i="12"/>
  <c r="F108" i="12"/>
  <c r="I107" i="12"/>
  <c r="H107" i="12"/>
  <c r="G107" i="12"/>
  <c r="F107" i="12"/>
  <c r="I106" i="12"/>
  <c r="H106" i="12"/>
  <c r="G106" i="12"/>
  <c r="F106" i="12"/>
  <c r="I105" i="12"/>
  <c r="H105" i="12"/>
  <c r="G105" i="12"/>
  <c r="F105" i="12"/>
  <c r="AG104" i="12"/>
  <c r="AE104" i="12"/>
  <c r="AD104" i="12"/>
  <c r="Q104" i="12"/>
  <c r="P104" i="12"/>
  <c r="O104" i="12"/>
  <c r="N104" i="12"/>
  <c r="M104" i="12"/>
  <c r="L104" i="12"/>
  <c r="K104" i="12"/>
  <c r="I104" i="12"/>
  <c r="H104" i="12"/>
  <c r="G104" i="12"/>
  <c r="F104" i="12"/>
  <c r="I101" i="12"/>
  <c r="H101" i="12"/>
  <c r="G101" i="12"/>
  <c r="F101" i="12"/>
  <c r="S100" i="12"/>
  <c r="J100" i="12"/>
  <c r="I100" i="12"/>
  <c r="H100" i="12"/>
  <c r="G100" i="12"/>
  <c r="F100" i="12"/>
  <c r="I99" i="12"/>
  <c r="H99" i="12"/>
  <c r="G99" i="12"/>
  <c r="F99" i="12"/>
  <c r="I98" i="12"/>
  <c r="H98" i="12"/>
  <c r="G98" i="12"/>
  <c r="F98" i="12"/>
  <c r="I97" i="12"/>
  <c r="H97" i="12"/>
  <c r="G97" i="12"/>
  <c r="F97" i="12"/>
  <c r="I96" i="12"/>
  <c r="H96" i="12"/>
  <c r="G96" i="12"/>
  <c r="F96" i="12"/>
  <c r="I95" i="12"/>
  <c r="H95" i="12"/>
  <c r="G95" i="12"/>
  <c r="F95" i="12"/>
  <c r="X92" i="12"/>
  <c r="W92" i="12"/>
  <c r="V92" i="12"/>
  <c r="S92" i="12"/>
  <c r="W91" i="12"/>
  <c r="V91" i="12"/>
  <c r="S91" i="12"/>
  <c r="V90" i="12"/>
  <c r="S90" i="12"/>
  <c r="O89" i="12"/>
  <c r="O98" i="12" s="1"/>
  <c r="X88" i="12"/>
  <c r="W88" i="12"/>
  <c r="V88" i="12"/>
  <c r="S88" i="12"/>
  <c r="O88" i="12"/>
  <c r="X87" i="12"/>
  <c r="W87" i="12"/>
  <c r="V87" i="12"/>
  <c r="S87" i="12"/>
  <c r="O87" i="12"/>
  <c r="X86" i="12"/>
  <c r="X95" i="12" s="1"/>
  <c r="W86" i="12"/>
  <c r="V86" i="12"/>
  <c r="V95" i="12" s="1"/>
  <c r="S86" i="12"/>
  <c r="O86" i="12"/>
  <c r="O96" i="12"/>
  <c r="AG83" i="12"/>
  <c r="AF83" i="12"/>
  <c r="AE83" i="12"/>
  <c r="N83" i="12"/>
  <c r="AC82" i="12"/>
  <c r="AB82" i="12"/>
  <c r="AA82" i="12"/>
  <c r="Z82" i="12"/>
  <c r="Y82" i="12"/>
  <c r="X82" i="12"/>
  <c r="W82" i="12"/>
  <c r="V82" i="12"/>
  <c r="S82" i="12"/>
  <c r="R82" i="12"/>
  <c r="R83" i="12" s="1"/>
  <c r="Q82" i="12"/>
  <c r="Q83" i="12" s="1"/>
  <c r="P82" i="12"/>
  <c r="P83" i="12"/>
  <c r="O82" i="12"/>
  <c r="O83" i="12"/>
  <c r="O92" i="12" s="1"/>
  <c r="O101" i="12" s="1"/>
  <c r="M82" i="12"/>
  <c r="M101" i="12" s="1"/>
  <c r="L82" i="12"/>
  <c r="L101" i="12"/>
  <c r="K82" i="12"/>
  <c r="K101" i="12"/>
  <c r="J82" i="12"/>
  <c r="J101" i="12" s="1"/>
  <c r="AH81" i="12"/>
  <c r="AG81" i="12"/>
  <c r="AF81" i="12"/>
  <c r="AE81" i="12"/>
  <c r="AD81" i="12"/>
  <c r="B81" i="12"/>
  <c r="AH80" i="12"/>
  <c r="AG80" i="12"/>
  <c r="AF80" i="12"/>
  <c r="AE80" i="12"/>
  <c r="AD80" i="12"/>
  <c r="B80" i="12"/>
  <c r="AH79" i="12"/>
  <c r="AG79" i="12"/>
  <c r="AF79" i="12"/>
  <c r="AE79" i="12"/>
  <c r="AD79" i="12"/>
  <c r="AH78" i="12"/>
  <c r="AG78" i="12"/>
  <c r="AF78" i="12"/>
  <c r="AE78" i="12"/>
  <c r="AD78" i="12"/>
  <c r="B78" i="12"/>
  <c r="U75" i="12"/>
  <c r="T75" i="12"/>
  <c r="J75" i="12"/>
  <c r="AE72" i="12"/>
  <c r="AC71" i="12"/>
  <c r="AC100" i="12" s="1"/>
  <c r="AB71" i="12"/>
  <c r="AB100" i="12" s="1"/>
  <c r="AA71" i="12"/>
  <c r="AA100" i="12"/>
  <c r="Z71" i="12"/>
  <c r="Z100" i="12" s="1"/>
  <c r="Y71" i="12"/>
  <c r="Y100" i="12" s="1"/>
  <c r="X71" i="12"/>
  <c r="X100" i="12" s="1"/>
  <c r="W71" i="12"/>
  <c r="W100" i="12"/>
  <c r="V71" i="12"/>
  <c r="V100" i="12" s="1"/>
  <c r="S71" i="12"/>
  <c r="R71" i="12"/>
  <c r="R72" i="12"/>
  <c r="R100" i="12" s="1"/>
  <c r="Q71" i="12"/>
  <c r="Q72" i="12"/>
  <c r="P71" i="12"/>
  <c r="P72" i="12" s="1"/>
  <c r="P100" i="12" s="1"/>
  <c r="O71" i="12"/>
  <c r="O72" i="12" s="1"/>
  <c r="N71" i="12"/>
  <c r="N100" i="12" s="1"/>
  <c r="M71" i="12"/>
  <c r="M100" i="12"/>
  <c r="L71" i="12"/>
  <c r="L100" i="12" s="1"/>
  <c r="K71" i="12"/>
  <c r="AH70" i="12"/>
  <c r="AG70" i="12"/>
  <c r="AF70" i="12"/>
  <c r="AE70" i="12"/>
  <c r="AD70" i="12"/>
  <c r="B70" i="12"/>
  <c r="AH69" i="12"/>
  <c r="AG69" i="12"/>
  <c r="AF69" i="12"/>
  <c r="AE69" i="12"/>
  <c r="AD69" i="12"/>
  <c r="B69" i="12"/>
  <c r="AH68" i="12"/>
  <c r="AG68" i="12"/>
  <c r="AF68" i="12"/>
  <c r="AE68" i="12"/>
  <c r="AD68" i="12"/>
  <c r="B68" i="12"/>
  <c r="AH67" i="12"/>
  <c r="AG67" i="12"/>
  <c r="AF67" i="12"/>
  <c r="AE67" i="12"/>
  <c r="AD67" i="12"/>
  <c r="B67" i="12"/>
  <c r="U64" i="12"/>
  <c r="T64" i="12"/>
  <c r="J64" i="12"/>
  <c r="AC60" i="12"/>
  <c r="AB60" i="12"/>
  <c r="AA60" i="12"/>
  <c r="AA61" i="12" s="1"/>
  <c r="Z60" i="12"/>
  <c r="Y60" i="12"/>
  <c r="X60" i="12"/>
  <c r="X61" i="12" s="1"/>
  <c r="X90" i="12" s="1"/>
  <c r="X99" i="12" s="1"/>
  <c r="W60" i="12"/>
  <c r="V60" i="12"/>
  <c r="S60" i="12"/>
  <c r="R60" i="12"/>
  <c r="Q60" i="12"/>
  <c r="Q61" i="12" s="1"/>
  <c r="P60" i="12"/>
  <c r="O60" i="12"/>
  <c r="O61" i="12" s="1"/>
  <c r="N60" i="12"/>
  <c r="N61" i="12"/>
  <c r="M60" i="12"/>
  <c r="K60" i="12"/>
  <c r="J60" i="12"/>
  <c r="F60" i="12"/>
  <c r="AH59" i="12"/>
  <c r="AG59" i="12"/>
  <c r="AF59" i="12"/>
  <c r="AE59" i="12"/>
  <c r="AD59" i="12"/>
  <c r="B59" i="12"/>
  <c r="AH58" i="12"/>
  <c r="AG58" i="12"/>
  <c r="AF58" i="12"/>
  <c r="AE58" i="12"/>
  <c r="AD58" i="12"/>
  <c r="B58" i="12"/>
  <c r="B79" i="12" s="1"/>
  <c r="AH57" i="12"/>
  <c r="AG57" i="12"/>
  <c r="AF57" i="12"/>
  <c r="AE57" i="12"/>
  <c r="AD57" i="12"/>
  <c r="B57" i="12"/>
  <c r="AH56" i="12"/>
  <c r="AH60" i="12" s="1"/>
  <c r="AG56" i="12"/>
  <c r="AF56" i="12"/>
  <c r="AE56" i="12"/>
  <c r="AD56" i="12"/>
  <c r="B56" i="12"/>
  <c r="U53" i="12"/>
  <c r="T53" i="12"/>
  <c r="J53" i="12"/>
  <c r="AI50" i="12"/>
  <c r="AC50" i="12"/>
  <c r="AB50" i="12"/>
  <c r="Z50" i="12"/>
  <c r="AG48" i="12"/>
  <c r="AC47" i="12"/>
  <c r="AB47" i="12"/>
  <c r="AA47" i="12"/>
  <c r="Z47" i="12"/>
  <c r="Y47" i="12"/>
  <c r="X47" i="12"/>
  <c r="W47" i="12"/>
  <c r="W48" i="12"/>
  <c r="W89" i="12" s="1"/>
  <c r="V47" i="12"/>
  <c r="S47" i="12"/>
  <c r="S48" i="12" s="1"/>
  <c r="S50" i="12" s="1"/>
  <c r="R47" i="12"/>
  <c r="R48" i="12" s="1"/>
  <c r="Q47" i="12"/>
  <c r="Q48" i="12" s="1"/>
  <c r="P47" i="12"/>
  <c r="P48" i="12"/>
  <c r="O47" i="12"/>
  <c r="N47" i="12"/>
  <c r="M47" i="12"/>
  <c r="L47" i="12"/>
  <c r="K47" i="12"/>
  <c r="J47" i="12"/>
  <c r="AH46" i="12"/>
  <c r="AG46" i="12"/>
  <c r="AF46" i="12"/>
  <c r="AE46" i="12"/>
  <c r="AD46" i="12"/>
  <c r="B46" i="12"/>
  <c r="AH45" i="12"/>
  <c r="AG45" i="12"/>
  <c r="AF45" i="12"/>
  <c r="AE45" i="12"/>
  <c r="AD45" i="12"/>
  <c r="B45" i="12"/>
  <c r="AH44" i="12"/>
  <c r="AG44" i="12"/>
  <c r="AF44" i="12"/>
  <c r="AE44" i="12"/>
  <c r="AD44" i="12"/>
  <c r="AH43" i="12"/>
  <c r="AG43" i="12"/>
  <c r="AF43" i="12"/>
  <c r="AE43" i="12"/>
  <c r="AD43" i="12"/>
  <c r="B43" i="12"/>
  <c r="U40" i="12"/>
  <c r="T40" i="12"/>
  <c r="J40" i="12"/>
  <c r="AG37" i="12"/>
  <c r="AF37" i="12"/>
  <c r="AE37" i="12"/>
  <c r="AC36" i="12"/>
  <c r="AB36" i="12"/>
  <c r="AA36" i="12"/>
  <c r="Z36" i="12"/>
  <c r="Y36" i="12"/>
  <c r="X36" i="12"/>
  <c r="W36" i="12"/>
  <c r="V36" i="12"/>
  <c r="S36" i="12"/>
  <c r="R36" i="12"/>
  <c r="R37" i="12" s="1"/>
  <c r="Q36" i="12"/>
  <c r="Q37" i="12"/>
  <c r="P36" i="12"/>
  <c r="P37" i="12"/>
  <c r="O36" i="12"/>
  <c r="N36" i="12"/>
  <c r="N37" i="12"/>
  <c r="M36" i="12"/>
  <c r="L36" i="12"/>
  <c r="K36" i="12"/>
  <c r="J36" i="12"/>
  <c r="F36" i="12"/>
  <c r="AH35" i="12"/>
  <c r="AG35" i="12"/>
  <c r="AF35" i="12"/>
  <c r="AE35" i="12"/>
  <c r="AD35" i="12"/>
  <c r="B35" i="12"/>
  <c r="AH34" i="12"/>
  <c r="AG34" i="12"/>
  <c r="AF34" i="12"/>
  <c r="AE34" i="12"/>
  <c r="AD34" i="12"/>
  <c r="B34" i="12"/>
  <c r="AH33" i="12"/>
  <c r="AG33" i="12"/>
  <c r="AF33" i="12"/>
  <c r="AE33" i="12"/>
  <c r="AD33" i="12"/>
  <c r="AH32" i="12"/>
  <c r="AG32" i="12"/>
  <c r="AF32" i="12"/>
  <c r="AE32" i="12"/>
  <c r="AD32" i="12"/>
  <c r="B32" i="12"/>
  <c r="B44" i="12" s="1"/>
  <c r="J29" i="12"/>
  <c r="AG26" i="12"/>
  <c r="AF26" i="12"/>
  <c r="AE26" i="12"/>
  <c r="AC25" i="12"/>
  <c r="AB25" i="12"/>
  <c r="AA25" i="12"/>
  <c r="Z25" i="12"/>
  <c r="Y25" i="12"/>
  <c r="X25" i="12"/>
  <c r="W25" i="12"/>
  <c r="V25" i="12"/>
  <c r="S25" i="12"/>
  <c r="R25" i="12"/>
  <c r="R26" i="12"/>
  <c r="Q25" i="12"/>
  <c r="Q26" i="12"/>
  <c r="P25" i="12"/>
  <c r="P26" i="12" s="1"/>
  <c r="O25" i="12"/>
  <c r="N25" i="12"/>
  <c r="N26" i="12" s="1"/>
  <c r="M25" i="12"/>
  <c r="AH24" i="12"/>
  <c r="AG24" i="12"/>
  <c r="AF24" i="12"/>
  <c r="AE24" i="12"/>
  <c r="AD24" i="12"/>
  <c r="AH23" i="12"/>
  <c r="AG23" i="12"/>
  <c r="AF23" i="12"/>
  <c r="AE23" i="12"/>
  <c r="AD23" i="12"/>
  <c r="B23" i="12"/>
  <c r="AH22" i="12"/>
  <c r="AG22" i="12"/>
  <c r="AF22" i="12"/>
  <c r="AE22" i="12"/>
  <c r="AD22" i="12"/>
  <c r="B22" i="12"/>
  <c r="AH21" i="12"/>
  <c r="AG21" i="12"/>
  <c r="AF21" i="12"/>
  <c r="AE21" i="12"/>
  <c r="AD21" i="12"/>
  <c r="B21" i="12"/>
  <c r="C19" i="12"/>
  <c r="C30" i="12" s="1"/>
  <c r="C41" i="12" s="1"/>
  <c r="C54" i="12" s="1"/>
  <c r="C65" i="12" s="1"/>
  <c r="C76" i="12" s="1"/>
  <c r="J18" i="12"/>
  <c r="C17" i="12"/>
  <c r="C28" i="12"/>
  <c r="C39" i="12" s="1"/>
  <c r="C52" i="12" s="1"/>
  <c r="C63" i="12" s="1"/>
  <c r="C74" i="12" s="1"/>
  <c r="AE15" i="12"/>
  <c r="AC14" i="12"/>
  <c r="AC92" i="12"/>
  <c r="AB14" i="12"/>
  <c r="AB87" i="12"/>
  <c r="AA14" i="12"/>
  <c r="AA91" i="12"/>
  <c r="Z14" i="12"/>
  <c r="Z89" i="12"/>
  <c r="Y14" i="12"/>
  <c r="Y92" i="12"/>
  <c r="X14" i="12"/>
  <c r="W14" i="12"/>
  <c r="V14" i="12"/>
  <c r="S14" i="12"/>
  <c r="R14" i="12"/>
  <c r="R15" i="12" s="1"/>
  <c r="Q14" i="12"/>
  <c r="Q15" i="12" s="1"/>
  <c r="P14" i="12"/>
  <c r="P15" i="12" s="1"/>
  <c r="P86" i="12" s="1"/>
  <c r="P95" i="12" s="1"/>
  <c r="O14" i="12"/>
  <c r="N14" i="12"/>
  <c r="M14" i="12"/>
  <c r="M89" i="12" s="1"/>
  <c r="L14" i="12"/>
  <c r="L61" i="12"/>
  <c r="K14" i="12"/>
  <c r="K37" i="12" s="1"/>
  <c r="J14" i="12"/>
  <c r="AH13" i="12"/>
  <c r="AG13" i="12"/>
  <c r="AF13" i="12"/>
  <c r="AE13" i="12"/>
  <c r="AD13" i="12"/>
  <c r="B13" i="12"/>
  <c r="B24" i="12" s="1"/>
  <c r="B33" i="12"/>
  <c r="AH12" i="12"/>
  <c r="AG12" i="12"/>
  <c r="AF12" i="12"/>
  <c r="AE12" i="12"/>
  <c r="AD12" i="12"/>
  <c r="B12" i="12"/>
  <c r="AH11" i="12"/>
  <c r="AG11" i="12"/>
  <c r="AF11" i="12"/>
  <c r="AE11" i="12"/>
  <c r="AD11" i="12"/>
  <c r="B11" i="12"/>
  <c r="AH10" i="12"/>
  <c r="AG10" i="12"/>
  <c r="AF10" i="12"/>
  <c r="AE10" i="12"/>
  <c r="AD10" i="12"/>
  <c r="B10" i="12"/>
  <c r="O49" i="12"/>
  <c r="AE61" i="12"/>
  <c r="AE71" i="12"/>
  <c r="AE100" i="12" s="1"/>
  <c r="M49" i="12"/>
  <c r="Z92" i="12"/>
  <c r="Z101" i="12" s="1"/>
  <c r="AB86" i="12"/>
  <c r="AA89" i="12"/>
  <c r="Z88" i="12"/>
  <c r="Z90" i="12"/>
  <c r="AF82" i="13"/>
  <c r="Y86" i="12"/>
  <c r="Y95" i="12" s="1"/>
  <c r="AC86" i="12"/>
  <c r="Z87" i="12"/>
  <c r="Z96" i="12"/>
  <c r="AA88" i="12"/>
  <c r="AB89" i="12"/>
  <c r="Y91" i="12"/>
  <c r="AC91" i="12"/>
  <c r="AA92" i="12"/>
  <c r="AG15" i="12"/>
  <c r="Y87" i="12"/>
  <c r="AC87" i="12"/>
  <c r="K86" i="12"/>
  <c r="Z86" i="12"/>
  <c r="Z95" i="12"/>
  <c r="AA87" i="12"/>
  <c r="AB88" i="12"/>
  <c r="Y89" i="12"/>
  <c r="AC89" i="12"/>
  <c r="AB90" i="12"/>
  <c r="Z91" i="12"/>
  <c r="AB92" i="12"/>
  <c r="AF15" i="12"/>
  <c r="K90" i="12"/>
  <c r="AA86" i="12"/>
  <c r="AA95" i="12"/>
  <c r="Y88" i="12"/>
  <c r="AC88" i="12"/>
  <c r="AC97" i="12"/>
  <c r="Y90" i="12"/>
  <c r="AC90" i="12"/>
  <c r="W90" i="12"/>
  <c r="X96" i="12"/>
  <c r="V49" i="13"/>
  <c r="AC49" i="13"/>
  <c r="M106" i="13"/>
  <c r="Z92" i="13"/>
  <c r="AF15" i="13"/>
  <c r="Z86" i="13"/>
  <c r="Z95" i="13"/>
  <c r="U87" i="13"/>
  <c r="U96" i="13" s="1"/>
  <c r="Z88" i="13"/>
  <c r="AB92" i="13"/>
  <c r="AB86" i="13"/>
  <c r="AB95" i="13" s="1"/>
  <c r="Y49" i="13"/>
  <c r="L61" i="13"/>
  <c r="O110" i="13"/>
  <c r="O95" i="13"/>
  <c r="W97" i="13"/>
  <c r="J90" i="13"/>
  <c r="N72" i="13"/>
  <c r="X72" i="13"/>
  <c r="X91" i="13" s="1"/>
  <c r="J101" i="13"/>
  <c r="J92" i="13"/>
  <c r="X97" i="13"/>
  <c r="R89" i="13"/>
  <c r="R98" i="13" s="1"/>
  <c r="L100" i="13"/>
  <c r="AC72" i="13"/>
  <c r="K101" i="13"/>
  <c r="K92" i="13"/>
  <c r="U97" i="13"/>
  <c r="W99" i="13"/>
  <c r="N48" i="13"/>
  <c r="M100" i="13"/>
  <c r="V72" i="13"/>
  <c r="V91" i="13" s="1"/>
  <c r="J86" i="13"/>
  <c r="J95" i="13" s="1"/>
  <c r="X101" i="13"/>
  <c r="O106" i="13"/>
  <c r="O110" i="12"/>
  <c r="O95" i="12"/>
  <c r="K100" i="12"/>
  <c r="K26" i="12"/>
  <c r="Q100" i="12"/>
  <c r="K84" i="12"/>
  <c r="J92" i="12"/>
  <c r="K92" i="12"/>
  <c r="W50" i="12"/>
  <c r="Y50" i="12"/>
  <c r="AB98" i="12"/>
  <c r="AF72" i="12"/>
  <c r="X91" i="12"/>
  <c r="AG72" i="12"/>
  <c r="AB91" i="12"/>
  <c r="AG86" i="12"/>
  <c r="AG110" i="12" s="1"/>
  <c r="AF86" i="13"/>
  <c r="AF95" i="13" s="1"/>
  <c r="AD81" i="10"/>
  <c r="AD70" i="10"/>
  <c r="AD59" i="10"/>
  <c r="AD46" i="10"/>
  <c r="AD35" i="10"/>
  <c r="AD24" i="10"/>
  <c r="AD23" i="10"/>
  <c r="AD13" i="10"/>
  <c r="S40" i="10"/>
  <c r="R40" i="10"/>
  <c r="R53" i="10"/>
  <c r="S53" i="10"/>
  <c r="S64" i="10"/>
  <c r="R64" i="10"/>
  <c r="S75" i="10"/>
  <c r="R75" i="10"/>
  <c r="S29" i="10"/>
  <c r="R29" i="10"/>
  <c r="I110" i="10"/>
  <c r="H110" i="10"/>
  <c r="G110" i="10"/>
  <c r="F110" i="10"/>
  <c r="I109" i="10"/>
  <c r="H109" i="10"/>
  <c r="G109" i="10"/>
  <c r="F109" i="10"/>
  <c r="I108" i="10"/>
  <c r="H108" i="10"/>
  <c r="G108" i="10"/>
  <c r="F108" i="10"/>
  <c r="I107" i="10"/>
  <c r="H107" i="10"/>
  <c r="G107" i="10"/>
  <c r="F107" i="10"/>
  <c r="I106" i="10"/>
  <c r="H106" i="10"/>
  <c r="G106" i="10"/>
  <c r="F106" i="10"/>
  <c r="I105" i="10"/>
  <c r="H105" i="10"/>
  <c r="G105" i="10"/>
  <c r="F105" i="10"/>
  <c r="AG104" i="10"/>
  <c r="AE104" i="10"/>
  <c r="AD104" i="10"/>
  <c r="Q104" i="10"/>
  <c r="P104" i="10"/>
  <c r="O104" i="10"/>
  <c r="N104" i="10"/>
  <c r="M104" i="10"/>
  <c r="L104" i="10"/>
  <c r="K104" i="10"/>
  <c r="I104" i="10"/>
  <c r="H104" i="10"/>
  <c r="G104" i="10"/>
  <c r="F104" i="10"/>
  <c r="I101" i="10"/>
  <c r="H101" i="10"/>
  <c r="G101" i="10"/>
  <c r="F101" i="10"/>
  <c r="P100" i="10"/>
  <c r="J100" i="10"/>
  <c r="I100" i="10"/>
  <c r="H100" i="10"/>
  <c r="G100" i="10"/>
  <c r="F100" i="10"/>
  <c r="I99" i="10"/>
  <c r="H99" i="10"/>
  <c r="G99" i="10"/>
  <c r="F99" i="10"/>
  <c r="I98" i="10"/>
  <c r="H98" i="10"/>
  <c r="G98" i="10"/>
  <c r="F98" i="10"/>
  <c r="I97" i="10"/>
  <c r="H97" i="10"/>
  <c r="G97" i="10"/>
  <c r="F97" i="10"/>
  <c r="I96" i="10"/>
  <c r="H96" i="10"/>
  <c r="G96" i="10"/>
  <c r="F96" i="10"/>
  <c r="I95" i="10"/>
  <c r="H95" i="10"/>
  <c r="G95" i="10"/>
  <c r="F95" i="10"/>
  <c r="O89" i="10"/>
  <c r="O88" i="10"/>
  <c r="O87" i="10"/>
  <c r="O86" i="10"/>
  <c r="N83" i="10"/>
  <c r="AC82" i="10"/>
  <c r="AC83" i="10" s="1"/>
  <c r="AB82" i="10"/>
  <c r="AB83" i="10" s="1"/>
  <c r="AA82" i="10"/>
  <c r="AA83" i="10"/>
  <c r="Z82" i="10"/>
  <c r="Z83" i="10" s="1"/>
  <c r="Y82" i="10"/>
  <c r="Y83" i="10" s="1"/>
  <c r="X82" i="10"/>
  <c r="X83" i="10" s="1"/>
  <c r="W82" i="10"/>
  <c r="W83" i="10"/>
  <c r="V82" i="10"/>
  <c r="V83" i="10" s="1"/>
  <c r="U82" i="10"/>
  <c r="U83" i="10" s="1"/>
  <c r="T82" i="10"/>
  <c r="T83" i="10" s="1"/>
  <c r="Q82" i="10"/>
  <c r="Q83" i="10"/>
  <c r="O82" i="10"/>
  <c r="O83" i="10" s="1"/>
  <c r="O92" i="10" s="1"/>
  <c r="O101" i="10" s="1"/>
  <c r="M82" i="10"/>
  <c r="M101" i="10"/>
  <c r="L82" i="10"/>
  <c r="L92" i="10"/>
  <c r="K82" i="10"/>
  <c r="K101" i="10" s="1"/>
  <c r="J82" i="10"/>
  <c r="J92" i="10"/>
  <c r="AH81" i="10"/>
  <c r="AG81" i="10"/>
  <c r="AF81" i="10"/>
  <c r="AE81" i="10"/>
  <c r="B81" i="10"/>
  <c r="AH80" i="10"/>
  <c r="AG80" i="10"/>
  <c r="AF80" i="10"/>
  <c r="AE80" i="10"/>
  <c r="AD80" i="10"/>
  <c r="B80" i="10"/>
  <c r="AH79" i="10"/>
  <c r="AG79" i="10"/>
  <c r="AF79" i="10"/>
  <c r="AE79" i="10"/>
  <c r="AD79" i="10"/>
  <c r="AH78" i="10"/>
  <c r="AH82" i="10" s="1"/>
  <c r="AG78" i="10"/>
  <c r="AG82" i="10" s="1"/>
  <c r="AF78" i="10"/>
  <c r="AE78" i="10"/>
  <c r="AD78" i="10"/>
  <c r="B78" i="10"/>
  <c r="J75" i="10"/>
  <c r="AC71" i="10"/>
  <c r="AB71" i="10"/>
  <c r="AB100" i="10"/>
  <c r="AA71" i="10"/>
  <c r="Z71" i="10"/>
  <c r="Z100" i="10" s="1"/>
  <c r="Y71" i="10"/>
  <c r="X71" i="10"/>
  <c r="X100" i="10"/>
  <c r="W71" i="10"/>
  <c r="V71" i="10"/>
  <c r="V72" i="10"/>
  <c r="U71" i="10"/>
  <c r="U72" i="10" s="1"/>
  <c r="T71" i="10"/>
  <c r="T72" i="10" s="1"/>
  <c r="Q71" i="10"/>
  <c r="Q72" i="10" s="1"/>
  <c r="Q100" i="10" s="1"/>
  <c r="O71" i="10"/>
  <c r="O72" i="10" s="1"/>
  <c r="O91" i="10" s="1"/>
  <c r="N71" i="10"/>
  <c r="N100" i="10" s="1"/>
  <c r="M71" i="10"/>
  <c r="L71" i="10"/>
  <c r="L100" i="10" s="1"/>
  <c r="K71" i="10"/>
  <c r="K100" i="10" s="1"/>
  <c r="AH70" i="10"/>
  <c r="AG70" i="10"/>
  <c r="AF70" i="10"/>
  <c r="AE70" i="10"/>
  <c r="B70" i="10"/>
  <c r="AH69" i="10"/>
  <c r="AG69" i="10"/>
  <c r="AF69" i="10"/>
  <c r="AE69" i="10"/>
  <c r="AD69" i="10"/>
  <c r="B69" i="10"/>
  <c r="AH68" i="10"/>
  <c r="AG68" i="10"/>
  <c r="AF68" i="10"/>
  <c r="AE68" i="10"/>
  <c r="AD68" i="10"/>
  <c r="B68" i="10"/>
  <c r="AH67" i="10"/>
  <c r="AG67" i="10"/>
  <c r="AF67" i="10"/>
  <c r="AE67" i="10"/>
  <c r="AD67" i="10"/>
  <c r="B67" i="10"/>
  <c r="J64" i="10"/>
  <c r="AC60" i="10"/>
  <c r="AC61" i="10"/>
  <c r="AB60" i="10"/>
  <c r="AB61" i="10"/>
  <c r="AA60" i="10"/>
  <c r="AA61" i="10" s="1"/>
  <c r="Z60" i="10"/>
  <c r="Y60" i="10"/>
  <c r="Y61" i="10"/>
  <c r="X60" i="10"/>
  <c r="W60" i="10"/>
  <c r="V60" i="10"/>
  <c r="V61" i="10" s="1"/>
  <c r="V90" i="10" s="1"/>
  <c r="V99" i="10" s="1"/>
  <c r="U60" i="10"/>
  <c r="U61" i="10"/>
  <c r="T60" i="10"/>
  <c r="Q60" i="10"/>
  <c r="Q61" i="10"/>
  <c r="P60" i="10"/>
  <c r="O60" i="10"/>
  <c r="O61" i="10" s="1"/>
  <c r="N60" i="10"/>
  <c r="N61" i="10"/>
  <c r="M60" i="10"/>
  <c r="K60" i="10"/>
  <c r="J60" i="10"/>
  <c r="F60" i="10"/>
  <c r="AH59" i="10"/>
  <c r="AG59" i="10"/>
  <c r="AF59" i="10"/>
  <c r="AE59" i="10"/>
  <c r="B59" i="10"/>
  <c r="AH58" i="10"/>
  <c r="AG58" i="10"/>
  <c r="AF58" i="10"/>
  <c r="AE58" i="10"/>
  <c r="AD58" i="10"/>
  <c r="B58" i="10"/>
  <c r="B79" i="10"/>
  <c r="AH57" i="10"/>
  <c r="AG57" i="10"/>
  <c r="AF57" i="10"/>
  <c r="AE57" i="10"/>
  <c r="AD57" i="10"/>
  <c r="B57" i="10"/>
  <c r="AH56" i="10"/>
  <c r="AG56" i="10"/>
  <c r="AF56" i="10"/>
  <c r="AE56" i="10"/>
  <c r="AD56" i="10"/>
  <c r="B56" i="10"/>
  <c r="J53" i="10"/>
  <c r="AI50" i="10"/>
  <c r="AC47" i="10"/>
  <c r="AB47" i="10"/>
  <c r="AB48" i="10" s="1"/>
  <c r="AA47" i="10"/>
  <c r="Z47" i="10"/>
  <c r="Z48" i="10" s="1"/>
  <c r="Y47" i="10"/>
  <c r="Y48" i="10" s="1"/>
  <c r="X47" i="10"/>
  <c r="X48" i="10"/>
  <c r="W47" i="10"/>
  <c r="W48" i="10" s="1"/>
  <c r="V47" i="10"/>
  <c r="V48" i="10" s="1"/>
  <c r="U47" i="10"/>
  <c r="U48" i="10" s="1"/>
  <c r="T47" i="10"/>
  <c r="T48" i="10"/>
  <c r="Q47" i="10"/>
  <c r="Q48" i="10" s="1"/>
  <c r="P47" i="10"/>
  <c r="O47" i="10"/>
  <c r="N47" i="10"/>
  <c r="M47" i="10"/>
  <c r="L47" i="10"/>
  <c r="K47" i="10"/>
  <c r="J47" i="10"/>
  <c r="AH46" i="10"/>
  <c r="AG46" i="10"/>
  <c r="AF46" i="10"/>
  <c r="AE46" i="10"/>
  <c r="B46" i="10"/>
  <c r="AH45" i="10"/>
  <c r="AG45" i="10"/>
  <c r="AF45" i="10"/>
  <c r="AE45" i="10"/>
  <c r="AD45" i="10"/>
  <c r="B45" i="10"/>
  <c r="AH44" i="10"/>
  <c r="AG44" i="10"/>
  <c r="AF44" i="10"/>
  <c r="AE44" i="10"/>
  <c r="AD44" i="10"/>
  <c r="AH43" i="10"/>
  <c r="AG43" i="10"/>
  <c r="AF43" i="10"/>
  <c r="AE43" i="10"/>
  <c r="AD43" i="10"/>
  <c r="B43" i="10"/>
  <c r="J40" i="10"/>
  <c r="AC36" i="10"/>
  <c r="AC37" i="10"/>
  <c r="AB36" i="10"/>
  <c r="AB37" i="10"/>
  <c r="AA36" i="10"/>
  <c r="AA37" i="10"/>
  <c r="Z36" i="10"/>
  <c r="Z37" i="10" s="1"/>
  <c r="Y36" i="10"/>
  <c r="Y37" i="10"/>
  <c r="X36" i="10"/>
  <c r="X37" i="10"/>
  <c r="W36" i="10"/>
  <c r="W37" i="10" s="1"/>
  <c r="V36" i="10"/>
  <c r="V37" i="10" s="1"/>
  <c r="U36" i="10"/>
  <c r="U37" i="10"/>
  <c r="T36" i="10"/>
  <c r="T37" i="10"/>
  <c r="Q36" i="10"/>
  <c r="Q37" i="10" s="1"/>
  <c r="P36" i="10"/>
  <c r="P37" i="10" s="1"/>
  <c r="O36" i="10"/>
  <c r="N36" i="10"/>
  <c r="N37" i="10" s="1"/>
  <c r="M36" i="10"/>
  <c r="L36" i="10"/>
  <c r="K36" i="10"/>
  <c r="J36" i="10"/>
  <c r="F36" i="10"/>
  <c r="AH35" i="10"/>
  <c r="AG35" i="10"/>
  <c r="AF35" i="10"/>
  <c r="AE35" i="10"/>
  <c r="B35" i="10"/>
  <c r="AH34" i="10"/>
  <c r="AG34" i="10"/>
  <c r="AF34" i="10"/>
  <c r="AE34" i="10"/>
  <c r="AD34" i="10"/>
  <c r="B34" i="10"/>
  <c r="AH33" i="10"/>
  <c r="AG33" i="10"/>
  <c r="AF33" i="10"/>
  <c r="AE33" i="10"/>
  <c r="AD33" i="10"/>
  <c r="AH32" i="10"/>
  <c r="AG32" i="10"/>
  <c r="AF32" i="10"/>
  <c r="AE32" i="10"/>
  <c r="AD32" i="10"/>
  <c r="B32" i="10"/>
  <c r="B44" i="10"/>
  <c r="J29" i="10"/>
  <c r="AC25" i="10"/>
  <c r="AC26" i="10"/>
  <c r="AB25" i="10"/>
  <c r="AB26" i="10"/>
  <c r="AA25" i="10"/>
  <c r="AA26" i="10" s="1"/>
  <c r="Z25" i="10"/>
  <c r="Z26" i="10" s="1"/>
  <c r="Y25" i="10"/>
  <c r="Y26" i="10" s="1"/>
  <c r="Y87" i="10" s="1"/>
  <c r="Y96" i="10" s="1"/>
  <c r="X25" i="10"/>
  <c r="X26" i="10" s="1"/>
  <c r="W25" i="10"/>
  <c r="W26" i="10" s="1"/>
  <c r="V25" i="10"/>
  <c r="V26" i="10" s="1"/>
  <c r="U25" i="10"/>
  <c r="U26" i="10" s="1"/>
  <c r="AE26" i="10" s="1"/>
  <c r="T25" i="10"/>
  <c r="T26" i="10" s="1"/>
  <c r="Q25" i="10"/>
  <c r="Q26" i="10" s="1"/>
  <c r="P25" i="10"/>
  <c r="P26" i="10" s="1"/>
  <c r="O25" i="10"/>
  <c r="N25" i="10"/>
  <c r="N26" i="10"/>
  <c r="M25" i="10"/>
  <c r="AH24" i="10"/>
  <c r="AG24" i="10"/>
  <c r="AF24" i="10"/>
  <c r="AE24" i="10"/>
  <c r="AH23" i="10"/>
  <c r="AG23" i="10"/>
  <c r="AF23" i="10"/>
  <c r="AE23" i="10"/>
  <c r="B23" i="10"/>
  <c r="AH22" i="10"/>
  <c r="AG22" i="10"/>
  <c r="AF22" i="10"/>
  <c r="AE22" i="10"/>
  <c r="AD22" i="10"/>
  <c r="B22" i="10"/>
  <c r="AH21" i="10"/>
  <c r="AG21" i="10"/>
  <c r="AF21" i="10"/>
  <c r="AE21" i="10"/>
  <c r="AD21" i="10"/>
  <c r="B21" i="10"/>
  <c r="C19" i="10"/>
  <c r="C30" i="10"/>
  <c r="C41" i="10" s="1"/>
  <c r="C54" i="10" s="1"/>
  <c r="C65" i="10" s="1"/>
  <c r="C76" i="10" s="1"/>
  <c r="J18" i="10"/>
  <c r="C17" i="10"/>
  <c r="C28" i="10" s="1"/>
  <c r="C39" i="10" s="1"/>
  <c r="C52" i="10" s="1"/>
  <c r="C63" i="10" s="1"/>
  <c r="C74" i="10" s="1"/>
  <c r="AC14" i="10"/>
  <c r="AC15" i="10" s="1"/>
  <c r="Z14" i="10"/>
  <c r="Z15" i="10" s="1"/>
  <c r="Y14" i="10"/>
  <c r="Y15" i="10"/>
  <c r="V14" i="10"/>
  <c r="V15" i="10"/>
  <c r="U14" i="10"/>
  <c r="U15" i="10" s="1"/>
  <c r="P14" i="10"/>
  <c r="P15" i="10" s="1"/>
  <c r="O14" i="10"/>
  <c r="N14" i="10"/>
  <c r="M14" i="10"/>
  <c r="L14" i="10"/>
  <c r="L86" i="10" s="1"/>
  <c r="K14" i="10"/>
  <c r="K26" i="10" s="1"/>
  <c r="J14" i="10"/>
  <c r="J91" i="10"/>
  <c r="AB14" i="10"/>
  <c r="AB15" i="10"/>
  <c r="AB87" i="10" s="1"/>
  <c r="AB96" i="10" s="1"/>
  <c r="AA14" i="10"/>
  <c r="AA15" i="10" s="1"/>
  <c r="X14" i="10"/>
  <c r="X15" i="10"/>
  <c r="X86" i="10" s="1"/>
  <c r="X95" i="10" s="1"/>
  <c r="W14" i="10"/>
  <c r="W15" i="10"/>
  <c r="AE13" i="10"/>
  <c r="T14" i="10"/>
  <c r="T15" i="10" s="1"/>
  <c r="Q14" i="10"/>
  <c r="Q15" i="10" s="1"/>
  <c r="B13" i="10"/>
  <c r="B24" i="10"/>
  <c r="B33" i="10" s="1"/>
  <c r="AH12" i="10"/>
  <c r="AG12" i="10"/>
  <c r="AF12" i="10"/>
  <c r="AE12" i="10"/>
  <c r="AD12" i="10"/>
  <c r="B12" i="10"/>
  <c r="AH11" i="10"/>
  <c r="AG11" i="10"/>
  <c r="AF11" i="10"/>
  <c r="AE11" i="10"/>
  <c r="AD11" i="10"/>
  <c r="B11" i="10"/>
  <c r="AH10" i="10"/>
  <c r="AG10" i="10"/>
  <c r="AF10" i="10"/>
  <c r="AE10" i="10"/>
  <c r="AD10" i="10"/>
  <c r="B10" i="10"/>
  <c r="K92" i="10"/>
  <c r="AA100" i="10"/>
  <c r="AA72" i="10"/>
  <c r="W100" i="10"/>
  <c r="W72" i="10"/>
  <c r="V100" i="10"/>
  <c r="Z72" i="10"/>
  <c r="AA49" i="10"/>
  <c r="AA48" i="10"/>
  <c r="M49" i="10"/>
  <c r="J101" i="10"/>
  <c r="P48" i="10"/>
  <c r="AF13" i="10"/>
  <c r="K87" i="10"/>
  <c r="K72" i="10"/>
  <c r="AG13" i="10"/>
  <c r="AH13" i="10"/>
  <c r="K84" i="10"/>
  <c r="K90" i="10"/>
  <c r="L101" i="10"/>
  <c r="AH25" i="9"/>
  <c r="AG60" i="9"/>
  <c r="AG49" i="9"/>
  <c r="AF60" i="9"/>
  <c r="AF49" i="9"/>
  <c r="AE60" i="9"/>
  <c r="AE49" i="9"/>
  <c r="Q49" i="9"/>
  <c r="T49" i="9"/>
  <c r="AC49" i="9"/>
  <c r="AB49" i="9"/>
  <c r="AA49" i="9"/>
  <c r="Z49" i="9"/>
  <c r="Y49" i="9"/>
  <c r="X49" i="9"/>
  <c r="W49" i="9"/>
  <c r="V49" i="9"/>
  <c r="U49" i="9"/>
  <c r="Q12" i="9"/>
  <c r="AC12" i="9"/>
  <c r="AC13" i="9"/>
  <c r="AB12" i="9"/>
  <c r="AB13" i="9"/>
  <c r="AA12" i="9"/>
  <c r="Z12" i="9"/>
  <c r="Z13" i="9" s="1"/>
  <c r="Y12" i="9"/>
  <c r="Y13" i="9" s="1"/>
  <c r="X12" i="9"/>
  <c r="W12" i="9"/>
  <c r="W13" i="9"/>
  <c r="V12" i="9"/>
  <c r="V13" i="9"/>
  <c r="U12" i="9"/>
  <c r="U13" i="9"/>
  <c r="T12" i="9"/>
  <c r="T13" i="9"/>
  <c r="AD79" i="9"/>
  <c r="AE79" i="9"/>
  <c r="AF79" i="9"/>
  <c r="AG79" i="9"/>
  <c r="AD68" i="9"/>
  <c r="AE68" i="9"/>
  <c r="AF68" i="9"/>
  <c r="AG68" i="9"/>
  <c r="AD57" i="9"/>
  <c r="AE57" i="9"/>
  <c r="AF57" i="9"/>
  <c r="AG57" i="9"/>
  <c r="AD44" i="9"/>
  <c r="AE44" i="9"/>
  <c r="AF44" i="9"/>
  <c r="AG44" i="9"/>
  <c r="AD11" i="9"/>
  <c r="AE11" i="9"/>
  <c r="AF11" i="9"/>
  <c r="AG11" i="9"/>
  <c r="AD33" i="9"/>
  <c r="AE33" i="9"/>
  <c r="AF33" i="9"/>
  <c r="AG33" i="9"/>
  <c r="AE20" i="9"/>
  <c r="AE22" i="9"/>
  <c r="AE21" i="9"/>
  <c r="AD22" i="9"/>
  <c r="AF22" i="9"/>
  <c r="AG22" i="9"/>
  <c r="AH44" i="9"/>
  <c r="AH45" i="9"/>
  <c r="P59" i="9"/>
  <c r="P60" i="9"/>
  <c r="AH79" i="9"/>
  <c r="AH68" i="9"/>
  <c r="AH57" i="9"/>
  <c r="AH33" i="9"/>
  <c r="AH22" i="9"/>
  <c r="AH11" i="9"/>
  <c r="AH69" i="9"/>
  <c r="AH77" i="9"/>
  <c r="I109" i="9"/>
  <c r="H109" i="9"/>
  <c r="G109" i="9"/>
  <c r="F109" i="9"/>
  <c r="I108" i="9"/>
  <c r="H108" i="9"/>
  <c r="G108" i="9"/>
  <c r="F108" i="9"/>
  <c r="I107" i="9"/>
  <c r="H107" i="9"/>
  <c r="G107" i="9"/>
  <c r="F107" i="9"/>
  <c r="I106" i="9"/>
  <c r="H106" i="9"/>
  <c r="G106" i="9"/>
  <c r="F106" i="9"/>
  <c r="I105" i="9"/>
  <c r="H105" i="9"/>
  <c r="G105" i="9"/>
  <c r="F105" i="9"/>
  <c r="I104" i="9"/>
  <c r="H104" i="9"/>
  <c r="G104" i="9"/>
  <c r="F104" i="9"/>
  <c r="AG103" i="9"/>
  <c r="AE103" i="9"/>
  <c r="AD103" i="9"/>
  <c r="Q103" i="9"/>
  <c r="P103" i="9"/>
  <c r="O103" i="9"/>
  <c r="N103" i="9"/>
  <c r="M103" i="9"/>
  <c r="L103" i="9"/>
  <c r="K103" i="9"/>
  <c r="I103" i="9"/>
  <c r="H103" i="9"/>
  <c r="G103" i="9"/>
  <c r="F103" i="9"/>
  <c r="I100" i="9"/>
  <c r="H100" i="9"/>
  <c r="G100" i="9"/>
  <c r="F100" i="9"/>
  <c r="J99" i="9"/>
  <c r="I99" i="9"/>
  <c r="H99" i="9"/>
  <c r="G99" i="9"/>
  <c r="F99" i="9"/>
  <c r="I98" i="9"/>
  <c r="H98" i="9"/>
  <c r="G98" i="9"/>
  <c r="F98" i="9"/>
  <c r="I97" i="9"/>
  <c r="H97" i="9"/>
  <c r="G97" i="9"/>
  <c r="F97" i="9"/>
  <c r="I96" i="9"/>
  <c r="H96" i="9"/>
  <c r="G96" i="9"/>
  <c r="F96" i="9"/>
  <c r="I95" i="9"/>
  <c r="H95" i="9"/>
  <c r="G95" i="9"/>
  <c r="F95" i="9"/>
  <c r="I94" i="9"/>
  <c r="H94" i="9"/>
  <c r="G94" i="9"/>
  <c r="F94" i="9"/>
  <c r="O88" i="9"/>
  <c r="O97" i="9" s="1"/>
  <c r="O87" i="9"/>
  <c r="O86" i="9"/>
  <c r="O85" i="9"/>
  <c r="N82" i="9"/>
  <c r="AC81" i="9"/>
  <c r="AB81" i="9"/>
  <c r="AA81" i="9"/>
  <c r="Z81" i="9"/>
  <c r="Y81" i="9"/>
  <c r="X81" i="9"/>
  <c r="W81" i="9"/>
  <c r="V81" i="9"/>
  <c r="U81" i="9"/>
  <c r="T81" i="9"/>
  <c r="Q81" i="9"/>
  <c r="P81" i="9"/>
  <c r="O81" i="9"/>
  <c r="O82" i="9"/>
  <c r="O91" i="9"/>
  <c r="M81" i="9"/>
  <c r="M91" i="9" s="1"/>
  <c r="L81" i="9"/>
  <c r="K81" i="9"/>
  <c r="J81" i="9"/>
  <c r="J100" i="9" s="1"/>
  <c r="AH80" i="9"/>
  <c r="AG80" i="9"/>
  <c r="AF80" i="9"/>
  <c r="AE80" i="9"/>
  <c r="AD80" i="9"/>
  <c r="B80" i="9"/>
  <c r="B79" i="9"/>
  <c r="AH78" i="9"/>
  <c r="AG78" i="9"/>
  <c r="AF78" i="9"/>
  <c r="AE78" i="9"/>
  <c r="AD78" i="9"/>
  <c r="AG77" i="9"/>
  <c r="AG81" i="9"/>
  <c r="AG91" i="9" s="1"/>
  <c r="AG100" i="9" s="1"/>
  <c r="AF77" i="9"/>
  <c r="AE77" i="9"/>
  <c r="AD77" i="9"/>
  <c r="B77" i="9"/>
  <c r="J74" i="9"/>
  <c r="AC70" i="9"/>
  <c r="AC99" i="9" s="1"/>
  <c r="AB70" i="9"/>
  <c r="AB99" i="9"/>
  <c r="AA70" i="9"/>
  <c r="AA99" i="9" s="1"/>
  <c r="Z70" i="9"/>
  <c r="Y70" i="9"/>
  <c r="Y99" i="9"/>
  <c r="X70" i="9"/>
  <c r="X99" i="9"/>
  <c r="W70" i="9"/>
  <c r="W99" i="9"/>
  <c r="V70" i="9"/>
  <c r="V99" i="9"/>
  <c r="U70" i="9"/>
  <c r="T70" i="9"/>
  <c r="Q70" i="9"/>
  <c r="P70" i="9"/>
  <c r="O70" i="9"/>
  <c r="O71" i="9"/>
  <c r="N70" i="9"/>
  <c r="N99" i="9" s="1"/>
  <c r="M70" i="9"/>
  <c r="M99" i="9"/>
  <c r="L70" i="9"/>
  <c r="L99" i="9" s="1"/>
  <c r="K70" i="9"/>
  <c r="AG69" i="9"/>
  <c r="AF69" i="9"/>
  <c r="AE69" i="9"/>
  <c r="AD69" i="9"/>
  <c r="B69" i="9"/>
  <c r="B68" i="9"/>
  <c r="AH67" i="9"/>
  <c r="AG67" i="9"/>
  <c r="AF67" i="9"/>
  <c r="AE67" i="9"/>
  <c r="AD67" i="9"/>
  <c r="B67" i="9"/>
  <c r="AH66" i="9"/>
  <c r="AG66" i="9"/>
  <c r="AF66" i="9"/>
  <c r="AE66" i="9"/>
  <c r="AD66" i="9"/>
  <c r="B66" i="9"/>
  <c r="J63" i="9"/>
  <c r="AC59" i="9"/>
  <c r="AB59" i="9"/>
  <c r="AA59" i="9"/>
  <c r="Z59" i="9"/>
  <c r="Y59" i="9"/>
  <c r="Y48" i="9" s="1"/>
  <c r="X59" i="9"/>
  <c r="W59" i="9"/>
  <c r="V59" i="9"/>
  <c r="U59" i="9"/>
  <c r="T59" i="9"/>
  <c r="Q59" i="9"/>
  <c r="O59" i="9"/>
  <c r="O60" i="9"/>
  <c r="O89" i="9" s="1"/>
  <c r="N59" i="9"/>
  <c r="N60" i="9"/>
  <c r="M59" i="9"/>
  <c r="K59" i="9"/>
  <c r="J59" i="9"/>
  <c r="F59" i="9"/>
  <c r="AH58" i="9"/>
  <c r="AG58" i="9"/>
  <c r="AF58" i="9"/>
  <c r="AE58" i="9"/>
  <c r="B58" i="9"/>
  <c r="B57" i="9"/>
  <c r="B78" i="9"/>
  <c r="AH56" i="9"/>
  <c r="AG56" i="9"/>
  <c r="AF56" i="9"/>
  <c r="AE56" i="9"/>
  <c r="AD56" i="9"/>
  <c r="B56" i="9"/>
  <c r="AH55" i="9"/>
  <c r="AG55" i="9"/>
  <c r="AF55" i="9"/>
  <c r="AE55" i="9"/>
  <c r="AD55" i="9"/>
  <c r="B55" i="9"/>
  <c r="J52" i="9"/>
  <c r="AI49" i="9"/>
  <c r="AC46" i="9"/>
  <c r="AC48" i="9" s="1"/>
  <c r="AB46" i="9"/>
  <c r="AA46" i="9"/>
  <c r="Z46" i="9"/>
  <c r="Z48" i="9" s="1"/>
  <c r="Y46" i="9"/>
  <c r="X46" i="9"/>
  <c r="X48" i="9" s="1"/>
  <c r="W46" i="9"/>
  <c r="V46" i="9"/>
  <c r="U46" i="9"/>
  <c r="U48" i="9" s="1"/>
  <c r="T46" i="9"/>
  <c r="Q46" i="9"/>
  <c r="P46" i="9"/>
  <c r="O46" i="9"/>
  <c r="N46" i="9"/>
  <c r="M46" i="9"/>
  <c r="L46" i="9"/>
  <c r="K46" i="9"/>
  <c r="J46" i="9"/>
  <c r="AG45" i="9"/>
  <c r="AF45" i="9"/>
  <c r="AE45" i="9"/>
  <c r="B45" i="9"/>
  <c r="B44" i="9"/>
  <c r="AH43" i="9"/>
  <c r="AG43" i="9"/>
  <c r="AF43" i="9"/>
  <c r="AE43" i="9"/>
  <c r="AD43" i="9"/>
  <c r="AH42" i="9"/>
  <c r="AG42" i="9"/>
  <c r="AF42" i="9"/>
  <c r="AE42" i="9"/>
  <c r="AD42" i="9"/>
  <c r="AD46" i="9" s="1"/>
  <c r="B42" i="9"/>
  <c r="J39" i="9"/>
  <c r="AC35" i="9"/>
  <c r="AB35" i="9"/>
  <c r="AA35" i="9"/>
  <c r="Z35" i="9"/>
  <c r="Y35" i="9"/>
  <c r="X35" i="9"/>
  <c r="W35" i="9"/>
  <c r="V35" i="9"/>
  <c r="U35" i="9"/>
  <c r="T35" i="9"/>
  <c r="Q35" i="9"/>
  <c r="P35" i="9"/>
  <c r="O35" i="9"/>
  <c r="N35" i="9"/>
  <c r="N36" i="9"/>
  <c r="M35" i="9"/>
  <c r="L35" i="9"/>
  <c r="K35" i="9"/>
  <c r="J35" i="9"/>
  <c r="F35" i="9"/>
  <c r="AH34" i="9"/>
  <c r="AG34" i="9"/>
  <c r="AF34" i="9"/>
  <c r="AE34" i="9"/>
  <c r="AD34" i="9"/>
  <c r="B34" i="9"/>
  <c r="B33" i="9"/>
  <c r="AH32" i="9"/>
  <c r="AG32" i="9"/>
  <c r="AF32" i="9"/>
  <c r="AE32" i="9"/>
  <c r="AD32" i="9"/>
  <c r="AH31" i="9"/>
  <c r="AG31" i="9"/>
  <c r="AF31" i="9"/>
  <c r="AE31" i="9"/>
  <c r="AD31" i="9"/>
  <c r="B31" i="9"/>
  <c r="B43" i="9"/>
  <c r="J28" i="9"/>
  <c r="AC24" i="9"/>
  <c r="AB24" i="9"/>
  <c r="AA24" i="9"/>
  <c r="Z24" i="9"/>
  <c r="Y24" i="9"/>
  <c r="X24" i="9"/>
  <c r="W24" i="9"/>
  <c r="V24" i="9"/>
  <c r="U24" i="9"/>
  <c r="T24" i="9"/>
  <c r="Q24" i="9"/>
  <c r="P24" i="9"/>
  <c r="O24" i="9"/>
  <c r="N24" i="9"/>
  <c r="N25" i="9"/>
  <c r="M24" i="9"/>
  <c r="AH23" i="9"/>
  <c r="AG23" i="9"/>
  <c r="AF23" i="9"/>
  <c r="AE23" i="9"/>
  <c r="AD23" i="9"/>
  <c r="B22" i="9"/>
  <c r="AH21" i="9"/>
  <c r="AG21" i="9"/>
  <c r="AF21" i="9"/>
  <c r="AD21" i="9"/>
  <c r="B21" i="9"/>
  <c r="AH20" i="9"/>
  <c r="AG20" i="9"/>
  <c r="AF20" i="9"/>
  <c r="AD20" i="9"/>
  <c r="B20" i="9"/>
  <c r="C18" i="9"/>
  <c r="C29" i="9" s="1"/>
  <c r="C40" i="9" s="1"/>
  <c r="C53" i="9" s="1"/>
  <c r="C64" i="9" s="1"/>
  <c r="C75" i="9" s="1"/>
  <c r="J17" i="9"/>
  <c r="C16" i="9"/>
  <c r="C27" i="9" s="1"/>
  <c r="C38" i="9" s="1"/>
  <c r="C51" i="9" s="1"/>
  <c r="C62" i="9" s="1"/>
  <c r="C73" i="9" s="1"/>
  <c r="X13" i="9"/>
  <c r="P13" i="9"/>
  <c r="O13" i="9"/>
  <c r="N13" i="9"/>
  <c r="N89" i="9" s="1"/>
  <c r="M13" i="9"/>
  <c r="M85" i="9"/>
  <c r="L13" i="9"/>
  <c r="K13" i="9"/>
  <c r="K86" i="9"/>
  <c r="J13" i="9"/>
  <c r="J90" i="9" s="1"/>
  <c r="B12" i="9"/>
  <c r="B23" i="9"/>
  <c r="B32" i="9"/>
  <c r="B11" i="9"/>
  <c r="AH10" i="9"/>
  <c r="AG10" i="9"/>
  <c r="AF10" i="9"/>
  <c r="AE10" i="9"/>
  <c r="AD10" i="9"/>
  <c r="B10" i="9"/>
  <c r="AH9" i="9"/>
  <c r="AG9" i="9"/>
  <c r="AF9" i="9"/>
  <c r="AE9" i="9"/>
  <c r="AD9" i="9"/>
  <c r="B9" i="9"/>
  <c r="T88" i="9"/>
  <c r="T90" i="9"/>
  <c r="T85" i="9"/>
  <c r="T94" i="9" s="1"/>
  <c r="T89" i="9"/>
  <c r="T87" i="9"/>
  <c r="T91" i="9"/>
  <c r="T86" i="9"/>
  <c r="X88" i="9"/>
  <c r="X85" i="9"/>
  <c r="X94" i="9"/>
  <c r="X89" i="9"/>
  <c r="X87" i="9"/>
  <c r="X91" i="9"/>
  <c r="X86" i="9"/>
  <c r="X95" i="9" s="1"/>
  <c r="AB88" i="9"/>
  <c r="AB86" i="9"/>
  <c r="AB85" i="9"/>
  <c r="AB94" i="9" s="1"/>
  <c r="AB89" i="9"/>
  <c r="AB87" i="9"/>
  <c r="AB91" i="9"/>
  <c r="AB100" i="9" s="1"/>
  <c r="U85" i="9"/>
  <c r="U94" i="9"/>
  <c r="U89" i="9"/>
  <c r="U91" i="9"/>
  <c r="U100" i="9" s="1"/>
  <c r="U86" i="9"/>
  <c r="U90" i="9"/>
  <c r="U88" i="9"/>
  <c r="U87" i="9"/>
  <c r="Y85" i="9"/>
  <c r="Y94" i="9"/>
  <c r="Y89" i="9"/>
  <c r="Y87" i="9"/>
  <c r="Y91" i="9"/>
  <c r="Y86" i="9"/>
  <c r="Y88" i="9"/>
  <c r="AC85" i="9"/>
  <c r="AC94" i="9"/>
  <c r="AC89" i="9"/>
  <c r="AC87" i="9"/>
  <c r="AC91" i="9"/>
  <c r="AC86" i="9"/>
  <c r="AC88" i="9"/>
  <c r="AC97" i="9" s="1"/>
  <c r="AH97" i="9" s="1"/>
  <c r="P89" i="9"/>
  <c r="P85" i="9"/>
  <c r="P94" i="9"/>
  <c r="P87" i="9"/>
  <c r="P90" i="9"/>
  <c r="P108" i="9"/>
  <c r="P86" i="9"/>
  <c r="V86" i="9"/>
  <c r="V88" i="9"/>
  <c r="V87" i="9"/>
  <c r="V91" i="9"/>
  <c r="V85" i="9"/>
  <c r="V95" i="9" s="1"/>
  <c r="AH95" i="9" s="1"/>
  <c r="V89" i="9"/>
  <c r="Z86" i="9"/>
  <c r="Z90" i="9"/>
  <c r="Z88" i="9"/>
  <c r="Z87" i="9"/>
  <c r="Z91" i="9"/>
  <c r="Z85" i="9"/>
  <c r="Z89" i="9"/>
  <c r="Q87" i="9"/>
  <c r="Q91" i="9"/>
  <c r="Q89" i="9"/>
  <c r="Q88" i="9"/>
  <c r="Q86" i="9"/>
  <c r="Q90" i="9"/>
  <c r="Q85" i="9"/>
  <c r="Q109" i="9"/>
  <c r="W87" i="9"/>
  <c r="W91" i="9"/>
  <c r="W89" i="9"/>
  <c r="W88" i="9"/>
  <c r="W86" i="9"/>
  <c r="W85" i="9"/>
  <c r="W94" i="9" s="1"/>
  <c r="AA87" i="9"/>
  <c r="AA91" i="9"/>
  <c r="AA89" i="9"/>
  <c r="AA88" i="9"/>
  <c r="AA86" i="9"/>
  <c r="AA85" i="9"/>
  <c r="X90" i="9"/>
  <c r="AB90" i="9"/>
  <c r="Y90" i="9"/>
  <c r="AC90" i="9"/>
  <c r="V90" i="9"/>
  <c r="W90" i="9"/>
  <c r="AA90" i="9"/>
  <c r="P48" i="9"/>
  <c r="P91" i="9"/>
  <c r="AG85" i="9"/>
  <c r="AG109" i="9"/>
  <c r="Z99" i="9"/>
  <c r="AH24" i="9"/>
  <c r="AD85" i="9"/>
  <c r="AD109" i="9"/>
  <c r="K85" i="9"/>
  <c r="K94" i="9"/>
  <c r="K83" i="9"/>
  <c r="P99" i="9"/>
  <c r="Q99" i="9"/>
  <c r="U99" i="9"/>
  <c r="AF85" i="9"/>
  <c r="AF94" i="9"/>
  <c r="L88" i="9"/>
  <c r="K99" i="9"/>
  <c r="T99" i="9"/>
  <c r="K71" i="9"/>
  <c r="K100" i="9"/>
  <c r="K91" i="9"/>
  <c r="K25" i="9"/>
  <c r="AD94" i="9"/>
  <c r="P88" i="9"/>
  <c r="P97" i="9"/>
  <c r="T98" i="9"/>
  <c r="AE85" i="9"/>
  <c r="AE94" i="9"/>
  <c r="K109" i="9"/>
  <c r="Y98" i="9"/>
  <c r="AB72" i="10"/>
  <c r="Y88" i="10"/>
  <c r="P110" i="12"/>
  <c r="K61" i="13"/>
  <c r="N49" i="13"/>
  <c r="AB49" i="13"/>
  <c r="L87" i="14"/>
  <c r="AE87" i="14"/>
  <c r="W99" i="14"/>
  <c r="AG88" i="15"/>
  <c r="N86" i="15"/>
  <c r="N110" i="15" s="1"/>
  <c r="AG90" i="15"/>
  <c r="Q96" i="9"/>
  <c r="O48" i="9"/>
  <c r="L71" i="9"/>
  <c r="V99" i="12"/>
  <c r="AG89" i="12"/>
  <c r="R49" i="13"/>
  <c r="AB49" i="12"/>
  <c r="O91" i="14"/>
  <c r="O109" i="14"/>
  <c r="N87" i="14"/>
  <c r="O49" i="14"/>
  <c r="AC49" i="14"/>
  <c r="AG86" i="15"/>
  <c r="AG95" i="15" s="1"/>
  <c r="M100" i="9"/>
  <c r="K88" i="12"/>
  <c r="K97" i="12"/>
  <c r="W72" i="13"/>
  <c r="V97" i="12"/>
  <c r="K49" i="13"/>
  <c r="AD82" i="13"/>
  <c r="AG82" i="13"/>
  <c r="AH48" i="14"/>
  <c r="AF25" i="14"/>
  <c r="K92" i="15"/>
  <c r="P49" i="15"/>
  <c r="AE82" i="10"/>
  <c r="V96" i="12"/>
  <c r="AG14" i="13"/>
  <c r="AH25" i="12"/>
  <c r="W96" i="12"/>
  <c r="S99" i="12"/>
  <c r="AD25" i="13"/>
  <c r="V48" i="9"/>
  <c r="AD70" i="9"/>
  <c r="AD99" i="9"/>
  <c r="G111" i="9"/>
  <c r="AF47" i="12"/>
  <c r="Z89" i="13"/>
  <c r="AF92" i="13"/>
  <c r="O107" i="13"/>
  <c r="AG36" i="14"/>
  <c r="M91" i="10"/>
  <c r="S96" i="12"/>
  <c r="V101" i="12"/>
  <c r="G112" i="12"/>
  <c r="AE25" i="13"/>
  <c r="AD47" i="13"/>
  <c r="Y100" i="9"/>
  <c r="X100" i="9"/>
  <c r="Y49" i="10"/>
  <c r="K89" i="10"/>
  <c r="G112" i="10"/>
  <c r="K106" i="12"/>
  <c r="K90" i="13"/>
  <c r="P48" i="13"/>
  <c r="P50" i="13"/>
  <c r="Z99" i="12"/>
  <c r="AG92" i="12"/>
  <c r="AG101" i="12" s="1"/>
  <c r="O107" i="12"/>
  <c r="H112" i="12"/>
  <c r="AF25" i="13"/>
  <c r="AG36" i="13"/>
  <c r="AF47" i="13"/>
  <c r="AH47" i="13"/>
  <c r="AG71" i="13"/>
  <c r="AG100" i="13" s="1"/>
  <c r="O96" i="13"/>
  <c r="W98" i="13"/>
  <c r="AG87" i="15"/>
  <c r="K89" i="15"/>
  <c r="V49" i="15"/>
  <c r="AE90" i="15"/>
  <c r="S101" i="15"/>
  <c r="AC101" i="15"/>
  <c r="H112" i="15"/>
  <c r="O100" i="9"/>
  <c r="L84" i="12"/>
  <c r="AG47" i="12"/>
  <c r="AE60" i="12"/>
  <c r="AD71" i="12"/>
  <c r="AD100" i="12"/>
  <c r="AF14" i="13"/>
  <c r="AH14" i="13"/>
  <c r="AD14" i="13"/>
  <c r="AF36" i="13"/>
  <c r="AE47" i="13"/>
  <c r="AG47" i="13"/>
  <c r="J89" i="13"/>
  <c r="AD71" i="13"/>
  <c r="AD100" i="13" s="1"/>
  <c r="AH71" i="13"/>
  <c r="M92" i="14"/>
  <c r="AE14" i="15"/>
  <c r="AG25" i="15"/>
  <c r="AB96" i="15"/>
  <c r="AC97" i="15"/>
  <c r="X72" i="10"/>
  <c r="X91" i="10" s="1"/>
  <c r="L86" i="12"/>
  <c r="K86" i="13"/>
  <c r="AG98" i="12"/>
  <c r="Y101" i="12"/>
  <c r="K49" i="12"/>
  <c r="AG71" i="12"/>
  <c r="AG100" i="12"/>
  <c r="J87" i="15"/>
  <c r="M100" i="10"/>
  <c r="Z72" i="13"/>
  <c r="Z91" i="13"/>
  <c r="Z49" i="13"/>
  <c r="K84" i="13"/>
  <c r="AF61" i="12"/>
  <c r="AF90" i="12"/>
  <c r="J91" i="15"/>
  <c r="Q48" i="9"/>
  <c r="O49" i="10"/>
  <c r="M92" i="12"/>
  <c r="L37" i="12"/>
  <c r="W49" i="13"/>
  <c r="Z96" i="9"/>
  <c r="P107" i="9"/>
  <c r="Y95" i="9"/>
  <c r="T95" i="9"/>
  <c r="AH46" i="9"/>
  <c r="AD59" i="9"/>
  <c r="M92" i="10"/>
  <c r="M84" i="10"/>
  <c r="L84" i="13"/>
  <c r="K89" i="13"/>
  <c r="R49" i="14"/>
  <c r="AB49" i="14"/>
  <c r="Z100" i="9"/>
  <c r="AB49" i="10"/>
  <c r="K26" i="13"/>
  <c r="K88" i="14"/>
  <c r="AD82" i="14"/>
  <c r="V100" i="9"/>
  <c r="P104" i="9"/>
  <c r="P109" i="9"/>
  <c r="L90" i="9"/>
  <c r="Z94" i="9"/>
  <c r="V94" i="9"/>
  <c r="P105" i="9"/>
  <c r="AB98" i="9"/>
  <c r="AG87" i="12"/>
  <c r="AG96" i="12"/>
  <c r="M97" i="13"/>
  <c r="S89" i="12"/>
  <c r="S98" i="12" s="1"/>
  <c r="L72" i="12"/>
  <c r="L91" i="12"/>
  <c r="L109" i="12"/>
  <c r="L86" i="13"/>
  <c r="L87" i="13"/>
  <c r="L72" i="13"/>
  <c r="L49" i="13"/>
  <c r="L92" i="14"/>
  <c r="AE14" i="14"/>
  <c r="AG71" i="14"/>
  <c r="AG100" i="14"/>
  <c r="AH70" i="9"/>
  <c r="L89" i="13"/>
  <c r="P98" i="9"/>
  <c r="K95" i="9"/>
  <c r="AG88" i="12"/>
  <c r="AG106" i="12"/>
  <c r="O106" i="12"/>
  <c r="M91" i="12"/>
  <c r="O105" i="13"/>
  <c r="L26" i="13"/>
  <c r="L37" i="13"/>
  <c r="AA49" i="12"/>
  <c r="O105" i="12"/>
  <c r="L87" i="9"/>
  <c r="AG94" i="9"/>
  <c r="P95" i="9"/>
  <c r="AA97" i="9"/>
  <c r="W97" i="9"/>
  <c r="Z97" i="9"/>
  <c r="V97" i="9"/>
  <c r="AC95" i="9"/>
  <c r="N72" i="10"/>
  <c r="AF14" i="10"/>
  <c r="M95" i="13"/>
  <c r="F112" i="13"/>
  <c r="AE90" i="14"/>
  <c r="N92" i="14"/>
  <c r="N101" i="14"/>
  <c r="Z98" i="9"/>
  <c r="L85" i="9"/>
  <c r="L109" i="9" s="1"/>
  <c r="N71" i="9"/>
  <c r="N90" i="9"/>
  <c r="T48" i="9"/>
  <c r="AB48" i="9"/>
  <c r="V49" i="10"/>
  <c r="V86" i="10"/>
  <c r="V95" i="10"/>
  <c r="AF25" i="10"/>
  <c r="AD60" i="10"/>
  <c r="AG91" i="12"/>
  <c r="Y101" i="13"/>
  <c r="AE110" i="13"/>
  <c r="R88" i="12"/>
  <c r="L91" i="14"/>
  <c r="X49" i="14"/>
  <c r="W100" i="9"/>
  <c r="W98" i="9"/>
  <c r="L36" i="9"/>
  <c r="AH59" i="9"/>
  <c r="AH48" i="9"/>
  <c r="L92" i="13"/>
  <c r="M89" i="13"/>
  <c r="AA72" i="13"/>
  <c r="S49" i="12"/>
  <c r="L92" i="12"/>
  <c r="AE89" i="15"/>
  <c r="AE107" i="15" s="1"/>
  <c r="V98" i="15"/>
  <c r="AC98" i="15"/>
  <c r="H111" i="9"/>
  <c r="Q49" i="10"/>
  <c r="AE88" i="13"/>
  <c r="L91" i="13"/>
  <c r="M87" i="13"/>
  <c r="L88" i="13"/>
  <c r="L97" i="13"/>
  <c r="AG14" i="12"/>
  <c r="S98" i="15"/>
  <c r="P49" i="14"/>
  <c r="Z49" i="14"/>
  <c r="AG60" i="14"/>
  <c r="AC96" i="15"/>
  <c r="AC90" i="13"/>
  <c r="AC92" i="13"/>
  <c r="AC86" i="13"/>
  <c r="W87" i="10"/>
  <c r="AG107" i="12"/>
  <c r="AG60" i="13"/>
  <c r="Z95" i="9"/>
  <c r="M91" i="14"/>
  <c r="AH71" i="15"/>
  <c r="AF24" i="9"/>
  <c r="AF60" i="12"/>
  <c r="AE109" i="9"/>
  <c r="Y96" i="9"/>
  <c r="AE81" i="9"/>
  <c r="AE91" i="9" s="1"/>
  <c r="AE100" i="9" s="1"/>
  <c r="AF36" i="10"/>
  <c r="AC91" i="13"/>
  <c r="AD36" i="15"/>
  <c r="AF46" i="9"/>
  <c r="AG95" i="12"/>
  <c r="AD60" i="12"/>
  <c r="U91" i="13"/>
  <c r="U100" i="13"/>
  <c r="V87" i="13"/>
  <c r="AE26" i="13"/>
  <c r="AE87" i="13"/>
  <c r="Z87" i="13"/>
  <c r="AF26" i="13"/>
  <c r="AF87" i="13"/>
  <c r="AF96" i="13"/>
  <c r="AD35" i="9"/>
  <c r="AH35" i="9"/>
  <c r="AE59" i="9"/>
  <c r="AH47" i="10"/>
  <c r="O97" i="10"/>
  <c r="F112" i="10"/>
  <c r="R97" i="14"/>
  <c r="AA97" i="15"/>
  <c r="Q98" i="9"/>
  <c r="AF59" i="9"/>
  <c r="AD14" i="12"/>
  <c r="AH14" i="12"/>
  <c r="AF14" i="12"/>
  <c r="N96" i="14"/>
  <c r="AD25" i="15"/>
  <c r="AD25" i="10"/>
  <c r="AH25" i="10"/>
  <c r="AA96" i="12"/>
  <c r="AA98" i="12"/>
  <c r="N88" i="14"/>
  <c r="AF12" i="9"/>
  <c r="AF13" i="9"/>
  <c r="AF86" i="9" s="1"/>
  <c r="AF95" i="9" s="1"/>
  <c r="AD71" i="10"/>
  <c r="AD100" i="10"/>
  <c r="P89" i="12"/>
  <c r="P98" i="12"/>
  <c r="X97" i="12"/>
  <c r="N90" i="13"/>
  <c r="R99" i="14"/>
  <c r="O90" i="12"/>
  <c r="O50" i="12"/>
  <c r="R90" i="13"/>
  <c r="R99" i="13" s="1"/>
  <c r="R50" i="13"/>
  <c r="M87" i="9"/>
  <c r="M96" i="9"/>
  <c r="M48" i="9"/>
  <c r="AD15" i="13"/>
  <c r="P91" i="13"/>
  <c r="P89" i="13"/>
  <c r="P87" i="13"/>
  <c r="P90" i="13"/>
  <c r="P92" i="13"/>
  <c r="P86" i="13"/>
  <c r="P88" i="13"/>
  <c r="AA94" i="9"/>
  <c r="P100" i="9"/>
  <c r="U95" i="9"/>
  <c r="X96" i="9"/>
  <c r="Y50" i="13"/>
  <c r="Y90" i="13"/>
  <c r="Y99" i="13"/>
  <c r="Q108" i="9"/>
  <c r="P96" i="9"/>
  <c r="AA98" i="9"/>
  <c r="W95" i="9"/>
  <c r="W96" i="9"/>
  <c r="Q106" i="9"/>
  <c r="V98" i="9"/>
  <c r="V96" i="9"/>
  <c r="AC98" i="9"/>
  <c r="AH91" i="9"/>
  <c r="AH26" i="12"/>
  <c r="AC88" i="13"/>
  <c r="AG37" i="13"/>
  <c r="O100" i="13"/>
  <c r="O91" i="13"/>
  <c r="O109" i="13"/>
  <c r="Z92" i="14"/>
  <c r="Z89" i="14"/>
  <c r="Z88" i="14"/>
  <c r="Z86" i="14"/>
  <c r="Z87" i="14"/>
  <c r="F111" i="9"/>
  <c r="AE14" i="10"/>
  <c r="AE60" i="10"/>
  <c r="L96" i="13"/>
  <c r="W49" i="12"/>
  <c r="AF71" i="13"/>
  <c r="AF100" i="13"/>
  <c r="AH14" i="14"/>
  <c r="Q88" i="14"/>
  <c r="AE71" i="14"/>
  <c r="AE100" i="14"/>
  <c r="AE91" i="14"/>
  <c r="V96" i="14"/>
  <c r="AH25" i="15"/>
  <c r="AE87" i="15"/>
  <c r="J88" i="15"/>
  <c r="Z49" i="15"/>
  <c r="AG91" i="15"/>
  <c r="AG109" i="15"/>
  <c r="F112" i="15"/>
  <c r="K89" i="9"/>
  <c r="K107" i="9"/>
  <c r="W48" i="9"/>
  <c r="AA48" i="9"/>
  <c r="AG70" i="9"/>
  <c r="AG99" i="9"/>
  <c r="AE70" i="9"/>
  <c r="AE99" i="9" s="1"/>
  <c r="J87" i="10"/>
  <c r="J96" i="10" s="1"/>
  <c r="J88" i="10"/>
  <c r="J86" i="10"/>
  <c r="J95" i="10"/>
  <c r="AE25" i="10"/>
  <c r="AB88" i="10"/>
  <c r="M89" i="10"/>
  <c r="AH71" i="10"/>
  <c r="AF71" i="10"/>
  <c r="AF100" i="10"/>
  <c r="AG71" i="10"/>
  <c r="AG100" i="10"/>
  <c r="O105" i="10"/>
  <c r="AG97" i="12"/>
  <c r="AH100" i="12"/>
  <c r="AG25" i="12"/>
  <c r="AF25" i="12"/>
  <c r="AE36" i="12"/>
  <c r="AG82" i="12"/>
  <c r="AE14" i="13"/>
  <c r="R101" i="13"/>
  <c r="G112" i="13"/>
  <c r="J87" i="14"/>
  <c r="J88" i="14"/>
  <c r="AG14" i="14"/>
  <c r="J89" i="14"/>
  <c r="J98" i="14" s="1"/>
  <c r="AE36" i="14"/>
  <c r="AD36" i="14"/>
  <c r="AH36" i="14"/>
  <c r="L88" i="14"/>
  <c r="AD71" i="14"/>
  <c r="AD100" i="14"/>
  <c r="AF71" i="14"/>
  <c r="AF100" i="14"/>
  <c r="AG82" i="14"/>
  <c r="X101" i="14"/>
  <c r="J90" i="15"/>
  <c r="J99" i="15" s="1"/>
  <c r="AG82" i="15"/>
  <c r="S95" i="15"/>
  <c r="I112" i="15"/>
  <c r="N88" i="10"/>
  <c r="J89" i="10"/>
  <c r="J90" i="10"/>
  <c r="W92" i="10"/>
  <c r="AG109" i="12"/>
  <c r="AF101" i="13"/>
  <c r="AD48" i="12"/>
  <c r="AG60" i="12"/>
  <c r="AG49" i="12"/>
  <c r="K61" i="12"/>
  <c r="AE60" i="13"/>
  <c r="AH60" i="13"/>
  <c r="AH49" i="13"/>
  <c r="Q90" i="14"/>
  <c r="X98" i="14"/>
  <c r="V99" i="14"/>
  <c r="X100" i="14"/>
  <c r="AG89" i="15"/>
  <c r="AG107" i="15" s="1"/>
  <c r="AG112" i="15" s="1"/>
  <c r="S96" i="15"/>
  <c r="Y96" i="15"/>
  <c r="AC99" i="15"/>
  <c r="AA101" i="15"/>
  <c r="AD81" i="9"/>
  <c r="AD91" i="9"/>
  <c r="AD100" i="9"/>
  <c r="I111" i="9"/>
  <c r="K37" i="10"/>
  <c r="AG47" i="10"/>
  <c r="K49" i="10"/>
  <c r="K61" i="10"/>
  <c r="AD82" i="10"/>
  <c r="AF82" i="10"/>
  <c r="J98" i="13"/>
  <c r="AA101" i="12"/>
  <c r="Q87" i="12"/>
  <c r="AD47" i="12"/>
  <c r="AE47" i="12"/>
  <c r="Y49" i="12"/>
  <c r="AC49" i="12"/>
  <c r="Z49" i="12"/>
  <c r="AE82" i="12"/>
  <c r="AD82" i="12"/>
  <c r="AH82" i="12"/>
  <c r="AF82" i="12"/>
  <c r="P92" i="12"/>
  <c r="P101" i="12" s="1"/>
  <c r="AD26" i="13"/>
  <c r="AB87" i="13"/>
  <c r="AB96" i="13"/>
  <c r="AD36" i="13"/>
  <c r="AH36" i="13"/>
  <c r="AE36" i="13"/>
  <c r="AG50" i="13"/>
  <c r="AE50" i="15"/>
  <c r="AE47" i="14"/>
  <c r="N90" i="14"/>
  <c r="N108" i="14"/>
  <c r="R98" i="14"/>
  <c r="U96" i="14"/>
  <c r="W97" i="14"/>
  <c r="O106" i="15"/>
  <c r="Y98" i="15"/>
  <c r="M109" i="9"/>
  <c r="M94" i="9"/>
  <c r="AF88" i="9"/>
  <c r="AF97" i="9" s="1"/>
  <c r="N48" i="10"/>
  <c r="N49" i="10"/>
  <c r="W61" i="10"/>
  <c r="AE61" i="10" s="1"/>
  <c r="W49" i="10"/>
  <c r="AH89" i="9"/>
  <c r="AE35" i="9"/>
  <c r="M90" i="9"/>
  <c r="M108" i="9" s="1"/>
  <c r="M111" i="9" s="1"/>
  <c r="AF81" i="9"/>
  <c r="AF91" i="9"/>
  <c r="AF100" i="9"/>
  <c r="AE48" i="10"/>
  <c r="AG25" i="10"/>
  <c r="V87" i="10"/>
  <c r="V96" i="10"/>
  <c r="AG36" i="10"/>
  <c r="AC49" i="10"/>
  <c r="AC48" i="10"/>
  <c r="AF60" i="10"/>
  <c r="U100" i="10"/>
  <c r="AE72" i="10"/>
  <c r="Y100" i="10"/>
  <c r="Y72" i="10"/>
  <c r="Y91" i="10"/>
  <c r="P98" i="13"/>
  <c r="N86" i="10"/>
  <c r="N15" i="10"/>
  <c r="N92" i="10"/>
  <c r="O50" i="10"/>
  <c r="O90" i="10"/>
  <c r="O108" i="10"/>
  <c r="V89" i="13"/>
  <c r="V98" i="13" s="1"/>
  <c r="AH48" i="13"/>
  <c r="AE48" i="13"/>
  <c r="V50" i="13"/>
  <c r="K108" i="12"/>
  <c r="K99" i="12"/>
  <c r="Q100" i="14"/>
  <c r="Q91" i="14"/>
  <c r="W95" i="15"/>
  <c r="W96" i="15"/>
  <c r="W97" i="15"/>
  <c r="J91" i="9"/>
  <c r="M86" i="9"/>
  <c r="K104" i="9"/>
  <c r="K111" i="9" s="1"/>
  <c r="N87" i="9"/>
  <c r="K48" i="9"/>
  <c r="Q95" i="9"/>
  <c r="Q97" i="9"/>
  <c r="T97" i="9"/>
  <c r="AC100" i="9"/>
  <c r="J85" i="9"/>
  <c r="J94" i="9" s="1"/>
  <c r="M83" i="9"/>
  <c r="K90" i="9"/>
  <c r="K108" i="9"/>
  <c r="AA96" i="9"/>
  <c r="T100" i="9"/>
  <c r="N91" i="10"/>
  <c r="L87" i="10"/>
  <c r="L84" i="10"/>
  <c r="L72" i="10"/>
  <c r="L89" i="10"/>
  <c r="L98" i="10" s="1"/>
  <c r="L61" i="10"/>
  <c r="L49" i="10"/>
  <c r="L90" i="10"/>
  <c r="L108" i="10" s="1"/>
  <c r="L26" i="10"/>
  <c r="AG60" i="10"/>
  <c r="AG49" i="10" s="1"/>
  <c r="V91" i="10"/>
  <c r="V92" i="10"/>
  <c r="V101" i="10"/>
  <c r="M49" i="13"/>
  <c r="M90" i="13"/>
  <c r="Y100" i="13"/>
  <c r="Y72" i="13"/>
  <c r="U92" i="13"/>
  <c r="U101" i="13"/>
  <c r="AE83" i="13"/>
  <c r="AE92" i="13"/>
  <c r="AE101" i="13" s="1"/>
  <c r="AG59" i="9"/>
  <c r="P91" i="14"/>
  <c r="AD15" i="14"/>
  <c r="AD86" i="14"/>
  <c r="AD99" i="14" s="1"/>
  <c r="P89" i="14"/>
  <c r="P90" i="14"/>
  <c r="P86" i="14"/>
  <c r="P87" i="14"/>
  <c r="P106" i="9"/>
  <c r="Q94" i="9"/>
  <c r="Q105" i="9"/>
  <c r="Q111" i="9" s="1"/>
  <c r="Q104" i="9"/>
  <c r="AA95" i="9"/>
  <c r="AC96" i="9"/>
  <c r="M88" i="9"/>
  <c r="M97" i="9" s="1"/>
  <c r="M89" i="9"/>
  <c r="AB95" i="9"/>
  <c r="X97" i="9"/>
  <c r="T96" i="9"/>
  <c r="J89" i="9"/>
  <c r="AH81" i="9"/>
  <c r="AH60" i="9"/>
  <c r="AD60" i="9"/>
  <c r="AD49" i="9" s="1"/>
  <c r="P49" i="9"/>
  <c r="N87" i="10"/>
  <c r="N105" i="10"/>
  <c r="AD14" i="10"/>
  <c r="AF48" i="10"/>
  <c r="N90" i="10"/>
  <c r="N99" i="10" s="1"/>
  <c r="AD37" i="10"/>
  <c r="V88" i="10"/>
  <c r="V97" i="10" s="1"/>
  <c r="AF47" i="10"/>
  <c r="AF49" i="10" s="1"/>
  <c r="AE47" i="10"/>
  <c r="AH60" i="10"/>
  <c r="AC95" i="12"/>
  <c r="AC99" i="12"/>
  <c r="AC101" i="12"/>
  <c r="AC96" i="12"/>
  <c r="AC98" i="12"/>
  <c r="J87" i="12"/>
  <c r="J90" i="12"/>
  <c r="M86" i="12"/>
  <c r="M98" i="12"/>
  <c r="M90" i="12"/>
  <c r="M84" i="12"/>
  <c r="L49" i="12"/>
  <c r="L89" i="12"/>
  <c r="L98" i="12" s="1"/>
  <c r="P91" i="12"/>
  <c r="P109" i="12" s="1"/>
  <c r="AH72" i="12"/>
  <c r="N86" i="13"/>
  <c r="N99" i="13"/>
  <c r="N88" i="13"/>
  <c r="N15" i="13"/>
  <c r="N92" i="13" s="1"/>
  <c r="N101" i="13" s="1"/>
  <c r="N87" i="13"/>
  <c r="Q86" i="13"/>
  <c r="Q91" i="13"/>
  <c r="Q87" i="13"/>
  <c r="AH87" i="13" s="1"/>
  <c r="Q88" i="13"/>
  <c r="AA86" i="13"/>
  <c r="AA95" i="13" s="1"/>
  <c r="AG15" i="13"/>
  <c r="AG89" i="13" s="1"/>
  <c r="AA92" i="13"/>
  <c r="AA91" i="13"/>
  <c r="K88" i="13"/>
  <c r="K106" i="13" s="1"/>
  <c r="K37" i="13"/>
  <c r="R88" i="13"/>
  <c r="R97" i="13" s="1"/>
  <c r="AD37" i="13"/>
  <c r="AD88" i="13" s="1"/>
  <c r="U61" i="13"/>
  <c r="U49" i="13"/>
  <c r="X61" i="13"/>
  <c r="X50" i="13" s="1"/>
  <c r="X49" i="13"/>
  <c r="Z90" i="13"/>
  <c r="Z99" i="13" s="1"/>
  <c r="Z50" i="13"/>
  <c r="K100" i="13"/>
  <c r="K72" i="13"/>
  <c r="K91" i="13"/>
  <c r="K109" i="13"/>
  <c r="R91" i="13"/>
  <c r="AD72" i="13"/>
  <c r="AD91" i="13" s="1"/>
  <c r="AD109" i="13" s="1"/>
  <c r="AH26" i="14"/>
  <c r="AD26" i="14"/>
  <c r="AG35" i="9"/>
  <c r="K87" i="9"/>
  <c r="AB86" i="10"/>
  <c r="AB99" i="10" s="1"/>
  <c r="AD36" i="10"/>
  <c r="AH36" i="10"/>
  <c r="AE36" i="10"/>
  <c r="AF37" i="10"/>
  <c r="Y50" i="10"/>
  <c r="AB92" i="10"/>
  <c r="H112" i="10"/>
  <c r="J86" i="12"/>
  <c r="J95" i="12"/>
  <c r="N89" i="13"/>
  <c r="N98" i="13"/>
  <c r="N50" i="13"/>
  <c r="AG49" i="13"/>
  <c r="K110" i="12"/>
  <c r="K95" i="12"/>
  <c r="AD37" i="12"/>
  <c r="AH37" i="12"/>
  <c r="V48" i="12"/>
  <c r="V49" i="12"/>
  <c r="Q49" i="13"/>
  <c r="Q61" i="13"/>
  <c r="AD25" i="14"/>
  <c r="L83" i="9"/>
  <c r="AH14" i="10"/>
  <c r="AG14" i="10"/>
  <c r="AB91" i="10"/>
  <c r="U49" i="10"/>
  <c r="AB90" i="10"/>
  <c r="AE71" i="10"/>
  <c r="AE100" i="10"/>
  <c r="I112" i="10"/>
  <c r="M88" i="12"/>
  <c r="M97" i="12" s="1"/>
  <c r="W98" i="12"/>
  <c r="O108" i="12"/>
  <c r="O99" i="12"/>
  <c r="O61" i="13"/>
  <c r="O49" i="13"/>
  <c r="K37" i="14"/>
  <c r="K87" i="14"/>
  <c r="K72" i="14"/>
  <c r="K90" i="14"/>
  <c r="K86" i="14"/>
  <c r="K84" i="14"/>
  <c r="K91" i="14"/>
  <c r="K26" i="14"/>
  <c r="Y90" i="14"/>
  <c r="Y91" i="14"/>
  <c r="Y86" i="14"/>
  <c r="AH86" i="14" s="1"/>
  <c r="Y87" i="14"/>
  <c r="Y89" i="14"/>
  <c r="Y88" i="14"/>
  <c r="AF15" i="14"/>
  <c r="AF90" i="14"/>
  <c r="AD48" i="13"/>
  <c r="AD89" i="13"/>
  <c r="AD98" i="13" s="1"/>
  <c r="Z97" i="13"/>
  <c r="AE14" i="12"/>
  <c r="Z98" i="12"/>
  <c r="AB96" i="12"/>
  <c r="AG36" i="12"/>
  <c r="AF36" i="12"/>
  <c r="AD36" i="12"/>
  <c r="AH36" i="12"/>
  <c r="J88" i="12"/>
  <c r="AG26" i="13"/>
  <c r="V101" i="13"/>
  <c r="AD14" i="14"/>
  <c r="L37" i="14"/>
  <c r="L89" i="14"/>
  <c r="L72" i="14"/>
  <c r="AH25" i="14"/>
  <c r="AD37" i="14"/>
  <c r="AD88" i="14" s="1"/>
  <c r="P88" i="14"/>
  <c r="N100" i="14"/>
  <c r="N72" i="14"/>
  <c r="N91" i="14"/>
  <c r="N109" i="14" s="1"/>
  <c r="AH83" i="14"/>
  <c r="P92" i="14"/>
  <c r="O106" i="14"/>
  <c r="O110" i="14"/>
  <c r="Z98" i="13"/>
  <c r="Z96" i="13"/>
  <c r="Z101" i="13"/>
  <c r="AA97" i="12"/>
  <c r="AE25" i="12"/>
  <c r="AD26" i="12"/>
  <c r="AG25" i="13"/>
  <c r="AH25" i="13"/>
  <c r="V96" i="13"/>
  <c r="L90" i="14"/>
  <c r="J99" i="14"/>
  <c r="J95" i="14"/>
  <c r="J96" i="14"/>
  <c r="AC91" i="14"/>
  <c r="AC89" i="14"/>
  <c r="AC90" i="14"/>
  <c r="AE25" i="14"/>
  <c r="AA61" i="14"/>
  <c r="AH61" i="14" s="1"/>
  <c r="AA49" i="14"/>
  <c r="W99" i="15"/>
  <c r="W101" i="15"/>
  <c r="Z97" i="12"/>
  <c r="AF49" i="12"/>
  <c r="AD25" i="12"/>
  <c r="M87" i="12"/>
  <c r="M105" i="12" s="1"/>
  <c r="AH47" i="12"/>
  <c r="AH49" i="12"/>
  <c r="K89" i="12"/>
  <c r="K98" i="12"/>
  <c r="O97" i="12"/>
  <c r="AD60" i="13"/>
  <c r="AD49" i="13" s="1"/>
  <c r="AE82" i="13"/>
  <c r="AH82" i="13"/>
  <c r="V97" i="13"/>
  <c r="O98" i="13"/>
  <c r="AC88" i="14"/>
  <c r="AC86" i="14"/>
  <c r="AC95" i="14"/>
  <c r="AC87" i="14"/>
  <c r="AH71" i="12"/>
  <c r="AF71" i="12"/>
  <c r="AF100" i="12"/>
  <c r="F112" i="12"/>
  <c r="AE71" i="13"/>
  <c r="AE100" i="13" s="1"/>
  <c r="O101" i="13"/>
  <c r="I112" i="13"/>
  <c r="M89" i="14"/>
  <c r="M107" i="14" s="1"/>
  <c r="J92" i="14"/>
  <c r="Q87" i="14"/>
  <c r="AG47" i="14"/>
  <c r="AG49" i="14"/>
  <c r="AF47" i="14"/>
  <c r="N48" i="14"/>
  <c r="W49" i="14"/>
  <c r="AD60" i="14"/>
  <c r="AH60" i="14"/>
  <c r="AF60" i="14"/>
  <c r="AH82" i="14"/>
  <c r="AE82" i="14"/>
  <c r="V98" i="14"/>
  <c r="X99" i="14"/>
  <c r="V101" i="14"/>
  <c r="H112" i="14"/>
  <c r="W98" i="15"/>
  <c r="AE60" i="15"/>
  <c r="AB49" i="15"/>
  <c r="AE71" i="15"/>
  <c r="AE100" i="15" s="1"/>
  <c r="AG71" i="15"/>
  <c r="AG100" i="15" s="1"/>
  <c r="S97" i="15"/>
  <c r="AB97" i="15"/>
  <c r="Y99" i="15"/>
  <c r="G112" i="15"/>
  <c r="H112" i="13"/>
  <c r="AF14" i="14"/>
  <c r="AE60" i="14"/>
  <c r="K61" i="14"/>
  <c r="U49" i="14"/>
  <c r="Y49" i="14"/>
  <c r="X96" i="14"/>
  <c r="G112" i="14"/>
  <c r="I112" i="14"/>
  <c r="AE91" i="15"/>
  <c r="AE109" i="15"/>
  <c r="AE88" i="15"/>
  <c r="AE97" i="15"/>
  <c r="AF47" i="15"/>
  <c r="AE47" i="15"/>
  <c r="N49" i="15"/>
  <c r="AF82" i="14"/>
  <c r="O101" i="14"/>
  <c r="X97" i="14"/>
  <c r="R49" i="15"/>
  <c r="AF48" i="9"/>
  <c r="AF89" i="9"/>
  <c r="AF98" i="9"/>
  <c r="O99" i="9"/>
  <c r="O90" i="9"/>
  <c r="O108" i="9" s="1"/>
  <c r="O94" i="9"/>
  <c r="O95" i="9"/>
  <c r="O96" i="9"/>
  <c r="O104" i="9"/>
  <c r="N96" i="10"/>
  <c r="L88" i="10"/>
  <c r="L97" i="10" s="1"/>
  <c r="L37" i="10"/>
  <c r="T100" i="10"/>
  <c r="AE83" i="10"/>
  <c r="O110" i="10"/>
  <c r="O107" i="10"/>
  <c r="AB100" i="14"/>
  <c r="AH100" i="14" s="1"/>
  <c r="AB72" i="14"/>
  <c r="AF91" i="15"/>
  <c r="AF92" i="15"/>
  <c r="AF89" i="15"/>
  <c r="AF90" i="15"/>
  <c r="AF86" i="15"/>
  <c r="AF95" i="15" s="1"/>
  <c r="AF87" i="15"/>
  <c r="AF96" i="15" s="1"/>
  <c r="U96" i="9"/>
  <c r="N85" i="9"/>
  <c r="N108" i="9" s="1"/>
  <c r="N86" i="9"/>
  <c r="AD83" i="10"/>
  <c r="AH83" i="10"/>
  <c r="X98" i="9"/>
  <c r="AH88" i="9"/>
  <c r="AB97" i="9"/>
  <c r="M105" i="9"/>
  <c r="Q100" i="9"/>
  <c r="Q107" i="9"/>
  <c r="AB96" i="9"/>
  <c r="U98" i="9"/>
  <c r="J86" i="9"/>
  <c r="J95" i="9"/>
  <c r="K36" i="9"/>
  <c r="AH90" i="9"/>
  <c r="L86" i="9"/>
  <c r="L89" i="9"/>
  <c r="L107" i="9" s="1"/>
  <c r="L25" i="9"/>
  <c r="L48" i="9"/>
  <c r="L60" i="9"/>
  <c r="AF70" i="9"/>
  <c r="AE12" i="9"/>
  <c r="AE13" i="9"/>
  <c r="AE24" i="9"/>
  <c r="AD48" i="10"/>
  <c r="AD50" i="10" s="1"/>
  <c r="O96" i="10"/>
  <c r="O100" i="10"/>
  <c r="W91" i="10"/>
  <c r="W86" i="10"/>
  <c r="W96" i="10" s="1"/>
  <c r="W90" i="10"/>
  <c r="W99" i="10" s="1"/>
  <c r="Y86" i="10"/>
  <c r="Y89" i="10"/>
  <c r="Y98" i="10" s="1"/>
  <c r="Y90" i="10"/>
  <c r="Y92" i="10"/>
  <c r="Q50" i="10"/>
  <c r="AH48" i="10"/>
  <c r="AH50" i="10" s="1"/>
  <c r="V89" i="10"/>
  <c r="V98" i="10"/>
  <c r="V50" i="10"/>
  <c r="P61" i="10"/>
  <c r="P49" i="10"/>
  <c r="U50" i="10"/>
  <c r="Z61" i="10"/>
  <c r="Z49" i="10"/>
  <c r="L100" i="9"/>
  <c r="L91" i="9"/>
  <c r="AG12" i="9"/>
  <c r="AG13" i="9"/>
  <c r="AA13" i="9"/>
  <c r="AE105" i="15"/>
  <c r="AE96" i="15"/>
  <c r="Z95" i="15"/>
  <c r="Z101" i="15"/>
  <c r="Z99" i="15"/>
  <c r="Z96" i="15"/>
  <c r="K88" i="9"/>
  <c r="AH86" i="9"/>
  <c r="AC50" i="10"/>
  <c r="AF72" i="10"/>
  <c r="O109" i="10"/>
  <c r="Y97" i="9"/>
  <c r="U97" i="9"/>
  <c r="AH85" i="9"/>
  <c r="O49" i="9"/>
  <c r="O105" i="9"/>
  <c r="K60" i="9"/>
  <c r="N14" i="9"/>
  <c r="N91" i="9"/>
  <c r="J87" i="9"/>
  <c r="J96" i="9"/>
  <c r="AA100" i="9"/>
  <c r="AH87" i="9"/>
  <c r="AD24" i="9"/>
  <c r="AF35" i="9"/>
  <c r="AF87" i="9" s="1"/>
  <c r="AF96" i="9" s="1"/>
  <c r="AG46" i="9"/>
  <c r="J88" i="9"/>
  <c r="N48" i="9"/>
  <c r="N47" i="9"/>
  <c r="O109" i="9"/>
  <c r="O106" i="9"/>
  <c r="AG24" i="9"/>
  <c r="AE46" i="9"/>
  <c r="AH12" i="9"/>
  <c r="AH13" i="9" s="1"/>
  <c r="Q13" i="9"/>
  <c r="AD12" i="9"/>
  <c r="AD13" i="9"/>
  <c r="AD86" i="9" s="1"/>
  <c r="O98" i="10"/>
  <c r="O95" i="10"/>
  <c r="O106" i="10"/>
  <c r="AG26" i="10"/>
  <c r="AH37" i="10"/>
  <c r="AG37" i="10"/>
  <c r="X61" i="10"/>
  <c r="X49" i="10"/>
  <c r="AG61" i="10"/>
  <c r="AA50" i="10"/>
  <c r="W91" i="13"/>
  <c r="AE72" i="13"/>
  <c r="AE91" i="13"/>
  <c r="AE109" i="13" s="1"/>
  <c r="AF86" i="12"/>
  <c r="AF95" i="12" s="1"/>
  <c r="AF88" i="12"/>
  <c r="AF92" i="12"/>
  <c r="AF87" i="12"/>
  <c r="AF96" i="12" s="1"/>
  <c r="Y96" i="12"/>
  <c r="Y98" i="12"/>
  <c r="Y99" i="12"/>
  <c r="AG61" i="12"/>
  <c r="AA90" i="12"/>
  <c r="AA99" i="12"/>
  <c r="AA50" i="12"/>
  <c r="Q88" i="12"/>
  <c r="Q97" i="12" s="1"/>
  <c r="Q90" i="12"/>
  <c r="Q86" i="12"/>
  <c r="Q92" i="12"/>
  <c r="AD15" i="12"/>
  <c r="AD89" i="12" s="1"/>
  <c r="X89" i="10"/>
  <c r="X98" i="10" s="1"/>
  <c r="M87" i="10"/>
  <c r="M86" i="10"/>
  <c r="M88" i="10"/>
  <c r="W88" i="10"/>
  <c r="W89" i="10"/>
  <c r="AB50" i="10"/>
  <c r="AB89" i="10"/>
  <c r="AB98" i="10" s="1"/>
  <c r="M90" i="10"/>
  <c r="AD72" i="10"/>
  <c r="AC100" i="10"/>
  <c r="AC72" i="10"/>
  <c r="X92" i="10"/>
  <c r="X101" i="10" s="1"/>
  <c r="AF83" i="10"/>
  <c r="AG83" i="10"/>
  <c r="AF91" i="12"/>
  <c r="AC95" i="13"/>
  <c r="N15" i="12"/>
  <c r="N92" i="12" s="1"/>
  <c r="N101" i="12" s="1"/>
  <c r="N87" i="12"/>
  <c r="N86" i="12"/>
  <c r="R86" i="12"/>
  <c r="R95" i="12" s="1"/>
  <c r="R92" i="12"/>
  <c r="AH92" i="12" s="1"/>
  <c r="R91" i="12"/>
  <c r="R87" i="12"/>
  <c r="R89" i="12"/>
  <c r="AE92" i="12"/>
  <c r="AE87" i="12"/>
  <c r="AE91" i="12"/>
  <c r="AE88" i="12"/>
  <c r="AE86" i="12"/>
  <c r="AE95" i="12" s="1"/>
  <c r="AE90" i="12"/>
  <c r="N88" i="12"/>
  <c r="R61" i="12"/>
  <c r="R49" i="12"/>
  <c r="O100" i="12"/>
  <c r="O91" i="12"/>
  <c r="O109" i="12" s="1"/>
  <c r="O112" i="12" s="1"/>
  <c r="P106" i="14"/>
  <c r="P112" i="14" s="1"/>
  <c r="K86" i="10"/>
  <c r="K88" i="10"/>
  <c r="AE37" i="10"/>
  <c r="X88" i="10"/>
  <c r="X97" i="10" s="1"/>
  <c r="T61" i="10"/>
  <c r="T49" i="10"/>
  <c r="L110" i="13"/>
  <c r="L99" i="13"/>
  <c r="L95" i="13"/>
  <c r="L108" i="13"/>
  <c r="L105" i="13"/>
  <c r="L112" i="13" s="1"/>
  <c r="L106" i="13"/>
  <c r="N48" i="12"/>
  <c r="N49" i="12"/>
  <c r="Q50" i="12"/>
  <c r="Q89" i="12"/>
  <c r="Q107" i="12" s="1"/>
  <c r="N90" i="12"/>
  <c r="P61" i="12"/>
  <c r="P49" i="12"/>
  <c r="L109" i="13"/>
  <c r="L26" i="12"/>
  <c r="L87" i="12"/>
  <c r="L90" i="12"/>
  <c r="L88" i="12"/>
  <c r="L106" i="12" s="1"/>
  <c r="P87" i="12"/>
  <c r="AH15" i="12"/>
  <c r="X48" i="12"/>
  <c r="X49" i="12"/>
  <c r="Y97" i="12"/>
  <c r="J89" i="12"/>
  <c r="J98" i="12" s="1"/>
  <c r="J91" i="12"/>
  <c r="AD72" i="12"/>
  <c r="Q91" i="12"/>
  <c r="AH83" i="12"/>
  <c r="AD83" i="12"/>
  <c r="AD92" i="12" s="1"/>
  <c r="AD101" i="12" s="1"/>
  <c r="W95" i="12"/>
  <c r="W99" i="12"/>
  <c r="W97" i="12"/>
  <c r="W101" i="12"/>
  <c r="AH15" i="13"/>
  <c r="AA88" i="13"/>
  <c r="AA89" i="13"/>
  <c r="AA87" i="13"/>
  <c r="AA96" i="13"/>
  <c r="AC89" i="13"/>
  <c r="AC98" i="13"/>
  <c r="AC87" i="13"/>
  <c r="AC96" i="13"/>
  <c r="R87" i="13"/>
  <c r="R96" i="13"/>
  <c r="AH26" i="13"/>
  <c r="AH37" i="13"/>
  <c r="AF37" i="13"/>
  <c r="AF88" i="13"/>
  <c r="AF97" i="13" s="1"/>
  <c r="AB100" i="13"/>
  <c r="AB72" i="13"/>
  <c r="M92" i="13"/>
  <c r="M84" i="13"/>
  <c r="AH83" i="13"/>
  <c r="Q92" i="13"/>
  <c r="AD83" i="13"/>
  <c r="AD92" i="13" s="1"/>
  <c r="AD101" i="13" s="1"/>
  <c r="Y95" i="13"/>
  <c r="Y97" i="13"/>
  <c r="N97" i="14"/>
  <c r="N106" i="14"/>
  <c r="K108" i="14"/>
  <c r="K99" i="14"/>
  <c r="K89" i="14"/>
  <c r="K98" i="14" s="1"/>
  <c r="K49" i="14"/>
  <c r="Q50" i="14"/>
  <c r="AD48" i="14"/>
  <c r="AD61" i="14"/>
  <c r="P50" i="14"/>
  <c r="W95" i="14"/>
  <c r="W101" i="14"/>
  <c r="W98" i="14"/>
  <c r="W96" i="14"/>
  <c r="W101" i="13"/>
  <c r="N99" i="14"/>
  <c r="N95" i="14"/>
  <c r="N110" i="14"/>
  <c r="N105" i="14"/>
  <c r="AA91" i="14"/>
  <c r="AA89" i="14"/>
  <c r="AA86" i="14"/>
  <c r="AA87" i="14"/>
  <c r="AG15" i="14"/>
  <c r="AA92" i="14"/>
  <c r="J97" i="14"/>
  <c r="AB92" i="14"/>
  <c r="AH92" i="14" s="1"/>
  <c r="AB88" i="14"/>
  <c r="AB90" i="14"/>
  <c r="AB87" i="14"/>
  <c r="AG25" i="14"/>
  <c r="AH47" i="14"/>
  <c r="AH49" i="14"/>
  <c r="M90" i="14"/>
  <c r="O90" i="14"/>
  <c r="O108" i="14" s="1"/>
  <c r="O50" i="14"/>
  <c r="K92" i="14"/>
  <c r="K101" i="14"/>
  <c r="U95" i="14"/>
  <c r="U97" i="14"/>
  <c r="O97" i="14"/>
  <c r="U98" i="14"/>
  <c r="K61" i="15"/>
  <c r="X95" i="15"/>
  <c r="X99" i="15"/>
  <c r="X98" i="15"/>
  <c r="Z98" i="15"/>
  <c r="AB86" i="14"/>
  <c r="AB95" i="14"/>
  <c r="M86" i="14"/>
  <c r="M87" i="14"/>
  <c r="M96" i="14" s="1"/>
  <c r="M88" i="14"/>
  <c r="AF36" i="14"/>
  <c r="AH71" i="14"/>
  <c r="AD72" i="14"/>
  <c r="Q92" i="14"/>
  <c r="O105" i="14"/>
  <c r="U101" i="14"/>
  <c r="AG108" i="15"/>
  <c r="AG98" i="15"/>
  <c r="AE99" i="15"/>
  <c r="AE108" i="15"/>
  <c r="K26" i="15"/>
  <c r="K87" i="15"/>
  <c r="K37" i="15"/>
  <c r="K88" i="15"/>
  <c r="K72" i="15"/>
  <c r="K86" i="15"/>
  <c r="K95" i="15"/>
  <c r="Z97" i="15"/>
  <c r="V95" i="15"/>
  <c r="V101" i="15"/>
  <c r="V99" i="15"/>
  <c r="V96" i="15"/>
  <c r="O96" i="15"/>
  <c r="O105" i="15"/>
  <c r="X96" i="15"/>
  <c r="AE86" i="14"/>
  <c r="AE97" i="14"/>
  <c r="AH15" i="14"/>
  <c r="Z91" i="14"/>
  <c r="AH37" i="14"/>
  <c r="Z90" i="14"/>
  <c r="Z99" i="14" s="1"/>
  <c r="Q86" i="14"/>
  <c r="AD47" i="14"/>
  <c r="AE50" i="14"/>
  <c r="AE89" i="14"/>
  <c r="O98" i="14"/>
  <c r="O107" i="14"/>
  <c r="O112" i="14" s="1"/>
  <c r="F112" i="14"/>
  <c r="K84" i="15"/>
  <c r="K90" i="15"/>
  <c r="K108" i="15"/>
  <c r="K49" i="15"/>
  <c r="AE95" i="15"/>
  <c r="AE110" i="15"/>
  <c r="O95" i="15"/>
  <c r="O107" i="15"/>
  <c r="O98" i="15"/>
  <c r="AB95" i="15"/>
  <c r="AB98" i="15"/>
  <c r="AB101" i="15"/>
  <c r="AB99" i="15"/>
  <c r="L49" i="14"/>
  <c r="Q49" i="14"/>
  <c r="L84" i="14"/>
  <c r="O96" i="14"/>
  <c r="AG47" i="15"/>
  <c r="X49" i="15"/>
  <c r="AG60" i="15"/>
  <c r="AF60" i="15"/>
  <c r="AD60" i="15"/>
  <c r="AH60" i="15"/>
  <c r="AH49" i="15" s="1"/>
  <c r="AE82" i="15"/>
  <c r="AD82" i="15"/>
  <c r="AH82" i="15"/>
  <c r="AF82" i="15"/>
  <c r="L26" i="14"/>
  <c r="L86" i="14"/>
  <c r="L105" i="14" s="1"/>
  <c r="L112" i="14" s="1"/>
  <c r="J96" i="15"/>
  <c r="AH48" i="15"/>
  <c r="S49" i="15"/>
  <c r="O97" i="15"/>
  <c r="N92" i="15"/>
  <c r="N101" i="15"/>
  <c r="AH26" i="15"/>
  <c r="AE36" i="15"/>
  <c r="AH47" i="15"/>
  <c r="AF71" i="15"/>
  <c r="AF100" i="15" s="1"/>
  <c r="O101" i="15"/>
  <c r="P86" i="16"/>
  <c r="AF14" i="15"/>
  <c r="N95" i="15"/>
  <c r="L88" i="15"/>
  <c r="M91" i="15"/>
  <c r="M109" i="15" s="1"/>
  <c r="M112" i="15" s="1"/>
  <c r="L61" i="15"/>
  <c r="L72" i="15"/>
  <c r="L91" i="15"/>
  <c r="L26" i="15"/>
  <c r="L89" i="15"/>
  <c r="L49" i="15"/>
  <c r="L90" i="15"/>
  <c r="L37" i="15"/>
  <c r="L86" i="15"/>
  <c r="L107" i="15" s="1"/>
  <c r="J97" i="15"/>
  <c r="AG14" i="15"/>
  <c r="M100" i="16"/>
  <c r="AG100" i="16"/>
  <c r="AD98" i="16"/>
  <c r="AD83" i="16"/>
  <c r="AD93" i="16"/>
  <c r="AD84" i="16"/>
  <c r="AD71" i="15"/>
  <c r="AD100" i="15"/>
  <c r="N72" i="15"/>
  <c r="N91" i="15"/>
  <c r="N109" i="15" s="1"/>
  <c r="N112" i="15" s="1"/>
  <c r="N50" i="15"/>
  <c r="N90" i="15"/>
  <c r="R50" i="15"/>
  <c r="AA49" i="15"/>
  <c r="AD47" i="15"/>
  <c r="AD49" i="15" s="1"/>
  <c r="Q49" i="15"/>
  <c r="Y49" i="15"/>
  <c r="AC49" i="15"/>
  <c r="X88" i="15"/>
  <c r="X97" i="15" s="1"/>
  <c r="AF37" i="15"/>
  <c r="AF88" i="15" s="1"/>
  <c r="AF97" i="15" s="1"/>
  <c r="AH37" i="15"/>
  <c r="AF36" i="15"/>
  <c r="AG36" i="15"/>
  <c r="AH36" i="15"/>
  <c r="AF25" i="15"/>
  <c r="AE25" i="15"/>
  <c r="P87" i="15"/>
  <c r="P105" i="15" s="1"/>
  <c r="AH15" i="15"/>
  <c r="P90" i="15"/>
  <c r="Q87" i="15"/>
  <c r="Q92" i="15"/>
  <c r="Q86" i="15"/>
  <c r="J89" i="15"/>
  <c r="J98" i="15" s="1"/>
  <c r="N107" i="15"/>
  <c r="N88" i="15"/>
  <c r="N106" i="15"/>
  <c r="R92" i="15"/>
  <c r="AD14" i="15"/>
  <c r="AH14" i="15"/>
  <c r="L84" i="15"/>
  <c r="AD83" i="15"/>
  <c r="AH83" i="15"/>
  <c r="P92" i="15"/>
  <c r="L101" i="15"/>
  <c r="O100" i="15"/>
  <c r="O91" i="15"/>
  <c r="O109" i="15" s="1"/>
  <c r="Q91" i="15"/>
  <c r="Q109" i="15" s="1"/>
  <c r="AD72" i="15"/>
  <c r="P100" i="15"/>
  <c r="AH72" i="15"/>
  <c r="O50" i="15"/>
  <c r="O90" i="15"/>
  <c r="AH61" i="15"/>
  <c r="AD61" i="15"/>
  <c r="Q90" i="15"/>
  <c r="Q108" i="15" s="1"/>
  <c r="O49" i="15"/>
  <c r="AF49" i="15"/>
  <c r="M49" i="15"/>
  <c r="Q89" i="15"/>
  <c r="Q98" i="15" s="1"/>
  <c r="Q50" i="15"/>
  <c r="M89" i="15"/>
  <c r="M98" i="15" s="1"/>
  <c r="AD48" i="15"/>
  <c r="AD89" i="15" s="1"/>
  <c r="P50" i="15"/>
  <c r="Q88" i="15"/>
  <c r="Q106" i="15" s="1"/>
  <c r="Q112" i="15" s="1"/>
  <c r="AD37" i="15"/>
  <c r="AE106" i="15"/>
  <c r="AE112" i="15" s="1"/>
  <c r="P88" i="15"/>
  <c r="V88" i="15"/>
  <c r="V97" i="15" s="1"/>
  <c r="R88" i="15"/>
  <c r="AH88" i="15" s="1"/>
  <c r="M110" i="15"/>
  <c r="M95" i="15"/>
  <c r="M87" i="15"/>
  <c r="M96" i="15"/>
  <c r="N98" i="15"/>
  <c r="M88" i="15"/>
  <c r="M84" i="15"/>
  <c r="R90" i="15"/>
  <c r="R99" i="15" s="1"/>
  <c r="P91" i="15"/>
  <c r="P86" i="15"/>
  <c r="N87" i="15"/>
  <c r="N96" i="15"/>
  <c r="M90" i="15"/>
  <c r="R89" i="15"/>
  <c r="AD15" i="15"/>
  <c r="P89" i="15"/>
  <c r="P98" i="15" s="1"/>
  <c r="R86" i="15"/>
  <c r="R95" i="15"/>
  <c r="R91" i="15"/>
  <c r="R87" i="15"/>
  <c r="AH87" i="15" s="1"/>
  <c r="AD26" i="15"/>
  <c r="AG97" i="15"/>
  <c r="AD90" i="14"/>
  <c r="L107" i="12"/>
  <c r="J97" i="12"/>
  <c r="AH49" i="10"/>
  <c r="AG101" i="15"/>
  <c r="AG106" i="15"/>
  <c r="AH100" i="13"/>
  <c r="K107" i="12"/>
  <c r="AD92" i="14"/>
  <c r="AD101" i="14" s="1"/>
  <c r="AE49" i="12"/>
  <c r="AG105" i="15"/>
  <c r="AD49" i="14"/>
  <c r="AG110" i="15"/>
  <c r="Q96" i="12"/>
  <c r="AG105" i="12"/>
  <c r="P111" i="9"/>
  <c r="P109" i="13"/>
  <c r="K98" i="13"/>
  <c r="P107" i="13"/>
  <c r="AC97" i="13"/>
  <c r="L110" i="12"/>
  <c r="L95" i="12"/>
  <c r="K108" i="13"/>
  <c r="K99" i="13"/>
  <c r="N107" i="13"/>
  <c r="N109" i="13"/>
  <c r="AE49" i="13"/>
  <c r="AC99" i="13"/>
  <c r="AG96" i="15"/>
  <c r="K107" i="13"/>
  <c r="AD91" i="12"/>
  <c r="W97" i="10"/>
  <c r="K105" i="13"/>
  <c r="K112" i="13" s="1"/>
  <c r="K110" i="13"/>
  <c r="K95" i="13"/>
  <c r="K96" i="13"/>
  <c r="L105" i="9"/>
  <c r="K98" i="9"/>
  <c r="AE49" i="14"/>
  <c r="M96" i="13"/>
  <c r="M105" i="13"/>
  <c r="M112" i="13" s="1"/>
  <c r="M109" i="12"/>
  <c r="L94" i="9"/>
  <c r="L96" i="9"/>
  <c r="L97" i="9"/>
  <c r="AE98" i="15"/>
  <c r="AE97" i="13"/>
  <c r="AE106" i="13"/>
  <c r="L108" i="9"/>
  <c r="AG90" i="13"/>
  <c r="AE49" i="10"/>
  <c r="J99" i="10"/>
  <c r="L106" i="9"/>
  <c r="AA101" i="14"/>
  <c r="AG92" i="13"/>
  <c r="P107" i="12"/>
  <c r="M107" i="13"/>
  <c r="M98" i="13"/>
  <c r="AD49" i="12"/>
  <c r="P96" i="13"/>
  <c r="AE49" i="15"/>
  <c r="J98" i="10"/>
  <c r="L98" i="13"/>
  <c r="L107" i="13"/>
  <c r="AA96" i="14"/>
  <c r="AG49" i="15"/>
  <c r="R98" i="12"/>
  <c r="AC101" i="13"/>
  <c r="P105" i="13"/>
  <c r="AE96" i="13"/>
  <c r="AE105" i="13"/>
  <c r="Z96" i="14"/>
  <c r="P101" i="13"/>
  <c r="AC97" i="14"/>
  <c r="L98" i="14"/>
  <c r="AB101" i="10"/>
  <c r="Q109" i="13"/>
  <c r="P109" i="14"/>
  <c r="AA98" i="14"/>
  <c r="Z101" i="14"/>
  <c r="Z95" i="14"/>
  <c r="P108" i="13"/>
  <c r="P99" i="13"/>
  <c r="AD87" i="13"/>
  <c r="AD86" i="13"/>
  <c r="AD95" i="13" s="1"/>
  <c r="AB97" i="14"/>
  <c r="L96" i="14"/>
  <c r="AC98" i="14"/>
  <c r="J96" i="12"/>
  <c r="N96" i="9"/>
  <c r="J97" i="10"/>
  <c r="Z97" i="14"/>
  <c r="P106" i="13"/>
  <c r="P97" i="13"/>
  <c r="AA101" i="13"/>
  <c r="AC101" i="14"/>
  <c r="Z98" i="14"/>
  <c r="P95" i="13"/>
  <c r="P110" i="13"/>
  <c r="P112" i="13" s="1"/>
  <c r="K96" i="15"/>
  <c r="M99" i="13"/>
  <c r="M108" i="13"/>
  <c r="N95" i="10"/>
  <c r="N110" i="10"/>
  <c r="K97" i="15"/>
  <c r="AD95" i="14"/>
  <c r="AF99" i="15"/>
  <c r="K110" i="14"/>
  <c r="K95" i="14"/>
  <c r="O50" i="13"/>
  <c r="O90" i="13"/>
  <c r="O99" i="13" s="1"/>
  <c r="AD87" i="14"/>
  <c r="X90" i="13"/>
  <c r="X99" i="13" s="1"/>
  <c r="Q105" i="13"/>
  <c r="P110" i="14"/>
  <c r="P95" i="14"/>
  <c r="K98" i="15"/>
  <c r="K99" i="15"/>
  <c r="Q96" i="14"/>
  <c r="K106" i="15"/>
  <c r="Q97" i="14"/>
  <c r="P101" i="14"/>
  <c r="AD89" i="14"/>
  <c r="R97" i="12"/>
  <c r="W98" i="10"/>
  <c r="O112" i="10"/>
  <c r="N100" i="9"/>
  <c r="O99" i="10"/>
  <c r="AH98" i="9"/>
  <c r="M106" i="9"/>
  <c r="AH96" i="9"/>
  <c r="AF98" i="15"/>
  <c r="AF49" i="14"/>
  <c r="AC96" i="14"/>
  <c r="K97" i="14"/>
  <c r="AG87" i="13"/>
  <c r="AG86" i="13"/>
  <c r="AG101" i="13"/>
  <c r="N97" i="13"/>
  <c r="N106" i="13"/>
  <c r="M110" i="12"/>
  <c r="M95" i="12"/>
  <c r="M107" i="12"/>
  <c r="J98" i="9"/>
  <c r="P108" i="14"/>
  <c r="Y91" i="13"/>
  <c r="AF72" i="13"/>
  <c r="AF91" i="13"/>
  <c r="N109" i="10"/>
  <c r="M95" i="9"/>
  <c r="M104" i="9"/>
  <c r="N106" i="10"/>
  <c r="K96" i="14"/>
  <c r="K105" i="14"/>
  <c r="K112" i="14"/>
  <c r="AD61" i="13"/>
  <c r="AD90" i="13"/>
  <c r="AD99" i="13" s="1"/>
  <c r="Q50" i="13"/>
  <c r="AD50" i="13"/>
  <c r="Q90" i="13"/>
  <c r="AH61" i="13"/>
  <c r="AH50" i="13" s="1"/>
  <c r="Q97" i="13"/>
  <c r="Q106" i="13"/>
  <c r="N96" i="13"/>
  <c r="N105" i="13"/>
  <c r="M107" i="9"/>
  <c r="M98" i="9"/>
  <c r="P96" i="14"/>
  <c r="P105" i="14"/>
  <c r="K107" i="15"/>
  <c r="AI51" i="15"/>
  <c r="R96" i="12"/>
  <c r="N108" i="10"/>
  <c r="Y99" i="10"/>
  <c r="N50" i="14"/>
  <c r="N89" i="14"/>
  <c r="N98" i="14" s="1"/>
  <c r="M108" i="12"/>
  <c r="M99" i="12"/>
  <c r="AE89" i="13"/>
  <c r="K105" i="15"/>
  <c r="K112" i="15" s="1"/>
  <c r="AD91" i="14"/>
  <c r="AD109" i="14" s="1"/>
  <c r="P99" i="14"/>
  <c r="P97" i="14"/>
  <c r="R101" i="12"/>
  <c r="W50" i="10"/>
  <c r="AG48" i="10"/>
  <c r="J97" i="9"/>
  <c r="Y101" i="10"/>
  <c r="K108" i="10"/>
  <c r="AC99" i="14"/>
  <c r="AF92" i="14"/>
  <c r="AF87" i="14"/>
  <c r="AF89" i="14"/>
  <c r="AF88" i="14"/>
  <c r="AF91" i="14"/>
  <c r="AF86" i="14"/>
  <c r="AF99" i="14" s="1"/>
  <c r="K109" i="14"/>
  <c r="K106" i="14"/>
  <c r="AE48" i="12"/>
  <c r="AE50" i="12" s="1"/>
  <c r="V89" i="12"/>
  <c r="V98" i="12"/>
  <c r="V50" i="12"/>
  <c r="K105" i="9"/>
  <c r="K96" i="9"/>
  <c r="U90" i="13"/>
  <c r="U99" i="13"/>
  <c r="U50" i="13"/>
  <c r="AE61" i="13"/>
  <c r="AE90" i="13" s="1"/>
  <c r="K97" i="13"/>
  <c r="Q110" i="13"/>
  <c r="AH86" i="13"/>
  <c r="Q95" i="13"/>
  <c r="AH95" i="13" s="1"/>
  <c r="N110" i="13"/>
  <c r="N95" i="13"/>
  <c r="J99" i="12"/>
  <c r="N108" i="13"/>
  <c r="AH49" i="9"/>
  <c r="AI50" i="9"/>
  <c r="P107" i="14"/>
  <c r="P98" i="14"/>
  <c r="AG88" i="13"/>
  <c r="N101" i="10"/>
  <c r="N50" i="10"/>
  <c r="N89" i="10"/>
  <c r="N107" i="10" s="1"/>
  <c r="N112" i="10" s="1"/>
  <c r="N97" i="10"/>
  <c r="AE89" i="9"/>
  <c r="AE86" i="9"/>
  <c r="AE87" i="9"/>
  <c r="AE96" i="9" s="1"/>
  <c r="AE90" i="9"/>
  <c r="AE108" i="9"/>
  <c r="AG86" i="9"/>
  <c r="AG90" i="9"/>
  <c r="AG108" i="9" s="1"/>
  <c r="AG87" i="9"/>
  <c r="AG89" i="9"/>
  <c r="M95" i="14"/>
  <c r="M110" i="14"/>
  <c r="M109" i="14"/>
  <c r="AG92" i="14"/>
  <c r="AG101" i="14" s="1"/>
  <c r="AG86" i="14"/>
  <c r="AG89" i="14"/>
  <c r="AG87" i="14"/>
  <c r="AG88" i="14"/>
  <c r="AG106" i="14" s="1"/>
  <c r="Q101" i="13"/>
  <c r="AH92" i="13"/>
  <c r="X50" i="10"/>
  <c r="AF61" i="10"/>
  <c r="X90" i="10"/>
  <c r="X99" i="10" s="1"/>
  <c r="AG88" i="9"/>
  <c r="AG48" i="9"/>
  <c r="AG72" i="14"/>
  <c r="AG91" i="14" s="1"/>
  <c r="AG109" i="14" s="1"/>
  <c r="AB91" i="14"/>
  <c r="AH91" i="14"/>
  <c r="AH87" i="14"/>
  <c r="M106" i="10"/>
  <c r="M112" i="10" s="1"/>
  <c r="M97" i="10"/>
  <c r="Q108" i="12"/>
  <c r="Q99" i="12"/>
  <c r="AE88" i="9"/>
  <c r="AE106" i="9" s="1"/>
  <c r="AE48" i="9"/>
  <c r="N49" i="9"/>
  <c r="N88" i="9"/>
  <c r="M107" i="15"/>
  <c r="K109" i="15"/>
  <c r="K110" i="15"/>
  <c r="L109" i="14"/>
  <c r="L110" i="14"/>
  <c r="L106" i="14"/>
  <c r="L108" i="14"/>
  <c r="L97" i="14"/>
  <c r="L99" i="14"/>
  <c r="L95" i="14"/>
  <c r="AE98" i="14"/>
  <c r="AE107" i="14"/>
  <c r="AE110" i="14"/>
  <c r="AE108" i="14"/>
  <c r="AE95" i="14"/>
  <c r="AE99" i="14"/>
  <c r="AE105" i="14"/>
  <c r="AE112" i="14" s="1"/>
  <c r="AE109" i="14"/>
  <c r="AE106" i="14"/>
  <c r="M97" i="14"/>
  <c r="M106" i="14"/>
  <c r="AB96" i="14"/>
  <c r="AB98" i="14"/>
  <c r="AD50" i="14"/>
  <c r="AA97" i="13"/>
  <c r="Q109" i="12"/>
  <c r="AH91" i="12"/>
  <c r="P96" i="12"/>
  <c r="AH96" i="12" s="1"/>
  <c r="AH87" i="12"/>
  <c r="P105" i="12"/>
  <c r="AE101" i="14"/>
  <c r="N108" i="12"/>
  <c r="N99" i="12"/>
  <c r="K106" i="10"/>
  <c r="K97" i="10"/>
  <c r="R90" i="12"/>
  <c r="AH90" i="12" s="1"/>
  <c r="R50" i="12"/>
  <c r="M107" i="10"/>
  <c r="M110" i="10"/>
  <c r="M98" i="10"/>
  <c r="M95" i="10"/>
  <c r="AD86" i="12"/>
  <c r="AD88" i="12"/>
  <c r="AD87" i="12"/>
  <c r="Q106" i="12"/>
  <c r="AF101" i="12"/>
  <c r="M109" i="10"/>
  <c r="Z50" i="10"/>
  <c r="Y95" i="10"/>
  <c r="Y97" i="10"/>
  <c r="N95" i="9"/>
  <c r="N104" i="9"/>
  <c r="AF101" i="15"/>
  <c r="AH72" i="10"/>
  <c r="AB91" i="13"/>
  <c r="AH91" i="13"/>
  <c r="AG72" i="13"/>
  <c r="AG91" i="13"/>
  <c r="L99" i="12"/>
  <c r="L108" i="12"/>
  <c r="N96" i="12"/>
  <c r="N105" i="12"/>
  <c r="AH86" i="12"/>
  <c r="Q110" i="12"/>
  <c r="Q95" i="12"/>
  <c r="K97" i="9"/>
  <c r="K106" i="9"/>
  <c r="L95" i="9"/>
  <c r="L104" i="9"/>
  <c r="L111" i="9"/>
  <c r="AG72" i="10"/>
  <c r="Q110" i="14"/>
  <c r="Q109" i="14"/>
  <c r="Q95" i="14"/>
  <c r="Q108" i="14"/>
  <c r="Q99" i="14"/>
  <c r="Q105" i="14"/>
  <c r="Q101" i="14"/>
  <c r="AA98" i="13"/>
  <c r="L96" i="12"/>
  <c r="L105" i="12"/>
  <c r="L112" i="12"/>
  <c r="AD61" i="12"/>
  <c r="AD90" i="12"/>
  <c r="AD99" i="12" s="1"/>
  <c r="P50" i="12"/>
  <c r="P90" i="12"/>
  <c r="AH61" i="12"/>
  <c r="T50" i="10"/>
  <c r="AH88" i="14"/>
  <c r="AG50" i="12"/>
  <c r="AG90" i="12"/>
  <c r="AH72" i="13"/>
  <c r="Q105" i="12"/>
  <c r="AH50" i="15"/>
  <c r="AH72" i="14"/>
  <c r="M105" i="14"/>
  <c r="M112" i="14" s="1"/>
  <c r="M108" i="14"/>
  <c r="M99" i="14"/>
  <c r="AB99" i="14"/>
  <c r="AA95" i="14"/>
  <c r="AA97" i="14"/>
  <c r="Q106" i="14"/>
  <c r="AD108" i="14"/>
  <c r="L107" i="14"/>
  <c r="AE96" i="14"/>
  <c r="X89" i="12"/>
  <c r="X98" i="12" s="1"/>
  <c r="AF48" i="12"/>
  <c r="AF89" i="12" s="1"/>
  <c r="AF98" i="12" s="1"/>
  <c r="X50" i="12"/>
  <c r="AF99" i="12"/>
  <c r="AH48" i="12"/>
  <c r="N89" i="12"/>
  <c r="N50" i="12"/>
  <c r="K96" i="10"/>
  <c r="K110" i="10"/>
  <c r="K98" i="10"/>
  <c r="K99" i="10"/>
  <c r="K95" i="10"/>
  <c r="K107" i="10"/>
  <c r="K105" i="10"/>
  <c r="K112" i="10"/>
  <c r="N106" i="12"/>
  <c r="N97" i="12"/>
  <c r="N95" i="12"/>
  <c r="N110" i="12"/>
  <c r="M99" i="10"/>
  <c r="M108" i="10"/>
  <c r="M96" i="10"/>
  <c r="M105" i="10"/>
  <c r="Q101" i="12"/>
  <c r="AF97" i="12"/>
  <c r="AG50" i="10"/>
  <c r="P50" i="10"/>
  <c r="AD61" i="10"/>
  <c r="AH61" i="10"/>
  <c r="W95" i="10"/>
  <c r="W101" i="10"/>
  <c r="AF90" i="9"/>
  <c r="AF99" i="9"/>
  <c r="L98" i="9"/>
  <c r="N109" i="9"/>
  <c r="N94" i="9"/>
  <c r="AH100" i="10"/>
  <c r="N105" i="9"/>
  <c r="M105" i="15"/>
  <c r="N97" i="15"/>
  <c r="AH92" i="15"/>
  <c r="L106" i="15"/>
  <c r="AD87" i="15"/>
  <c r="AD96" i="15" s="1"/>
  <c r="N105" i="15"/>
  <c r="L95" i="15"/>
  <c r="R96" i="15"/>
  <c r="N99" i="15"/>
  <c r="N108" i="15"/>
  <c r="Q105" i="15"/>
  <c r="Q96" i="15"/>
  <c r="Q97" i="15"/>
  <c r="Q110" i="15"/>
  <c r="Q95" i="15"/>
  <c r="Q101" i="15"/>
  <c r="AH100" i="15"/>
  <c r="O108" i="15"/>
  <c r="O99" i="15"/>
  <c r="AD50" i="15"/>
  <c r="Q107" i="15"/>
  <c r="P106" i="15"/>
  <c r="M99" i="15"/>
  <c r="M108" i="15"/>
  <c r="AD91" i="15"/>
  <c r="AD86" i="15"/>
  <c r="AD95" i="15" s="1"/>
  <c r="AD90" i="15"/>
  <c r="AD88" i="15"/>
  <c r="AD106" i="15" s="1"/>
  <c r="AD92" i="15"/>
  <c r="P95" i="15"/>
  <c r="AH95" i="15" s="1"/>
  <c r="P97" i="15"/>
  <c r="AH86" i="15"/>
  <c r="P99" i="15"/>
  <c r="P110" i="15"/>
  <c r="M106" i="15"/>
  <c r="M97" i="15"/>
  <c r="AH90" i="15"/>
  <c r="R98" i="15"/>
  <c r="P109" i="15"/>
  <c r="P108" i="15"/>
  <c r="R101" i="15"/>
  <c r="P101" i="15"/>
  <c r="AH101" i="15" s="1"/>
  <c r="AG108" i="13"/>
  <c r="AD50" i="12"/>
  <c r="N112" i="13"/>
  <c r="AD105" i="13"/>
  <c r="AD110" i="13"/>
  <c r="AE89" i="12"/>
  <c r="AE98" i="12" s="1"/>
  <c r="N98" i="10"/>
  <c r="AE50" i="13"/>
  <c r="AD108" i="13"/>
  <c r="O108" i="13"/>
  <c r="O112" i="13" s="1"/>
  <c r="AG97" i="13"/>
  <c r="AG106" i="13"/>
  <c r="AE98" i="13"/>
  <c r="AE107" i="13"/>
  <c r="AG95" i="13"/>
  <c r="AG110" i="13"/>
  <c r="AG99" i="13"/>
  <c r="AG105" i="13"/>
  <c r="AG96" i="13"/>
  <c r="AG109" i="13"/>
  <c r="AF96" i="14"/>
  <c r="Q108" i="13"/>
  <c r="Q99" i="13"/>
  <c r="AD108" i="12"/>
  <c r="AG95" i="14"/>
  <c r="AG110" i="14"/>
  <c r="AG99" i="12"/>
  <c r="AG108" i="12"/>
  <c r="AG112" i="12" s="1"/>
  <c r="AG105" i="9"/>
  <c r="AG96" i="9"/>
  <c r="N107" i="12"/>
  <c r="N98" i="12"/>
  <c r="AD105" i="12"/>
  <c r="AD96" i="12"/>
  <c r="N97" i="9"/>
  <c r="N106" i="9"/>
  <c r="AG97" i="9"/>
  <c r="AG106" i="9"/>
  <c r="AG111" i="9" s="1"/>
  <c r="AF50" i="10"/>
  <c r="AG105" i="14"/>
  <c r="AG96" i="14"/>
  <c r="AG104" i="9"/>
  <c r="AG95" i="9"/>
  <c r="AE95" i="9"/>
  <c r="AE104" i="9"/>
  <c r="AD95" i="12"/>
  <c r="AD110" i="12"/>
  <c r="AI51" i="12"/>
  <c r="AH50" i="12"/>
  <c r="AD109" i="12"/>
  <c r="P108" i="12"/>
  <c r="P99" i="12"/>
  <c r="AD106" i="12"/>
  <c r="AD97" i="12"/>
  <c r="AG107" i="14"/>
  <c r="AG98" i="14"/>
  <c r="AG107" i="9"/>
  <c r="AG98" i="9"/>
  <c r="AE98" i="9"/>
  <c r="AE107" i="9"/>
  <c r="AD105" i="15"/>
  <c r="AD97" i="15"/>
  <c r="AD99" i="15"/>
  <c r="AE107" i="12"/>
  <c r="AC91" i="10" l="1"/>
  <c r="AD26" i="10"/>
  <c r="AH26" i="10"/>
  <c r="AD107" i="15"/>
  <c r="AD112" i="15" s="1"/>
  <c r="AD98" i="15"/>
  <c r="Q112" i="12"/>
  <c r="AH98" i="15"/>
  <c r="AD95" i="9"/>
  <c r="AD104" i="9"/>
  <c r="AH94" i="9"/>
  <c r="AA89" i="10"/>
  <c r="AA90" i="10"/>
  <c r="AA92" i="10"/>
  <c r="AG15" i="10"/>
  <c r="AA91" i="10"/>
  <c r="AA87" i="10"/>
  <c r="AA86" i="10"/>
  <c r="AA95" i="10" s="1"/>
  <c r="AA88" i="10"/>
  <c r="Z87" i="10"/>
  <c r="Z91" i="10"/>
  <c r="Z92" i="10"/>
  <c r="Z101" i="10" s="1"/>
  <c r="Z90" i="10"/>
  <c r="Z99" i="10" s="1"/>
  <c r="Z86" i="10"/>
  <c r="Z95" i="10" s="1"/>
  <c r="Z88" i="10"/>
  <c r="Z97" i="10" s="1"/>
  <c r="AF15" i="10"/>
  <c r="Z89" i="10"/>
  <c r="Z98" i="10" s="1"/>
  <c r="V99" i="13"/>
  <c r="AH99" i="13" s="1"/>
  <c r="AE99" i="13"/>
  <c r="AE108" i="13"/>
  <c r="AE112" i="13" s="1"/>
  <c r="AH50" i="14"/>
  <c r="AI51" i="14"/>
  <c r="AD88" i="9"/>
  <c r="AD48" i="9"/>
  <c r="AH99" i="9"/>
  <c r="T92" i="10"/>
  <c r="T101" i="10" s="1"/>
  <c r="T91" i="10"/>
  <c r="T88" i="10"/>
  <c r="T97" i="10" s="1"/>
  <c r="T86" i="10"/>
  <c r="T95" i="10" s="1"/>
  <c r="T90" i="10"/>
  <c r="T99" i="10" s="1"/>
  <c r="T89" i="10"/>
  <c r="T98" i="10" s="1"/>
  <c r="T87" i="10"/>
  <c r="T96" i="10" s="1"/>
  <c r="P92" i="10"/>
  <c r="AH15" i="10"/>
  <c r="P91" i="10"/>
  <c r="P89" i="10"/>
  <c r="P88" i="10"/>
  <c r="P87" i="10"/>
  <c r="P90" i="10"/>
  <c r="P86" i="10"/>
  <c r="AD15" i="10"/>
  <c r="AD107" i="12"/>
  <c r="AD112" i="12" s="1"/>
  <c r="AD98" i="12"/>
  <c r="AG107" i="13"/>
  <c r="AG112" i="13" s="1"/>
  <c r="AG98" i="13"/>
  <c r="AH100" i="9"/>
  <c r="U92" i="10"/>
  <c r="U101" i="10" s="1"/>
  <c r="U89" i="10"/>
  <c r="U88" i="10"/>
  <c r="U97" i="10" s="1"/>
  <c r="U90" i="10"/>
  <c r="U99" i="10" s="1"/>
  <c r="U86" i="10"/>
  <c r="U95" i="10" s="1"/>
  <c r="U87" i="10"/>
  <c r="U96" i="10" s="1"/>
  <c r="AE15" i="10"/>
  <c r="U91" i="10"/>
  <c r="O112" i="15"/>
  <c r="N112" i="14"/>
  <c r="AD97" i="14"/>
  <c r="AD106" i="14"/>
  <c r="N107" i="9"/>
  <c r="N111" i="9" s="1"/>
  <c r="N98" i="9"/>
  <c r="AD106" i="13"/>
  <c r="AD112" i="13" s="1"/>
  <c r="AD97" i="13"/>
  <c r="X87" i="10"/>
  <c r="X96" i="10" s="1"/>
  <c r="AF26" i="10"/>
  <c r="AE90" i="10"/>
  <c r="AE50" i="10"/>
  <c r="Q89" i="10"/>
  <c r="Q90" i="10"/>
  <c r="Q88" i="10"/>
  <c r="Q86" i="10"/>
  <c r="Q91" i="10"/>
  <c r="Q109" i="10" s="1"/>
  <c r="Q87" i="10"/>
  <c r="Q92" i="10"/>
  <c r="Q101" i="10" s="1"/>
  <c r="AC86" i="10"/>
  <c r="AC95" i="10" s="1"/>
  <c r="AC88" i="10"/>
  <c r="AC87" i="10"/>
  <c r="AC92" i="10"/>
  <c r="AC101" i="10" s="1"/>
  <c r="AC89" i="10"/>
  <c r="AC90" i="10"/>
  <c r="AC99" i="10" s="1"/>
  <c r="Q107" i="14"/>
  <c r="Q112" i="14" s="1"/>
  <c r="AH89" i="14"/>
  <c r="Q98" i="14"/>
  <c r="O111" i="9"/>
  <c r="O98" i="9"/>
  <c r="O107" i="9"/>
  <c r="L105" i="10"/>
  <c r="L112" i="10" s="1"/>
  <c r="L110" i="10"/>
  <c r="L95" i="10"/>
  <c r="L107" i="10"/>
  <c r="L99" i="10"/>
  <c r="L96" i="10"/>
  <c r="AH95" i="12"/>
  <c r="L98" i="15"/>
  <c r="AD89" i="9"/>
  <c r="AD90" i="9"/>
  <c r="AD108" i="9" s="1"/>
  <c r="Y96" i="14"/>
  <c r="AH96" i="14" s="1"/>
  <c r="Y98" i="14"/>
  <c r="AE97" i="9"/>
  <c r="R97" i="15"/>
  <c r="AH97" i="15" s="1"/>
  <c r="L99" i="15"/>
  <c r="AE109" i="12"/>
  <c r="L97" i="12"/>
  <c r="K107" i="14"/>
  <c r="R99" i="12"/>
  <c r="AH99" i="12" s="1"/>
  <c r="AB101" i="14"/>
  <c r="AD87" i="9"/>
  <c r="M98" i="14"/>
  <c r="P96" i="15"/>
  <c r="AH96" i="15" s="1"/>
  <c r="M96" i="12"/>
  <c r="S101" i="12"/>
  <c r="AH101" i="12" s="1"/>
  <c r="S95" i="12"/>
  <c r="S97" i="12"/>
  <c r="AH89" i="15"/>
  <c r="AF101" i="14"/>
  <c r="L105" i="15"/>
  <c r="L112" i="15" s="1"/>
  <c r="AE96" i="12"/>
  <c r="AD98" i="14"/>
  <c r="Y101" i="14"/>
  <c r="AH101" i="14" s="1"/>
  <c r="M106" i="12"/>
  <c r="M112" i="12" s="1"/>
  <c r="AB97" i="10"/>
  <c r="Y97" i="14"/>
  <c r="AH97" i="14" s="1"/>
  <c r="L91" i="10"/>
  <c r="L109" i="10" s="1"/>
  <c r="I112" i="12"/>
  <c r="AB89" i="13"/>
  <c r="AB98" i="13" s="1"/>
  <c r="AB90" i="13"/>
  <c r="AB99" i="13" s="1"/>
  <c r="AB88" i="13"/>
  <c r="AF60" i="13"/>
  <c r="AF49" i="13" s="1"/>
  <c r="AI51" i="10"/>
  <c r="AE105" i="9"/>
  <c r="AE111" i="9" s="1"/>
  <c r="N107" i="14"/>
  <c r="AF98" i="14"/>
  <c r="AH91" i="15"/>
  <c r="AD101" i="15"/>
  <c r="AF50" i="12"/>
  <c r="AD96" i="14"/>
  <c r="AD107" i="13"/>
  <c r="AD96" i="13"/>
  <c r="AF97" i="14"/>
  <c r="L110" i="15"/>
  <c r="L96" i="15"/>
  <c r="AE105" i="12"/>
  <c r="L109" i="15"/>
  <c r="AD107" i="14"/>
  <c r="AF95" i="14"/>
  <c r="AI51" i="13"/>
  <c r="Q96" i="13"/>
  <c r="AH96" i="13" s="1"/>
  <c r="Y99" i="14"/>
  <c r="AH99" i="14" s="1"/>
  <c r="AA90" i="14"/>
  <c r="AA99" i="14" s="1"/>
  <c r="Y95" i="14"/>
  <c r="AH95" i="14" s="1"/>
  <c r="AB95" i="10"/>
  <c r="AD110" i="14"/>
  <c r="AD33" i="16"/>
  <c r="AD76" i="16" s="1"/>
  <c r="R76" i="16"/>
  <c r="R85" i="16" s="1"/>
  <c r="R42" i="16"/>
  <c r="R43" i="16"/>
  <c r="R79" i="16"/>
  <c r="AD62" i="16"/>
  <c r="AD79" i="16" s="1"/>
  <c r="AD97" i="16" s="1"/>
  <c r="R88" i="16"/>
  <c r="AD71" i="16"/>
  <c r="AD80" i="16" s="1"/>
  <c r="AD89" i="16" s="1"/>
  <c r="R80" i="16"/>
  <c r="M85" i="17"/>
  <c r="M94" i="17"/>
  <c r="O78" i="17"/>
  <c r="O44" i="17"/>
  <c r="S89" i="18"/>
  <c r="N84" i="18"/>
  <c r="N93" i="18"/>
  <c r="T84" i="18"/>
  <c r="AG99" i="15"/>
  <c r="AB101" i="13"/>
  <c r="AH101" i="13" s="1"/>
  <c r="AB99" i="12"/>
  <c r="J87" i="16"/>
  <c r="K84" i="16"/>
  <c r="K93" i="16"/>
  <c r="K100" i="16" s="1"/>
  <c r="AD108" i="15"/>
  <c r="AD110" i="15"/>
  <c r="AH89" i="12"/>
  <c r="AD105" i="14"/>
  <c r="Q99" i="15"/>
  <c r="AH99" i="15" s="1"/>
  <c r="O99" i="14"/>
  <c r="AE99" i="12"/>
  <c r="AE101" i="12"/>
  <c r="AF61" i="13"/>
  <c r="AF90" i="13" s="1"/>
  <c r="AF99" i="13" s="1"/>
  <c r="J99" i="13"/>
  <c r="AB95" i="12"/>
  <c r="AB101" i="12"/>
  <c r="K91" i="12"/>
  <c r="K109" i="12" s="1"/>
  <c r="K72" i="12"/>
  <c r="Q77" i="16"/>
  <c r="Q44" i="16"/>
  <c r="AH42" i="16"/>
  <c r="AD42" i="16"/>
  <c r="AD77" i="16" s="1"/>
  <c r="P107" i="15"/>
  <c r="P112" i="15" s="1"/>
  <c r="L97" i="15"/>
  <c r="Q98" i="12"/>
  <c r="AH98" i="12" s="1"/>
  <c r="L106" i="10"/>
  <c r="AE97" i="12"/>
  <c r="AE110" i="12"/>
  <c r="AE108" i="12"/>
  <c r="AG61" i="14"/>
  <c r="K91" i="10"/>
  <c r="K109" i="10" s="1"/>
  <c r="N72" i="12"/>
  <c r="N91" i="12" s="1"/>
  <c r="N109" i="12" s="1"/>
  <c r="N112" i="12" s="1"/>
  <c r="J91" i="13"/>
  <c r="J88" i="13"/>
  <c r="J97" i="13" s="1"/>
  <c r="J87" i="13"/>
  <c r="J96" i="13" s="1"/>
  <c r="P96" i="16"/>
  <c r="S84" i="16"/>
  <c r="AD109" i="15"/>
  <c r="AG97" i="14"/>
  <c r="L108" i="15"/>
  <c r="AE106" i="12"/>
  <c r="AA50" i="14"/>
  <c r="AB97" i="12"/>
  <c r="P88" i="12"/>
  <c r="Q89" i="13"/>
  <c r="Y89" i="13"/>
  <c r="Y98" i="13" s="1"/>
  <c r="AF48" i="13"/>
  <c r="S86" i="16"/>
  <c r="AD47" i="10"/>
  <c r="AD49" i="10" s="1"/>
  <c r="R87" i="16"/>
  <c r="Q49" i="12"/>
  <c r="K87" i="12"/>
  <c r="K87" i="16"/>
  <c r="R75" i="16"/>
  <c r="R84" i="16" s="1"/>
  <c r="AD43" i="16"/>
  <c r="S74" i="16"/>
  <c r="S83" i="16" s="1"/>
  <c r="AH83" i="16" s="1"/>
  <c r="AE15" i="16"/>
  <c r="AH33" i="16"/>
  <c r="AH62" i="16"/>
  <c r="AE77" i="17"/>
  <c r="AG86" i="17"/>
  <c r="AG95" i="17"/>
  <c r="AG100" i="17" s="1"/>
  <c r="AH71" i="17"/>
  <c r="AD71" i="17"/>
  <c r="Q80" i="17"/>
  <c r="N86" i="18"/>
  <c r="N95" i="18"/>
  <c r="AH77" i="18"/>
  <c r="M101" i="15"/>
  <c r="P84" i="16"/>
  <c r="P89" i="16"/>
  <c r="K85" i="16"/>
  <c r="K98" i="16"/>
  <c r="AG86" i="16"/>
  <c r="O78" i="16"/>
  <c r="O44" i="16"/>
  <c r="S78" i="16"/>
  <c r="AE53" i="16"/>
  <c r="AH71" i="16"/>
  <c r="AE95" i="18"/>
  <c r="AE86" i="18"/>
  <c r="AH53" i="17"/>
  <c r="S78" i="17"/>
  <c r="AE53" i="17"/>
  <c r="AE78" i="17" s="1"/>
  <c r="AF71" i="17"/>
  <c r="AF80" i="17" s="1"/>
  <c r="AF89" i="17" s="1"/>
  <c r="Y80" i="17"/>
  <c r="Y89" i="17" s="1"/>
  <c r="X101" i="12"/>
  <c r="K94" i="16"/>
  <c r="K86" i="16"/>
  <c r="AD78" i="16"/>
  <c r="N15" i="16"/>
  <c r="N80" i="16" s="1"/>
  <c r="N89" i="16" s="1"/>
  <c r="N76" i="16"/>
  <c r="N77" i="16"/>
  <c r="AH15" i="16"/>
  <c r="S76" i="16"/>
  <c r="S85" i="16" s="1"/>
  <c r="AE33" i="16"/>
  <c r="AE76" i="16" s="1"/>
  <c r="S79" i="16"/>
  <c r="AE62" i="16"/>
  <c r="AE79" i="16" s="1"/>
  <c r="S88" i="16"/>
  <c r="AH88" i="16" s="1"/>
  <c r="AE71" i="16"/>
  <c r="AE80" i="16" s="1"/>
  <c r="S80" i="16"/>
  <c r="S89" i="16" s="1"/>
  <c r="J86" i="17"/>
  <c r="T75" i="17"/>
  <c r="T84" i="17" s="1"/>
  <c r="AE24" i="17"/>
  <c r="N94" i="17"/>
  <c r="AD42" i="17"/>
  <c r="P44" i="17"/>
  <c r="AD44" i="17" s="1"/>
  <c r="AH42" i="17"/>
  <c r="P77" i="17"/>
  <c r="P96" i="17"/>
  <c r="P87" i="17"/>
  <c r="AH62" i="17"/>
  <c r="P88" i="17"/>
  <c r="P79" i="17"/>
  <c r="AD62" i="17"/>
  <c r="J75" i="16"/>
  <c r="J84" i="16" s="1"/>
  <c r="J76" i="16"/>
  <c r="J85" i="16" s="1"/>
  <c r="O100" i="18"/>
  <c r="P75" i="17"/>
  <c r="AH24" i="17"/>
  <c r="AD24" i="17"/>
  <c r="Q79" i="17"/>
  <c r="Q97" i="17" s="1"/>
  <c r="Q88" i="17"/>
  <c r="P95" i="16"/>
  <c r="P100" i="16" s="1"/>
  <c r="AH74" i="16"/>
  <c r="AH24" i="16"/>
  <c r="L93" i="17"/>
  <c r="L100" i="17" s="1"/>
  <c r="L84" i="17"/>
  <c r="R74" i="17"/>
  <c r="R80" i="17"/>
  <c r="R75" i="17"/>
  <c r="R84" i="17" s="1"/>
  <c r="R78" i="17"/>
  <c r="AH15" i="17"/>
  <c r="AD15" i="17"/>
  <c r="Q93" i="17"/>
  <c r="Q84" i="17"/>
  <c r="R77" i="17"/>
  <c r="R86" i="17" s="1"/>
  <c r="R44" i="17"/>
  <c r="R88" i="17"/>
  <c r="R79" i="17"/>
  <c r="L85" i="16"/>
  <c r="J77" i="16"/>
  <c r="J86" i="16" s="1"/>
  <c r="N87" i="17"/>
  <c r="M83" i="17"/>
  <c r="M86" i="17"/>
  <c r="M95" i="17"/>
  <c r="M96" i="17"/>
  <c r="M93" i="17"/>
  <c r="M100" i="17" s="1"/>
  <c r="M87" i="17"/>
  <c r="M84" i="17"/>
  <c r="M98" i="17"/>
  <c r="S80" i="17"/>
  <c r="S74" i="17"/>
  <c r="S83" i="17" s="1"/>
  <c r="S76" i="17"/>
  <c r="S77" i="17"/>
  <c r="S75" i="17"/>
  <c r="AE15" i="17"/>
  <c r="S44" i="17"/>
  <c r="S79" i="17"/>
  <c r="AE62" i="17"/>
  <c r="S88" i="17"/>
  <c r="W80" i="17"/>
  <c r="W89" i="17" s="1"/>
  <c r="AE71" i="17"/>
  <c r="AE80" i="17" s="1"/>
  <c r="Q93" i="18"/>
  <c r="Q100" i="18" s="1"/>
  <c r="Q84" i="18"/>
  <c r="N87" i="18"/>
  <c r="N96" i="18"/>
  <c r="AH78" i="18"/>
  <c r="AH33" i="17"/>
  <c r="AD33" i="17"/>
  <c r="Q76" i="17"/>
  <c r="AC80" i="17"/>
  <c r="AC89" i="17" s="1"/>
  <c r="AG71" i="17"/>
  <c r="AG80" i="17" s="1"/>
  <c r="AG89" i="17" s="1"/>
  <c r="AG97" i="18"/>
  <c r="AG88" i="18"/>
  <c r="AG83" i="18"/>
  <c r="AG98" i="18"/>
  <c r="K76" i="18"/>
  <c r="K75" i="18"/>
  <c r="AG85" i="21"/>
  <c r="AG94" i="21"/>
  <c r="AE77" i="22"/>
  <c r="K98" i="17"/>
  <c r="K94" i="17"/>
  <c r="K53" i="18"/>
  <c r="K72" i="18"/>
  <c r="AD24" i="18"/>
  <c r="AD75" i="18" s="1"/>
  <c r="S79" i="18"/>
  <c r="AH79" i="18" s="1"/>
  <c r="M79" i="18"/>
  <c r="M97" i="18" s="1"/>
  <c r="T78" i="18"/>
  <c r="T87" i="18" s="1"/>
  <c r="P75" i="21"/>
  <c r="AH15" i="21"/>
  <c r="AD15" i="21"/>
  <c r="P78" i="21"/>
  <c r="P74" i="21"/>
  <c r="P76" i="21"/>
  <c r="AH24" i="21"/>
  <c r="AD24" i="21"/>
  <c r="R75" i="21"/>
  <c r="R84" i="21" s="1"/>
  <c r="AH33" i="21"/>
  <c r="AD33" i="21"/>
  <c r="AD76" i="21" s="1"/>
  <c r="Q76" i="21"/>
  <c r="K85" i="17"/>
  <c r="K96" i="17"/>
  <c r="K97" i="17"/>
  <c r="K43" i="18"/>
  <c r="AG80" i="18"/>
  <c r="AG89" i="18" s="1"/>
  <c r="AE53" i="18"/>
  <c r="AE78" i="18" s="1"/>
  <c r="K93" i="21"/>
  <c r="K100" i="21" s="1"/>
  <c r="N77" i="21"/>
  <c r="N44" i="21"/>
  <c r="S80" i="21"/>
  <c r="S89" i="21" s="1"/>
  <c r="AE71" i="21"/>
  <c r="AI45" i="18"/>
  <c r="AF83" i="17"/>
  <c r="AD53" i="17"/>
  <c r="AF78" i="17"/>
  <c r="AF87" i="17" s="1"/>
  <c r="L76" i="18"/>
  <c r="K74" i="18"/>
  <c r="AG78" i="18"/>
  <c r="K33" i="18"/>
  <c r="AD62" i="18"/>
  <c r="AD79" i="18" s="1"/>
  <c r="AD97" i="18" s="1"/>
  <c r="AG76" i="18"/>
  <c r="N93" i="21"/>
  <c r="N84" i="21"/>
  <c r="AE33" i="21"/>
  <c r="AE76" i="21" s="1"/>
  <c r="S76" i="21"/>
  <c r="T80" i="21"/>
  <c r="AE44" i="17"/>
  <c r="N75" i="17"/>
  <c r="N77" i="17"/>
  <c r="N79" i="17"/>
  <c r="N97" i="17" s="1"/>
  <c r="K24" i="18"/>
  <c r="K78" i="18"/>
  <c r="K62" i="18"/>
  <c r="S74" i="18"/>
  <c r="AD32" i="18"/>
  <c r="N96" i="21"/>
  <c r="N87" i="21"/>
  <c r="S44" i="21"/>
  <c r="S78" i="21"/>
  <c r="AE53" i="21"/>
  <c r="AH53" i="21"/>
  <c r="N74" i="17"/>
  <c r="AD71" i="18"/>
  <c r="AD80" i="18" s="1"/>
  <c r="AD89" i="18" s="1"/>
  <c r="K79" i="18"/>
  <c r="AD33" i="18"/>
  <c r="AD76" i="18" s="1"/>
  <c r="S75" i="18"/>
  <c r="S84" i="18" s="1"/>
  <c r="T74" i="18"/>
  <c r="T83" i="18" s="1"/>
  <c r="T80" i="18"/>
  <c r="T89" i="18" s="1"/>
  <c r="AH89" i="18" s="1"/>
  <c r="Y43" i="18"/>
  <c r="P77" i="21"/>
  <c r="AH42" i="21"/>
  <c r="AD42" i="21"/>
  <c r="P44" i="21"/>
  <c r="AD44" i="21" s="1"/>
  <c r="O78" i="21"/>
  <c r="O44" i="21"/>
  <c r="K86" i="17"/>
  <c r="J74" i="17"/>
  <c r="J83" i="17" s="1"/>
  <c r="J75" i="17"/>
  <c r="J84" i="17" s="1"/>
  <c r="J76" i="17"/>
  <c r="J85" i="17" s="1"/>
  <c r="AG75" i="18"/>
  <c r="AH15" i="18"/>
  <c r="AE15" i="21"/>
  <c r="S77" i="21"/>
  <c r="S86" i="21" s="1"/>
  <c r="S79" i="21"/>
  <c r="S74" i="21"/>
  <c r="S83" i="21" s="1"/>
  <c r="S75" i="21"/>
  <c r="S84" i="21" s="1"/>
  <c r="AG86" i="21"/>
  <c r="AG95" i="21"/>
  <c r="O88" i="21"/>
  <c r="O79" i="21"/>
  <c r="O97" i="21" s="1"/>
  <c r="T79" i="21"/>
  <c r="T88" i="21"/>
  <c r="AE62" i="21"/>
  <c r="AE79" i="21" s="1"/>
  <c r="P80" i="21"/>
  <c r="AD71" i="21"/>
  <c r="AH71" i="21"/>
  <c r="AE75" i="22"/>
  <c r="AE74" i="22"/>
  <c r="K93" i="17"/>
  <c r="K100" i="17" s="1"/>
  <c r="J79" i="17"/>
  <c r="J78" i="17"/>
  <c r="J87" i="17" s="1"/>
  <c r="AG77" i="18"/>
  <c r="K77" i="18"/>
  <c r="M78" i="18"/>
  <c r="T74" i="21"/>
  <c r="T83" i="21" s="1"/>
  <c r="T78" i="21"/>
  <c r="T76" i="21"/>
  <c r="T85" i="21" s="1"/>
  <c r="T75" i="21"/>
  <c r="AF43" i="21"/>
  <c r="P79" i="21"/>
  <c r="P88" i="21"/>
  <c r="AH88" i="21" s="1"/>
  <c r="AH62" i="21"/>
  <c r="AD62" i="21"/>
  <c r="AD79" i="21" s="1"/>
  <c r="Q89" i="21"/>
  <c r="L84" i="21"/>
  <c r="Q75" i="21"/>
  <c r="K74" i="21"/>
  <c r="AE53" i="22"/>
  <c r="AE78" i="22" s="1"/>
  <c r="M86" i="23"/>
  <c r="AE32" i="22"/>
  <c r="AE76" i="22"/>
  <c r="O78" i="22"/>
  <c r="O44" i="22"/>
  <c r="P79" i="22"/>
  <c r="P88" i="22"/>
  <c r="T88" i="23"/>
  <c r="AH88" i="23" s="1"/>
  <c r="P76" i="23"/>
  <c r="AD33" i="23"/>
  <c r="AH33" i="23"/>
  <c r="L83" i="21"/>
  <c r="R83" i="21"/>
  <c r="Q74" i="21"/>
  <c r="K78" i="21"/>
  <c r="P43" i="21"/>
  <c r="AE80" i="22"/>
  <c r="AE89" i="22" s="1"/>
  <c r="AD15" i="22"/>
  <c r="K76" i="22"/>
  <c r="K24" i="22"/>
  <c r="K78" i="22"/>
  <c r="K74" i="22"/>
  <c r="K75" i="22"/>
  <c r="K62" i="22"/>
  <c r="K53" i="22"/>
  <c r="K79" i="22"/>
  <c r="K97" i="22" s="1"/>
  <c r="K33" i="22"/>
  <c r="K72" i="22"/>
  <c r="P77" i="22"/>
  <c r="AH42" i="22"/>
  <c r="P44" i="22"/>
  <c r="AD44" i="22" s="1"/>
  <c r="P78" i="22"/>
  <c r="AD53" i="22"/>
  <c r="AD78" i="22" s="1"/>
  <c r="AH53" i="22"/>
  <c r="L79" i="22"/>
  <c r="L97" i="22" s="1"/>
  <c r="L88" i="22"/>
  <c r="N85" i="22"/>
  <c r="AH15" i="22"/>
  <c r="AE24" i="22"/>
  <c r="N94" i="22"/>
  <c r="Q86" i="22"/>
  <c r="Q95" i="22"/>
  <c r="Q87" i="22"/>
  <c r="L85" i="21"/>
  <c r="J85" i="22"/>
  <c r="J86" i="22"/>
  <c r="J84" i="22"/>
  <c r="J83" i="22"/>
  <c r="AD79" i="22"/>
  <c r="Z83" i="22"/>
  <c r="Z84" i="22"/>
  <c r="Z85" i="22"/>
  <c r="Z87" i="22"/>
  <c r="Z86" i="22"/>
  <c r="S85" i="22"/>
  <c r="S79" i="22"/>
  <c r="S77" i="22"/>
  <c r="S86" i="22" s="1"/>
  <c r="S74" i="22"/>
  <c r="S83" i="22" s="1"/>
  <c r="S80" i="22"/>
  <c r="S89" i="22" s="1"/>
  <c r="S75" i="22"/>
  <c r="AF23" i="22"/>
  <c r="P76" i="22"/>
  <c r="O98" i="22"/>
  <c r="O84" i="22"/>
  <c r="O85" i="22"/>
  <c r="O94" i="22"/>
  <c r="O95" i="22"/>
  <c r="O83" i="22"/>
  <c r="O93" i="22"/>
  <c r="P83" i="23"/>
  <c r="N96" i="23"/>
  <c r="N87" i="23"/>
  <c r="N95" i="23"/>
  <c r="N97" i="23"/>
  <c r="N86" i="23"/>
  <c r="N94" i="23"/>
  <c r="N98" i="23"/>
  <c r="N89" i="23"/>
  <c r="N84" i="23"/>
  <c r="N83" i="23"/>
  <c r="N85" i="23"/>
  <c r="AF86" i="24"/>
  <c r="K79" i="21"/>
  <c r="K33" i="21"/>
  <c r="AG78" i="21"/>
  <c r="K24" i="21"/>
  <c r="R44" i="22"/>
  <c r="AD33" i="22"/>
  <c r="AD76" i="22" s="1"/>
  <c r="N93" i="23"/>
  <c r="O86" i="22"/>
  <c r="N75" i="22"/>
  <c r="AH24" i="22"/>
  <c r="AD24" i="22"/>
  <c r="Q94" i="22"/>
  <c r="Q100" i="22" s="1"/>
  <c r="Q85" i="22"/>
  <c r="S78" i="22"/>
  <c r="S87" i="22" s="1"/>
  <c r="S44" i="22"/>
  <c r="AH71" i="22"/>
  <c r="R80" i="22"/>
  <c r="R89" i="22" s="1"/>
  <c r="AD71" i="22"/>
  <c r="AD80" i="22" s="1"/>
  <c r="P93" i="23"/>
  <c r="P84" i="23"/>
  <c r="T74" i="23"/>
  <c r="T83" i="23" s="1"/>
  <c r="T78" i="23"/>
  <c r="T75" i="23"/>
  <c r="T84" i="23" s="1"/>
  <c r="AE15" i="23"/>
  <c r="T80" i="23"/>
  <c r="L87" i="21"/>
  <c r="AD77" i="22"/>
  <c r="T44" i="22"/>
  <c r="T77" i="22"/>
  <c r="T86" i="22" s="1"/>
  <c r="T85" i="23"/>
  <c r="P75" i="22"/>
  <c r="P74" i="22"/>
  <c r="P89" i="22" s="1"/>
  <c r="AH89" i="22" s="1"/>
  <c r="N43" i="22"/>
  <c r="N42" i="22"/>
  <c r="AF44" i="22"/>
  <c r="AF77" i="22"/>
  <c r="AF86" i="22" s="1"/>
  <c r="T79" i="22"/>
  <c r="T88" i="22"/>
  <c r="AE62" i="22"/>
  <c r="AE79" i="22" s="1"/>
  <c r="AE97" i="22" s="1"/>
  <c r="AD15" i="23"/>
  <c r="AH15" i="23"/>
  <c r="P78" i="23"/>
  <c r="M87" i="24"/>
  <c r="AF87" i="24"/>
  <c r="AF43" i="24"/>
  <c r="N77" i="24"/>
  <c r="N44" i="24"/>
  <c r="T43" i="24"/>
  <c r="T42" i="24"/>
  <c r="AG44" i="24"/>
  <c r="AG77" i="24"/>
  <c r="Q88" i="24"/>
  <c r="Q79" i="24"/>
  <c r="L89" i="24"/>
  <c r="L80" i="24"/>
  <c r="L88" i="23"/>
  <c r="Q53" i="23"/>
  <c r="Q43" i="23"/>
  <c r="AH75" i="24"/>
  <c r="P84" i="24"/>
  <c r="AF74" i="24"/>
  <c r="AF83" i="24" s="1"/>
  <c r="AF80" i="24"/>
  <c r="AF89" i="24" s="1"/>
  <c r="Q85" i="24"/>
  <c r="T83" i="24"/>
  <c r="T85" i="24"/>
  <c r="AF24" i="24"/>
  <c r="AF75" i="24" s="1"/>
  <c r="AF84" i="24" s="1"/>
  <c r="V75" i="24"/>
  <c r="V84" i="24" s="1"/>
  <c r="N86" i="25"/>
  <c r="N95" i="25"/>
  <c r="AG44" i="25"/>
  <c r="AG78" i="25"/>
  <c r="AD80" i="25"/>
  <c r="P81" i="25"/>
  <c r="AH72" i="25"/>
  <c r="AD72" i="25"/>
  <c r="AD81" i="25" s="1"/>
  <c r="V81" i="25"/>
  <c r="V90" i="25" s="1"/>
  <c r="AF72" i="25"/>
  <c r="Q79" i="23"/>
  <c r="Q97" i="23" s="1"/>
  <c r="AH62" i="23"/>
  <c r="Q80" i="23"/>
  <c r="Q89" i="23" s="1"/>
  <c r="AD52" i="23"/>
  <c r="AD43" i="23" s="1"/>
  <c r="R53" i="23"/>
  <c r="R43" i="23"/>
  <c r="AE62" i="23"/>
  <c r="AE79" i="23" s="1"/>
  <c r="V83" i="24"/>
  <c r="V85" i="24"/>
  <c r="P75" i="25"/>
  <c r="AH15" i="25"/>
  <c r="P76" i="25"/>
  <c r="P78" i="25"/>
  <c r="P79" i="25"/>
  <c r="AD15" i="25"/>
  <c r="W75" i="25"/>
  <c r="W84" i="25" s="1"/>
  <c r="W76" i="25"/>
  <c r="W77" i="25"/>
  <c r="W86" i="25" s="1"/>
  <c r="W79" i="25"/>
  <c r="W80" i="25"/>
  <c r="L62" i="23"/>
  <c r="P44" i="23"/>
  <c r="AF43" i="23"/>
  <c r="S77" i="23"/>
  <c r="S86" i="23" s="1"/>
  <c r="AE42" i="23"/>
  <c r="M96" i="24"/>
  <c r="V89" i="24"/>
  <c r="AD15" i="24"/>
  <c r="AD78" i="24" s="1"/>
  <c r="AH15" i="24"/>
  <c r="P74" i="24"/>
  <c r="P77" i="24"/>
  <c r="S76" i="24"/>
  <c r="AE33" i="24"/>
  <c r="AE76" i="24" s="1"/>
  <c r="R76" i="22"/>
  <c r="R85" i="22" s="1"/>
  <c r="Z84" i="23"/>
  <c r="P77" i="23"/>
  <c r="Q94" i="23"/>
  <c r="K72" i="23"/>
  <c r="L75" i="23"/>
  <c r="L53" i="23"/>
  <c r="L77" i="23"/>
  <c r="L78" i="23"/>
  <c r="L72" i="23"/>
  <c r="AE24" i="23"/>
  <c r="AH70" i="23"/>
  <c r="AE70" i="23"/>
  <c r="M97" i="24"/>
  <c r="AG96" i="24"/>
  <c r="AG87" i="24"/>
  <c r="P80" i="24"/>
  <c r="K84" i="24"/>
  <c r="Q77" i="24"/>
  <c r="Q78" i="24"/>
  <c r="Q74" i="24"/>
  <c r="AH71" i="23"/>
  <c r="M72" i="23"/>
  <c r="M79" i="23"/>
  <c r="M97" i="23" s="1"/>
  <c r="T77" i="23"/>
  <c r="T44" i="23"/>
  <c r="P79" i="23"/>
  <c r="P93" i="24"/>
  <c r="L72" i="24"/>
  <c r="K98" i="24"/>
  <c r="K95" i="24"/>
  <c r="K83" i="24"/>
  <c r="K86" i="24"/>
  <c r="K96" i="24"/>
  <c r="K87" i="24"/>
  <c r="K85" i="24"/>
  <c r="T89" i="24"/>
  <c r="T87" i="24"/>
  <c r="AG76" i="22"/>
  <c r="P80" i="23"/>
  <c r="Q83" i="23"/>
  <c r="AD24" i="23"/>
  <c r="R76" i="23"/>
  <c r="R85" i="23" s="1"/>
  <c r="AH14" i="23"/>
  <c r="P87" i="24"/>
  <c r="AD33" i="24"/>
  <c r="AF76" i="24"/>
  <c r="AF85" i="24" s="1"/>
  <c r="P76" i="24"/>
  <c r="Q80" i="24"/>
  <c r="Q89" i="24" s="1"/>
  <c r="M75" i="23"/>
  <c r="Q75" i="23"/>
  <c r="Q84" i="24"/>
  <c r="O96" i="24"/>
  <c r="O100" i="24" s="1"/>
  <c r="O87" i="24"/>
  <c r="M94" i="24"/>
  <c r="AE15" i="24"/>
  <c r="S77" i="24"/>
  <c r="S74" i="24"/>
  <c r="S83" i="24" s="1"/>
  <c r="P79" i="24"/>
  <c r="T85" i="25"/>
  <c r="N93" i="24"/>
  <c r="N85" i="24"/>
  <c r="AG98" i="24"/>
  <c r="O83" i="24"/>
  <c r="O84" i="24"/>
  <c r="P88" i="24"/>
  <c r="AG97" i="25"/>
  <c r="AE15" i="25"/>
  <c r="R88" i="25"/>
  <c r="Q81" i="25"/>
  <c r="Q76" i="25"/>
  <c r="Q75" i="25"/>
  <c r="Q96" i="25" s="1"/>
  <c r="AE77" i="25"/>
  <c r="AG41" i="25"/>
  <c r="AG43" i="25" s="1"/>
  <c r="V42" i="25"/>
  <c r="V43" i="25"/>
  <c r="V89" i="25"/>
  <c r="AF63" i="25"/>
  <c r="W81" i="25"/>
  <c r="U90" i="25"/>
  <c r="U85" i="25"/>
  <c r="U84" i="25"/>
  <c r="X85" i="25"/>
  <c r="U88" i="25"/>
  <c r="AF44" i="24"/>
  <c r="AG85" i="24"/>
  <c r="N84" i="24"/>
  <c r="N83" i="24"/>
  <c r="AF62" i="24"/>
  <c r="AF79" i="24" s="1"/>
  <c r="AF88" i="24" s="1"/>
  <c r="AD62" i="24"/>
  <c r="R85" i="25"/>
  <c r="P44" i="25"/>
  <c r="AH42" i="25"/>
  <c r="W42" i="25"/>
  <c r="W43" i="25"/>
  <c r="AD53" i="25"/>
  <c r="Q80" i="25"/>
  <c r="X84" i="25"/>
  <c r="X88" i="25"/>
  <c r="X87" i="25"/>
  <c r="AG84" i="24"/>
  <c r="AG88" i="24"/>
  <c r="M77" i="24"/>
  <c r="M72" i="24"/>
  <c r="O79" i="24"/>
  <c r="O97" i="24" s="1"/>
  <c r="V79" i="24"/>
  <c r="AD24" i="24"/>
  <c r="AH62" i="24"/>
  <c r="AA84" i="24"/>
  <c r="AA89" i="24"/>
  <c r="Q87" i="25"/>
  <c r="L85" i="25"/>
  <c r="L94" i="25"/>
  <c r="L101" i="25" s="1"/>
  <c r="L86" i="25"/>
  <c r="AE54" i="25"/>
  <c r="AE79" i="25" s="1"/>
  <c r="O97" i="25"/>
  <c r="O88" i="25"/>
  <c r="V85" i="25"/>
  <c r="T78" i="25"/>
  <c r="T87" i="25" s="1"/>
  <c r="K54" i="25"/>
  <c r="K73" i="25"/>
  <c r="K80" i="25"/>
  <c r="K98" i="25" s="1"/>
  <c r="K24" i="25"/>
  <c r="K78" i="25"/>
  <c r="AF23" i="25"/>
  <c r="AH33" i="25"/>
  <c r="Q79" i="25"/>
  <c r="AG93" i="24"/>
  <c r="M74" i="24"/>
  <c r="AA85" i="24"/>
  <c r="S53" i="24"/>
  <c r="S43" i="24"/>
  <c r="K94" i="25"/>
  <c r="K101" i="25" s="1"/>
  <c r="AG98" i="25"/>
  <c r="N90" i="25"/>
  <c r="AE14" i="25"/>
  <c r="L54" i="25"/>
  <c r="L80" i="25"/>
  <c r="L98" i="25" s="1"/>
  <c r="L73" i="25"/>
  <c r="L79" i="25"/>
  <c r="L24" i="25"/>
  <c r="L33" i="25"/>
  <c r="S76" i="25"/>
  <c r="S85" i="25" s="1"/>
  <c r="S77" i="25"/>
  <c r="S86" i="25" s="1"/>
  <c r="S80" i="25"/>
  <c r="AH24" i="25"/>
  <c r="AG86" i="25"/>
  <c r="R43" i="25"/>
  <c r="R42" i="25"/>
  <c r="K97" i="25"/>
  <c r="K88" i="25"/>
  <c r="N94" i="25"/>
  <c r="N85" i="25"/>
  <c r="Q95" i="25"/>
  <c r="S78" i="25"/>
  <c r="S87" i="25" s="1"/>
  <c r="S44" i="25"/>
  <c r="M75" i="24"/>
  <c r="AH33" i="24"/>
  <c r="AD71" i="24"/>
  <c r="AD80" i="24" s="1"/>
  <c r="K95" i="25"/>
  <c r="AE43" i="25"/>
  <c r="T75" i="25"/>
  <c r="T84" i="25" s="1"/>
  <c r="L87" i="25"/>
  <c r="L96" i="25"/>
  <c r="AD43" i="25"/>
  <c r="L43" i="25"/>
  <c r="N79" i="25"/>
  <c r="N44" i="25"/>
  <c r="T80" i="25"/>
  <c r="AG71" i="25"/>
  <c r="T81" i="25"/>
  <c r="T90" i="25" s="1"/>
  <c r="P87" i="26"/>
  <c r="W86" i="26"/>
  <c r="N43" i="24"/>
  <c r="AA87" i="24"/>
  <c r="K99" i="25"/>
  <c r="K84" i="25"/>
  <c r="AE42" i="25"/>
  <c r="AF15" i="25"/>
  <c r="V75" i="25"/>
  <c r="T79" i="25"/>
  <c r="T88" i="25" s="1"/>
  <c r="O85" i="25"/>
  <c r="O94" i="25"/>
  <c r="X86" i="25"/>
  <c r="AG75" i="25"/>
  <c r="AG95" i="25" s="1"/>
  <c r="J80" i="25"/>
  <c r="J79" i="25"/>
  <c r="J88" i="25" s="1"/>
  <c r="M79" i="25"/>
  <c r="P89" i="25"/>
  <c r="V79" i="25"/>
  <c r="AE63" i="25"/>
  <c r="AE80" i="25" s="1"/>
  <c r="AG93" i="26"/>
  <c r="AG84" i="26"/>
  <c r="T76" i="26"/>
  <c r="T85" i="26" s="1"/>
  <c r="O78" i="26"/>
  <c r="O44" i="26"/>
  <c r="T79" i="26"/>
  <c r="T88" i="26"/>
  <c r="AH71" i="26"/>
  <c r="P80" i="26"/>
  <c r="V80" i="26"/>
  <c r="V89" i="26" s="1"/>
  <c r="AF71" i="26"/>
  <c r="BI13" i="53"/>
  <c r="BI10" i="53"/>
  <c r="P80" i="25"/>
  <c r="R75" i="25"/>
  <c r="AD71" i="26"/>
  <c r="V84" i="26"/>
  <c r="AF15" i="26"/>
  <c r="V74" i="26"/>
  <c r="V83" i="26" s="1"/>
  <c r="W80" i="26"/>
  <c r="W89" i="26" s="1"/>
  <c r="U83" i="26"/>
  <c r="U87" i="26"/>
  <c r="U84" i="26"/>
  <c r="U86" i="26"/>
  <c r="U85" i="26"/>
  <c r="AY10" i="52"/>
  <c r="R13" i="52"/>
  <c r="AI14" i="52"/>
  <c r="BB10" i="53"/>
  <c r="AF14" i="53"/>
  <c r="AI14" i="53"/>
  <c r="V87" i="26"/>
  <c r="P44" i="26"/>
  <c r="AD44" i="26" s="1"/>
  <c r="AD42" i="26"/>
  <c r="P77" i="26"/>
  <c r="AH42" i="26"/>
  <c r="P74" i="26"/>
  <c r="P75" i="26"/>
  <c r="AH15" i="26"/>
  <c r="AD15" i="26"/>
  <c r="W79" i="26"/>
  <c r="W76" i="26"/>
  <c r="W85" i="26" s="1"/>
  <c r="W74" i="26"/>
  <c r="W83" i="26" s="1"/>
  <c r="W75" i="26"/>
  <c r="W84" i="26" s="1"/>
  <c r="AF76" i="26"/>
  <c r="AE42" i="26"/>
  <c r="S44" i="26"/>
  <c r="S77" i="26"/>
  <c r="S86" i="26" s="1"/>
  <c r="P79" i="26"/>
  <c r="P88" i="26"/>
  <c r="AD62" i="26"/>
  <c r="AH62" i="26"/>
  <c r="V88" i="26"/>
  <c r="AF62" i="26"/>
  <c r="AF79" i="26" s="1"/>
  <c r="V79" i="26"/>
  <c r="R89" i="26"/>
  <c r="BD13" i="53"/>
  <c r="BD10" i="53"/>
  <c r="AI13" i="53"/>
  <c r="AE13" i="53"/>
  <c r="P77" i="25"/>
  <c r="T89" i="25"/>
  <c r="AD33" i="25"/>
  <c r="AD77" i="25" s="1"/>
  <c r="N84" i="26"/>
  <c r="N93" i="26"/>
  <c r="P76" i="26"/>
  <c r="AD33" i="26"/>
  <c r="AH33" i="26"/>
  <c r="Q88" i="26"/>
  <c r="Q79" i="26"/>
  <c r="Q97" i="26" s="1"/>
  <c r="AG71" i="26"/>
  <c r="AG80" i="26" s="1"/>
  <c r="AG89" i="26" s="1"/>
  <c r="BN10" i="51"/>
  <c r="BB13" i="51"/>
  <c r="BB10" i="51"/>
  <c r="BR13" i="51"/>
  <c r="BR10" i="51"/>
  <c r="BG10" i="52"/>
  <c r="BK13" i="52"/>
  <c r="BK10" i="52"/>
  <c r="BS13" i="52"/>
  <c r="BS10" i="52"/>
  <c r="P14" i="52"/>
  <c r="AG97" i="26"/>
  <c r="AG88" i="26"/>
  <c r="Q94" i="26"/>
  <c r="Q85" i="26"/>
  <c r="AD53" i="26"/>
  <c r="AD78" i="26" s="1"/>
  <c r="Q78" i="26"/>
  <c r="R13" i="53"/>
  <c r="N13" i="53"/>
  <c r="O14" i="53"/>
  <c r="R14" i="53"/>
  <c r="J83" i="26"/>
  <c r="J86" i="26"/>
  <c r="J84" i="26"/>
  <c r="J85" i="26"/>
  <c r="K96" i="26"/>
  <c r="K87" i="26"/>
  <c r="M85" i="26"/>
  <c r="M84" i="26"/>
  <c r="M93" i="26"/>
  <c r="M100" i="26" s="1"/>
  <c r="M96" i="26"/>
  <c r="M87" i="26"/>
  <c r="M97" i="26"/>
  <c r="M86" i="26"/>
  <c r="M98" i="26"/>
  <c r="R77" i="26"/>
  <c r="R86" i="26" s="1"/>
  <c r="R74" i="26"/>
  <c r="R75" i="26"/>
  <c r="R84" i="26" s="1"/>
  <c r="R79" i="26"/>
  <c r="K33" i="26"/>
  <c r="K76" i="26"/>
  <c r="V77" i="26"/>
  <c r="V86" i="26" s="1"/>
  <c r="AF42" i="26"/>
  <c r="V44" i="26"/>
  <c r="R44" i="26"/>
  <c r="R78" i="26"/>
  <c r="R87" i="26" s="1"/>
  <c r="W53" i="26"/>
  <c r="W43" i="26"/>
  <c r="S75" i="26"/>
  <c r="S84" i="26" s="1"/>
  <c r="S74" i="26"/>
  <c r="S83" i="26" s="1"/>
  <c r="AE15" i="26"/>
  <c r="S80" i="26"/>
  <c r="S89" i="26" s="1"/>
  <c r="W44" i="26"/>
  <c r="S78" i="26"/>
  <c r="S87" i="26" s="1"/>
  <c r="AE53" i="26"/>
  <c r="T80" i="26"/>
  <c r="T89" i="26" s="1"/>
  <c r="O93" i="26"/>
  <c r="O84" i="26"/>
  <c r="AI14" i="51"/>
  <c r="AI13" i="52"/>
  <c r="BO10" i="53"/>
  <c r="BR13" i="53"/>
  <c r="BR10" i="53"/>
  <c r="AE80" i="26"/>
  <c r="V76" i="26"/>
  <c r="V85" i="26" s="1"/>
  <c r="T78" i="26"/>
  <c r="T87" i="26" s="1"/>
  <c r="T77" i="26"/>
  <c r="T86" i="26" s="1"/>
  <c r="T75" i="26"/>
  <c r="T84" i="26" s="1"/>
  <c r="AD24" i="26"/>
  <c r="Q75" i="26"/>
  <c r="AE33" i="26"/>
  <c r="AE76" i="26" s="1"/>
  <c r="S76" i="26"/>
  <c r="S85" i="26" s="1"/>
  <c r="AB76" i="26"/>
  <c r="AB85" i="26" s="1"/>
  <c r="AG33" i="26"/>
  <c r="AG76" i="26" s="1"/>
  <c r="Q77" i="26"/>
  <c r="Q44" i="26"/>
  <c r="N78" i="26"/>
  <c r="N44" i="26"/>
  <c r="AE62" i="26"/>
  <c r="AE79" i="26" s="1"/>
  <c r="S88" i="26"/>
  <c r="S79" i="26"/>
  <c r="AX13" i="51"/>
  <c r="AX10" i="51"/>
  <c r="BF13" i="51"/>
  <c r="BF10" i="51"/>
  <c r="R14" i="51"/>
  <c r="N14" i="51"/>
  <c r="AF13" i="51"/>
  <c r="AF14" i="51"/>
  <c r="AE13" i="52"/>
  <c r="R13" i="51"/>
  <c r="N13" i="52"/>
  <c r="BR10" i="52"/>
  <c r="AE14" i="52"/>
  <c r="L88" i="25" l="1"/>
  <c r="L97" i="25"/>
  <c r="P90" i="25"/>
  <c r="AH81" i="25"/>
  <c r="AE78" i="21"/>
  <c r="AE44" i="21"/>
  <c r="P83" i="21"/>
  <c r="AH74" i="21"/>
  <c r="P98" i="21"/>
  <c r="P97" i="26"/>
  <c r="AH79" i="26"/>
  <c r="M84" i="23"/>
  <c r="M93" i="23"/>
  <c r="M100" i="23" s="1"/>
  <c r="AD75" i="26"/>
  <c r="AD74" i="26"/>
  <c r="AD80" i="26"/>
  <c r="AD89" i="26" s="1"/>
  <c r="AE98" i="25"/>
  <c r="O101" i="25"/>
  <c r="R78" i="25"/>
  <c r="R87" i="25" s="1"/>
  <c r="R44" i="25"/>
  <c r="W44" i="25"/>
  <c r="W78" i="25"/>
  <c r="W87" i="25" s="1"/>
  <c r="W90" i="25"/>
  <c r="Q94" i="25"/>
  <c r="Q85" i="25"/>
  <c r="S86" i="24"/>
  <c r="AH76" i="25"/>
  <c r="P85" i="25"/>
  <c r="P94" i="25"/>
  <c r="R44" i="23"/>
  <c r="R78" i="23"/>
  <c r="R87" i="23" s="1"/>
  <c r="AG90" i="25"/>
  <c r="N95" i="24"/>
  <c r="N86" i="24"/>
  <c r="P93" i="22"/>
  <c r="P84" i="22"/>
  <c r="AH75" i="22"/>
  <c r="T89" i="23"/>
  <c r="O100" i="22"/>
  <c r="S89" i="24"/>
  <c r="K84" i="22"/>
  <c r="K93" i="22"/>
  <c r="K100" i="22" s="1"/>
  <c r="K96" i="21"/>
  <c r="K87" i="21"/>
  <c r="AH88" i="22"/>
  <c r="K98" i="21"/>
  <c r="K86" i="21"/>
  <c r="K83" i="21"/>
  <c r="K85" i="21"/>
  <c r="P86" i="21"/>
  <c r="AH77" i="21"/>
  <c r="P95" i="21"/>
  <c r="N98" i="17"/>
  <c r="N83" i="17"/>
  <c r="S85" i="18"/>
  <c r="AH74" i="18"/>
  <c r="S83" i="18"/>
  <c r="AH83" i="18" s="1"/>
  <c r="T89" i="21"/>
  <c r="N96" i="17"/>
  <c r="K84" i="21"/>
  <c r="AE86" i="22"/>
  <c r="AE95" i="22"/>
  <c r="N89" i="17"/>
  <c r="S86" i="17"/>
  <c r="S87" i="17"/>
  <c r="O87" i="16"/>
  <c r="O96" i="16"/>
  <c r="O100" i="16" s="1"/>
  <c r="T86" i="18"/>
  <c r="AF89" i="13"/>
  <c r="AF98" i="13" s="1"/>
  <c r="AF50" i="13"/>
  <c r="AH75" i="16"/>
  <c r="AH80" i="18"/>
  <c r="AH91" i="10"/>
  <c r="P109" i="10"/>
  <c r="AA96" i="10"/>
  <c r="AE94" i="24"/>
  <c r="AE85" i="24"/>
  <c r="AH77" i="22"/>
  <c r="P95" i="22"/>
  <c r="P86" i="22"/>
  <c r="AH86" i="22" s="1"/>
  <c r="Q98" i="13"/>
  <c r="AH98" i="13" s="1"/>
  <c r="Q107" i="13"/>
  <c r="Q112" i="13" s="1"/>
  <c r="AH89" i="13"/>
  <c r="P101" i="10"/>
  <c r="AH92" i="10"/>
  <c r="K94" i="26"/>
  <c r="K85" i="26"/>
  <c r="Q87" i="26"/>
  <c r="Q96" i="26"/>
  <c r="AG100" i="26"/>
  <c r="Q88" i="25"/>
  <c r="Q97" i="25"/>
  <c r="Q93" i="26"/>
  <c r="Q84" i="26"/>
  <c r="AE78" i="26"/>
  <c r="AF53" i="26"/>
  <c r="AF78" i="26" s="1"/>
  <c r="AF87" i="26" s="1"/>
  <c r="W78" i="26"/>
  <c r="W87" i="26" s="1"/>
  <c r="AH53" i="26"/>
  <c r="R84" i="25"/>
  <c r="R90" i="25"/>
  <c r="V88" i="25"/>
  <c r="Q86" i="25"/>
  <c r="AD42" i="25"/>
  <c r="AD78" i="25" s="1"/>
  <c r="AF80" i="25"/>
  <c r="Q90" i="25"/>
  <c r="AE74" i="24"/>
  <c r="AE75" i="24"/>
  <c r="AE80" i="24"/>
  <c r="AE89" i="24" s="1"/>
  <c r="P85" i="24"/>
  <c r="AH76" i="24"/>
  <c r="P94" i="24"/>
  <c r="T86" i="23"/>
  <c r="AH80" i="24"/>
  <c r="P89" i="24"/>
  <c r="AH89" i="24" s="1"/>
  <c r="L87" i="23"/>
  <c r="L96" i="23"/>
  <c r="AE79" i="24"/>
  <c r="AE97" i="24" s="1"/>
  <c r="W88" i="25"/>
  <c r="Q97" i="24"/>
  <c r="AE75" i="23"/>
  <c r="AE80" i="23"/>
  <c r="AE76" i="23"/>
  <c r="AE78" i="23"/>
  <c r="AE74" i="23"/>
  <c r="N84" i="22"/>
  <c r="N93" i="22"/>
  <c r="K97" i="21"/>
  <c r="S84" i="22"/>
  <c r="AI45" i="22"/>
  <c r="AH44" i="22"/>
  <c r="K98" i="22"/>
  <c r="K83" i="22"/>
  <c r="K95" i="22"/>
  <c r="K86" i="22"/>
  <c r="Q97" i="21"/>
  <c r="Q83" i="21"/>
  <c r="Q96" i="21"/>
  <c r="Q87" i="21"/>
  <c r="Q98" i="21"/>
  <c r="AH79" i="22"/>
  <c r="P97" i="22"/>
  <c r="Q84" i="21"/>
  <c r="Q93" i="21"/>
  <c r="T84" i="21"/>
  <c r="S85" i="21"/>
  <c r="AG87" i="18"/>
  <c r="AG96" i="18"/>
  <c r="AE80" i="21"/>
  <c r="K95" i="21"/>
  <c r="AH76" i="21"/>
  <c r="P94" i="21"/>
  <c r="P85" i="21"/>
  <c r="AE44" i="22"/>
  <c r="S87" i="18"/>
  <c r="AH87" i="18" s="1"/>
  <c r="S85" i="17"/>
  <c r="R87" i="17"/>
  <c r="AH78" i="17"/>
  <c r="AE85" i="16"/>
  <c r="AH76" i="16"/>
  <c r="AG90" i="14"/>
  <c r="AG50" i="14"/>
  <c r="AD86" i="16"/>
  <c r="AD95" i="16"/>
  <c r="AD112" i="14"/>
  <c r="AH88" i="13"/>
  <c r="AB97" i="13"/>
  <c r="AH97" i="13" s="1"/>
  <c r="AH90" i="14"/>
  <c r="Q96" i="10"/>
  <c r="Q105" i="10"/>
  <c r="AE89" i="10"/>
  <c r="AE91" i="10"/>
  <c r="AE92" i="10"/>
  <c r="AE87" i="10"/>
  <c r="AE86" i="10"/>
  <c r="AE77" i="26"/>
  <c r="AE44" i="26"/>
  <c r="AH89" i="25"/>
  <c r="N88" i="25"/>
  <c r="N97" i="25"/>
  <c r="K87" i="25"/>
  <c r="K96" i="25"/>
  <c r="O96" i="17"/>
  <c r="O100" i="17" s="1"/>
  <c r="O87" i="17"/>
  <c r="AE112" i="12"/>
  <c r="AD107" i="9"/>
  <c r="AD98" i="9"/>
  <c r="AD91" i="10"/>
  <c r="AD109" i="10" s="1"/>
  <c r="AD88" i="10"/>
  <c r="AD92" i="10"/>
  <c r="AD101" i="10" s="1"/>
  <c r="AD87" i="10"/>
  <c r="AD86" i="10"/>
  <c r="AG92" i="10"/>
  <c r="AG87" i="10"/>
  <c r="AG91" i="10"/>
  <c r="AG86" i="10"/>
  <c r="AG90" i="10"/>
  <c r="AG89" i="10"/>
  <c r="R83" i="26"/>
  <c r="R85" i="26"/>
  <c r="P86" i="25"/>
  <c r="P95" i="25"/>
  <c r="AH77" i="25"/>
  <c r="AF85" i="26"/>
  <c r="AH74" i="26"/>
  <c r="P98" i="26"/>
  <c r="P83" i="26"/>
  <c r="AH83" i="26" s="1"/>
  <c r="M97" i="25"/>
  <c r="M101" i="25" s="1"/>
  <c r="M88" i="25"/>
  <c r="V84" i="25"/>
  <c r="V86" i="25"/>
  <c r="AH78" i="26"/>
  <c r="AH53" i="24"/>
  <c r="S44" i="24"/>
  <c r="S78" i="24"/>
  <c r="AE53" i="24"/>
  <c r="AE78" i="24" s="1"/>
  <c r="AD44" i="25"/>
  <c r="AE76" i="25"/>
  <c r="AE75" i="25"/>
  <c r="N100" i="24"/>
  <c r="AD76" i="24"/>
  <c r="AG85" i="22"/>
  <c r="AG94" i="22"/>
  <c r="AG100" i="22" s="1"/>
  <c r="S85" i="24"/>
  <c r="AE77" i="23"/>
  <c r="AE44" i="23"/>
  <c r="W85" i="25"/>
  <c r="AE81" i="25"/>
  <c r="AG86" i="24"/>
  <c r="AG95" i="24"/>
  <c r="S84" i="24"/>
  <c r="T87" i="23"/>
  <c r="N100" i="23"/>
  <c r="O96" i="22"/>
  <c r="O87" i="22"/>
  <c r="T87" i="21"/>
  <c r="AE83" i="22"/>
  <c r="AE98" i="22"/>
  <c r="AE77" i="21"/>
  <c r="AE74" i="21"/>
  <c r="AE85" i="21" s="1"/>
  <c r="AE75" i="21"/>
  <c r="S87" i="21"/>
  <c r="L85" i="18"/>
  <c r="L94" i="18"/>
  <c r="AE87" i="18"/>
  <c r="AE96" i="18"/>
  <c r="Q85" i="21"/>
  <c r="Q94" i="21"/>
  <c r="P87" i="21"/>
  <c r="AH87" i="21" s="1"/>
  <c r="AH78" i="21"/>
  <c r="P96" i="21"/>
  <c r="AE79" i="17"/>
  <c r="S89" i="17"/>
  <c r="R89" i="17"/>
  <c r="AD79" i="17"/>
  <c r="AH44" i="17"/>
  <c r="AI45" i="17"/>
  <c r="T85" i="18"/>
  <c r="AE100" i="18"/>
  <c r="Q89" i="17"/>
  <c r="AH89" i="17" s="1"/>
  <c r="AH80" i="17"/>
  <c r="K105" i="12"/>
  <c r="K112" i="12" s="1"/>
  <c r="K96" i="12"/>
  <c r="AH88" i="12"/>
  <c r="P106" i="12"/>
  <c r="P112" i="12" s="1"/>
  <c r="P97" i="12"/>
  <c r="AH97" i="12" s="1"/>
  <c r="AH79" i="16"/>
  <c r="AC98" i="10"/>
  <c r="Q110" i="10"/>
  <c r="Q95" i="10"/>
  <c r="P110" i="10"/>
  <c r="P95" i="10"/>
  <c r="AH95" i="10" s="1"/>
  <c r="AH86" i="10"/>
  <c r="AA101" i="10"/>
  <c r="K96" i="18"/>
  <c r="K87" i="18"/>
  <c r="AD93" i="18"/>
  <c r="AD84" i="18"/>
  <c r="AH44" i="26"/>
  <c r="AI45" i="26"/>
  <c r="O96" i="26"/>
  <c r="O100" i="26" s="1"/>
  <c r="O87" i="26"/>
  <c r="AF76" i="25"/>
  <c r="AF85" i="25" s="1"/>
  <c r="AF75" i="25"/>
  <c r="AF84" i="25" s="1"/>
  <c r="AF79" i="25"/>
  <c r="AF88" i="25" s="1"/>
  <c r="AF77" i="25"/>
  <c r="AF86" i="25" s="1"/>
  <c r="AG96" i="25"/>
  <c r="AG87" i="25"/>
  <c r="K85" i="22"/>
  <c r="K94" i="22"/>
  <c r="AE94" i="22"/>
  <c r="AE85" i="22"/>
  <c r="AD97" i="21"/>
  <c r="AE93" i="22"/>
  <c r="AE84" i="22"/>
  <c r="T86" i="21"/>
  <c r="O96" i="21"/>
  <c r="O100" i="21" s="1"/>
  <c r="O87" i="21"/>
  <c r="N95" i="21"/>
  <c r="N100" i="21" s="1"/>
  <c r="N86" i="21"/>
  <c r="AD94" i="21"/>
  <c r="AD85" i="21"/>
  <c r="AD74" i="21"/>
  <c r="AD78" i="21"/>
  <c r="AD75" i="21"/>
  <c r="K93" i="18"/>
  <c r="K100" i="18" s="1"/>
  <c r="K84" i="18"/>
  <c r="R83" i="17"/>
  <c r="AH83" i="17" s="1"/>
  <c r="AH74" i="17"/>
  <c r="P97" i="17"/>
  <c r="AH79" i="17"/>
  <c r="N95" i="16"/>
  <c r="N86" i="16"/>
  <c r="AD80" i="17"/>
  <c r="Q86" i="16"/>
  <c r="AH77" i="16"/>
  <c r="Q95" i="16"/>
  <c r="Q100" i="16" s="1"/>
  <c r="Q97" i="10"/>
  <c r="Q106" i="10"/>
  <c r="P99" i="10"/>
  <c r="AH90" i="10"/>
  <c r="P108" i="10"/>
  <c r="AD97" i="9"/>
  <c r="AD106" i="9"/>
  <c r="AD111" i="9" s="1"/>
  <c r="AA99" i="10"/>
  <c r="AD90" i="10"/>
  <c r="P98" i="25"/>
  <c r="AH80" i="25"/>
  <c r="AH84" i="24"/>
  <c r="K96" i="22"/>
  <c r="K87" i="22"/>
  <c r="K83" i="18"/>
  <c r="K98" i="18"/>
  <c r="AH87" i="26"/>
  <c r="N101" i="25"/>
  <c r="AF42" i="25"/>
  <c r="V44" i="25"/>
  <c r="V78" i="25"/>
  <c r="V87" i="25" s="1"/>
  <c r="L84" i="23"/>
  <c r="L93" i="23"/>
  <c r="L100" i="23" s="1"/>
  <c r="AG85" i="26"/>
  <c r="AG94" i="26"/>
  <c r="AE74" i="26"/>
  <c r="AE97" i="26" s="1"/>
  <c r="AE75" i="26"/>
  <c r="AF77" i="26"/>
  <c r="AD76" i="26"/>
  <c r="AD79" i="26"/>
  <c r="AD97" i="26" s="1"/>
  <c r="P95" i="26"/>
  <c r="P86" i="26"/>
  <c r="AH77" i="26"/>
  <c r="AF80" i="26"/>
  <c r="AE44" i="25"/>
  <c r="AE78" i="25"/>
  <c r="P96" i="26"/>
  <c r="R86" i="25"/>
  <c r="T86" i="25"/>
  <c r="M98" i="24"/>
  <c r="M83" i="24"/>
  <c r="M85" i="24"/>
  <c r="Q98" i="25"/>
  <c r="AD79" i="24"/>
  <c r="AH79" i="24"/>
  <c r="P97" i="24"/>
  <c r="Q98" i="24"/>
  <c r="Q83" i="24"/>
  <c r="Q93" i="24"/>
  <c r="P83" i="24"/>
  <c r="AH83" i="24" s="1"/>
  <c r="AH74" i="24"/>
  <c r="P98" i="24"/>
  <c r="P100" i="24" s="1"/>
  <c r="P96" i="24"/>
  <c r="AD76" i="25"/>
  <c r="AD75" i="25"/>
  <c r="AD86" i="25" s="1"/>
  <c r="AD79" i="25"/>
  <c r="AD53" i="23"/>
  <c r="AD78" i="23" s="1"/>
  <c r="Q94" i="24"/>
  <c r="Q78" i="23"/>
  <c r="Q44" i="23"/>
  <c r="AD44" i="23" s="1"/>
  <c r="AH53" i="23"/>
  <c r="T44" i="24"/>
  <c r="AE42" i="24"/>
  <c r="AH42" i="24"/>
  <c r="T77" i="24"/>
  <c r="T86" i="24" s="1"/>
  <c r="P96" i="23"/>
  <c r="P87" i="23"/>
  <c r="AH78" i="23"/>
  <c r="N44" i="22"/>
  <c r="N77" i="22"/>
  <c r="AD74" i="22"/>
  <c r="AD89" i="22" s="1"/>
  <c r="AD75" i="22"/>
  <c r="AD76" i="23"/>
  <c r="M87" i="18"/>
  <c r="M96" i="18"/>
  <c r="M100" i="18" s="1"/>
  <c r="AD94" i="18"/>
  <c r="AD85" i="18"/>
  <c r="N95" i="17"/>
  <c r="N86" i="17"/>
  <c r="K94" i="21"/>
  <c r="AD78" i="17"/>
  <c r="Q95" i="21"/>
  <c r="AE44" i="18"/>
  <c r="K85" i="18"/>
  <c r="K94" i="18"/>
  <c r="AH76" i="17"/>
  <c r="Q94" i="17"/>
  <c r="Q85" i="17"/>
  <c r="AH84" i="18"/>
  <c r="AH88" i="17"/>
  <c r="AD77" i="17"/>
  <c r="N85" i="16"/>
  <c r="N94" i="16"/>
  <c r="N100" i="16" s="1"/>
  <c r="AE44" i="16"/>
  <c r="AE78" i="16"/>
  <c r="AH84" i="16"/>
  <c r="AE74" i="16"/>
  <c r="AE75" i="16"/>
  <c r="AE77" i="16"/>
  <c r="N100" i="18"/>
  <c r="R77" i="16"/>
  <c r="R86" i="16" s="1"/>
  <c r="R44" i="16"/>
  <c r="AD44" i="16" s="1"/>
  <c r="AC96" i="10"/>
  <c r="Q99" i="10"/>
  <c r="Q108" i="10"/>
  <c r="P105" i="10"/>
  <c r="P96" i="10"/>
  <c r="AH87" i="10"/>
  <c r="AH90" i="13"/>
  <c r="Z96" i="10"/>
  <c r="AA98" i="10"/>
  <c r="N96" i="26"/>
  <c r="N87" i="26"/>
  <c r="AI46" i="25"/>
  <c r="AH44" i="25"/>
  <c r="P89" i="23"/>
  <c r="AH89" i="23" s="1"/>
  <c r="AH80" i="23"/>
  <c r="AH80" i="22"/>
  <c r="AH77" i="17"/>
  <c r="P95" i="17"/>
  <c r="P86" i="17"/>
  <c r="AH86" i="17" s="1"/>
  <c r="AH44" i="16"/>
  <c r="AI45" i="16"/>
  <c r="Q86" i="26"/>
  <c r="Q95" i="26"/>
  <c r="P95" i="24"/>
  <c r="P86" i="24"/>
  <c r="P85" i="26"/>
  <c r="AH85" i="26" s="1"/>
  <c r="AH76" i="26"/>
  <c r="P94" i="26"/>
  <c r="AH88" i="26"/>
  <c r="AD77" i="26"/>
  <c r="AF74" i="26"/>
  <c r="AF83" i="26" s="1"/>
  <c r="AF75" i="26"/>
  <c r="AF84" i="26" s="1"/>
  <c r="AG84" i="25"/>
  <c r="AG99" i="25"/>
  <c r="AG89" i="25"/>
  <c r="AG94" i="25"/>
  <c r="AG101" i="25" s="1"/>
  <c r="AG88" i="25"/>
  <c r="AG85" i="25"/>
  <c r="M93" i="24"/>
  <c r="M84" i="24"/>
  <c r="AG100" i="24"/>
  <c r="AE86" i="25"/>
  <c r="AE95" i="25"/>
  <c r="AH88" i="24"/>
  <c r="Q84" i="23"/>
  <c r="AH84" i="23" s="1"/>
  <c r="Q93" i="23"/>
  <c r="Q87" i="24"/>
  <c r="Q96" i="24"/>
  <c r="AH79" i="25"/>
  <c r="P97" i="25"/>
  <c r="P88" i="25"/>
  <c r="AH88" i="25" s="1"/>
  <c r="AE97" i="23"/>
  <c r="AF81" i="25"/>
  <c r="AF90" i="25" s="1"/>
  <c r="AH75" i="23"/>
  <c r="AH74" i="23"/>
  <c r="AD97" i="22"/>
  <c r="AD87" i="22"/>
  <c r="AD96" i="22"/>
  <c r="P94" i="23"/>
  <c r="P100" i="23" s="1"/>
  <c r="P85" i="23"/>
  <c r="AH85" i="23" s="1"/>
  <c r="AH76" i="23"/>
  <c r="K95" i="18"/>
  <c r="K86" i="18"/>
  <c r="AD80" i="21"/>
  <c r="AD89" i="21" s="1"/>
  <c r="AG93" i="18"/>
  <c r="AG84" i="18"/>
  <c r="AD77" i="21"/>
  <c r="K97" i="18"/>
  <c r="N84" i="17"/>
  <c r="N93" i="17"/>
  <c r="N100" i="17" s="1"/>
  <c r="AG85" i="18"/>
  <c r="AG94" i="18"/>
  <c r="Q86" i="21"/>
  <c r="P93" i="21"/>
  <c r="AH75" i="21"/>
  <c r="P84" i="21"/>
  <c r="AD76" i="17"/>
  <c r="AE74" i="17"/>
  <c r="AE95" i="17" s="1"/>
  <c r="AE75" i="17"/>
  <c r="AE76" i="17"/>
  <c r="Q100" i="17"/>
  <c r="N85" i="17"/>
  <c r="S87" i="16"/>
  <c r="AH87" i="16" s="1"/>
  <c r="AH78" i="16"/>
  <c r="R85" i="17"/>
  <c r="S86" i="18"/>
  <c r="AH86" i="18" s="1"/>
  <c r="AH85" i="16"/>
  <c r="AD105" i="9"/>
  <c r="AD96" i="9"/>
  <c r="AC97" i="10"/>
  <c r="Q98" i="10"/>
  <c r="Q107" i="10"/>
  <c r="U98" i="10"/>
  <c r="AE88" i="10"/>
  <c r="P106" i="10"/>
  <c r="P97" i="10"/>
  <c r="AH88" i="10"/>
  <c r="AA97" i="10"/>
  <c r="P93" i="26"/>
  <c r="P100" i="26" s="1"/>
  <c r="AH75" i="26"/>
  <c r="P84" i="26"/>
  <c r="AH84" i="26" s="1"/>
  <c r="L86" i="23"/>
  <c r="L95" i="23"/>
  <c r="AH75" i="25"/>
  <c r="P99" i="25"/>
  <c r="P84" i="25"/>
  <c r="AE89" i="26"/>
  <c r="N100" i="26"/>
  <c r="P89" i="26"/>
  <c r="AH89" i="26" s="1"/>
  <c r="AH80" i="26"/>
  <c r="M86" i="24"/>
  <c r="M95" i="24"/>
  <c r="Q99" i="25"/>
  <c r="Q84" i="25"/>
  <c r="P97" i="23"/>
  <c r="AH79" i="23"/>
  <c r="Q95" i="24"/>
  <c r="Q86" i="24"/>
  <c r="P95" i="23"/>
  <c r="P86" i="23"/>
  <c r="AH86" i="23" s="1"/>
  <c r="AH77" i="23"/>
  <c r="AD75" i="24"/>
  <c r="AD74" i="24"/>
  <c r="AD77" i="24"/>
  <c r="P87" i="25"/>
  <c r="AH87" i="25" s="1"/>
  <c r="AH78" i="25"/>
  <c r="P96" i="25"/>
  <c r="AD77" i="23"/>
  <c r="AD75" i="23"/>
  <c r="AD74" i="23"/>
  <c r="AD79" i="23"/>
  <c r="AD97" i="23" s="1"/>
  <c r="AH74" i="22"/>
  <c r="P98" i="22"/>
  <c r="P83" i="22"/>
  <c r="AH83" i="22" s="1"/>
  <c r="AD80" i="23"/>
  <c r="AG87" i="21"/>
  <c r="AG96" i="21"/>
  <c r="AG100" i="21" s="1"/>
  <c r="AH83" i="23"/>
  <c r="P94" i="22"/>
  <c r="P85" i="22"/>
  <c r="AH85" i="22" s="1"/>
  <c r="AH76" i="22"/>
  <c r="AH78" i="22"/>
  <c r="P96" i="22"/>
  <c r="P87" i="22"/>
  <c r="AH87" i="22" s="1"/>
  <c r="AE87" i="22"/>
  <c r="AE96" i="22"/>
  <c r="P97" i="21"/>
  <c r="AH79" i="21"/>
  <c r="AG95" i="18"/>
  <c r="AG86" i="18"/>
  <c r="P89" i="21"/>
  <c r="AH89" i="21" s="1"/>
  <c r="AH80" i="21"/>
  <c r="AI45" i="21"/>
  <c r="AH44" i="21"/>
  <c r="AH75" i="18"/>
  <c r="S84" i="17"/>
  <c r="AD75" i="17"/>
  <c r="AD74" i="17"/>
  <c r="P93" i="17"/>
  <c r="P100" i="17" s="1"/>
  <c r="AH75" i="17"/>
  <c r="P84" i="17"/>
  <c r="AH84" i="17" s="1"/>
  <c r="AH87" i="17"/>
  <c r="AE97" i="16"/>
  <c r="AD87" i="16"/>
  <c r="AD96" i="16"/>
  <c r="AE96" i="17"/>
  <c r="AD89" i="10"/>
  <c r="AH80" i="16"/>
  <c r="R89" i="16"/>
  <c r="AH89" i="16" s="1"/>
  <c r="AD85" i="16"/>
  <c r="AD94" i="16"/>
  <c r="AH98" i="14"/>
  <c r="AH89" i="10"/>
  <c r="P98" i="10"/>
  <c r="P107" i="10"/>
  <c r="AG88" i="10"/>
  <c r="AF90" i="10"/>
  <c r="AF99" i="10" s="1"/>
  <c r="AF92" i="10"/>
  <c r="AF101" i="10" s="1"/>
  <c r="AF91" i="10"/>
  <c r="AF89" i="10"/>
  <c r="AF98" i="10" s="1"/>
  <c r="AF86" i="10"/>
  <c r="AF95" i="10" s="1"/>
  <c r="AF88" i="10"/>
  <c r="AF97" i="10" s="1"/>
  <c r="AF87" i="10"/>
  <c r="AF96" i="10" s="1"/>
  <c r="AH87" i="24" l="1"/>
  <c r="AD86" i="21"/>
  <c r="AD95" i="21"/>
  <c r="AE93" i="21"/>
  <c r="AE84" i="21"/>
  <c r="AG95" i="10"/>
  <c r="AG110" i="10"/>
  <c r="AD100" i="16"/>
  <c r="AD85" i="17"/>
  <c r="AD94" i="17"/>
  <c r="M100" i="24"/>
  <c r="AE84" i="16"/>
  <c r="AE93" i="16"/>
  <c r="AD86" i="17"/>
  <c r="AD95" i="17"/>
  <c r="N95" i="22"/>
  <c r="N86" i="22"/>
  <c r="AD85" i="25"/>
  <c r="AD94" i="25"/>
  <c r="AD108" i="10"/>
  <c r="AD99" i="10"/>
  <c r="AD98" i="21"/>
  <c r="AD83" i="21"/>
  <c r="AD94" i="22"/>
  <c r="AE90" i="25"/>
  <c r="AG98" i="10"/>
  <c r="AG107" i="10"/>
  <c r="AE94" i="21"/>
  <c r="AE86" i="26"/>
  <c r="AE95" i="26"/>
  <c r="AH85" i="21"/>
  <c r="AE84" i="23"/>
  <c r="AE93" i="23"/>
  <c r="AE100" i="23" s="1"/>
  <c r="AF89" i="25"/>
  <c r="AE89" i="17"/>
  <c r="AD98" i="24"/>
  <c r="AD83" i="24"/>
  <c r="AD86" i="24"/>
  <c r="AD95" i="24"/>
  <c r="AH84" i="21"/>
  <c r="Q100" i="23"/>
  <c r="AD95" i="26"/>
  <c r="AD86" i="26"/>
  <c r="AD89" i="24"/>
  <c r="AE83" i="16"/>
  <c r="AE98" i="16"/>
  <c r="AI45" i="23"/>
  <c r="AH44" i="23"/>
  <c r="AD85" i="22"/>
  <c r="AE84" i="25"/>
  <c r="AE99" i="25"/>
  <c r="AG99" i="10"/>
  <c r="AG108" i="10"/>
  <c r="AD97" i="10"/>
  <c r="AD106" i="10"/>
  <c r="AE110" i="10"/>
  <c r="AE95" i="10"/>
  <c r="AE94" i="16"/>
  <c r="Q100" i="21"/>
  <c r="AD87" i="25"/>
  <c r="AD96" i="25"/>
  <c r="AH101" i="10"/>
  <c r="AH85" i="18"/>
  <c r="AE87" i="21"/>
  <c r="AE96" i="21"/>
  <c r="AE94" i="25"/>
  <c r="AE85" i="25"/>
  <c r="AG97" i="10"/>
  <c r="AG106" i="10"/>
  <c r="AD98" i="23"/>
  <c r="AD83" i="23"/>
  <c r="AD84" i="24"/>
  <c r="AD93" i="24"/>
  <c r="AH84" i="25"/>
  <c r="P100" i="21"/>
  <c r="AE87" i="16"/>
  <c r="AE96" i="16"/>
  <c r="AH85" i="17"/>
  <c r="AD84" i="22"/>
  <c r="AD93" i="22"/>
  <c r="AD100" i="22" s="1"/>
  <c r="AH87" i="23"/>
  <c r="Q96" i="23"/>
  <c r="Q87" i="23"/>
  <c r="AD97" i="24"/>
  <c r="AE87" i="25"/>
  <c r="AE96" i="25"/>
  <c r="AF44" i="26"/>
  <c r="AH86" i="16"/>
  <c r="AE98" i="21"/>
  <c r="AE83" i="21"/>
  <c r="AE86" i="23"/>
  <c r="AE95" i="23"/>
  <c r="AG109" i="10"/>
  <c r="AE101" i="10"/>
  <c r="AH85" i="24"/>
  <c r="AE87" i="26"/>
  <c r="AE96" i="26"/>
  <c r="AD90" i="25"/>
  <c r="Q101" i="25"/>
  <c r="AH90" i="25"/>
  <c r="AD94" i="23"/>
  <c r="AD85" i="23"/>
  <c r="AD94" i="26"/>
  <c r="AD85" i="26"/>
  <c r="AG100" i="18"/>
  <c r="AD98" i="22"/>
  <c r="AD83" i="22"/>
  <c r="AF86" i="26"/>
  <c r="AD89" i="17"/>
  <c r="AD97" i="17"/>
  <c r="AE86" i="21"/>
  <c r="AE95" i="21"/>
  <c r="AE88" i="25"/>
  <c r="AG96" i="10"/>
  <c r="AG105" i="10"/>
  <c r="AG112" i="10" s="1"/>
  <c r="AE109" i="10"/>
  <c r="AE89" i="21"/>
  <c r="AE83" i="23"/>
  <c r="AE98" i="23"/>
  <c r="AD98" i="26"/>
  <c r="AD83" i="26"/>
  <c r="N100" i="22"/>
  <c r="AD86" i="23"/>
  <c r="AD95" i="23"/>
  <c r="AE94" i="17"/>
  <c r="AE85" i="17"/>
  <c r="AD96" i="23"/>
  <c r="AD87" i="23"/>
  <c r="Q100" i="24"/>
  <c r="AF89" i="26"/>
  <c r="AE93" i="26"/>
  <c r="AE84" i="26"/>
  <c r="AF44" i="25"/>
  <c r="AF78" i="25"/>
  <c r="AF87" i="25" s="1"/>
  <c r="AD100" i="18"/>
  <c r="AE97" i="25"/>
  <c r="AH86" i="25"/>
  <c r="AG101" i="10"/>
  <c r="AE98" i="10"/>
  <c r="AE107" i="10"/>
  <c r="AE87" i="23"/>
  <c r="AE96" i="23"/>
  <c r="AE93" i="24"/>
  <c r="AE84" i="24"/>
  <c r="Q100" i="26"/>
  <c r="AE99" i="10"/>
  <c r="AD93" i="26"/>
  <c r="AD84" i="26"/>
  <c r="AE105" i="10"/>
  <c r="AE96" i="10"/>
  <c r="AD98" i="10"/>
  <c r="AD107" i="10"/>
  <c r="AD93" i="23"/>
  <c r="AD100" i="23" s="1"/>
  <c r="AD84" i="23"/>
  <c r="AH98" i="10"/>
  <c r="AH97" i="10"/>
  <c r="AE87" i="17"/>
  <c r="AD98" i="17"/>
  <c r="AD83" i="17"/>
  <c r="AD89" i="23"/>
  <c r="AE93" i="17"/>
  <c r="AE100" i="17" s="1"/>
  <c r="AE84" i="17"/>
  <c r="AH77" i="24"/>
  <c r="AH96" i="10"/>
  <c r="AD95" i="22"/>
  <c r="AH44" i="24"/>
  <c r="AI45" i="24"/>
  <c r="AD88" i="25"/>
  <c r="AD97" i="25"/>
  <c r="AE83" i="26"/>
  <c r="AE98" i="26"/>
  <c r="AH99" i="10"/>
  <c r="AD84" i="21"/>
  <c r="AD93" i="21"/>
  <c r="AD100" i="21" s="1"/>
  <c r="AE96" i="24"/>
  <c r="AE87" i="24"/>
  <c r="AD95" i="10"/>
  <c r="AD110" i="10"/>
  <c r="Q112" i="10"/>
  <c r="AE94" i="23"/>
  <c r="AE85" i="23"/>
  <c r="AE83" i="24"/>
  <c r="AE98" i="24"/>
  <c r="AE85" i="26"/>
  <c r="AE108" i="10"/>
  <c r="AH86" i="21"/>
  <c r="AH84" i="22"/>
  <c r="P101" i="25"/>
  <c r="AD87" i="26"/>
  <c r="AD96" i="24"/>
  <c r="AD87" i="17"/>
  <c r="AD96" i="17"/>
  <c r="AE100" i="22"/>
  <c r="AD84" i="17"/>
  <c r="AD93" i="17"/>
  <c r="AE106" i="10"/>
  <c r="AE97" i="10"/>
  <c r="AE98" i="17"/>
  <c r="AE83" i="17"/>
  <c r="AH86" i="24"/>
  <c r="AE86" i="17"/>
  <c r="P112" i="10"/>
  <c r="AE95" i="16"/>
  <c r="AE86" i="16"/>
  <c r="AE89" i="16"/>
  <c r="AD86" i="22"/>
  <c r="AE77" i="24"/>
  <c r="AE44" i="24"/>
  <c r="AD99" i="25"/>
  <c r="AD84" i="25"/>
  <c r="AH86" i="26"/>
  <c r="AF88" i="26"/>
  <c r="AD96" i="21"/>
  <c r="AD87" i="21"/>
  <c r="AE97" i="17"/>
  <c r="AD98" i="25"/>
  <c r="AD85" i="24"/>
  <c r="AD94" i="24"/>
  <c r="S87" i="24"/>
  <c r="AH78" i="24"/>
  <c r="AD96" i="10"/>
  <c r="AD105" i="10"/>
  <c r="AD112" i="10" s="1"/>
  <c r="AG108" i="14"/>
  <c r="AG112" i="14" s="1"/>
  <c r="AG99" i="14"/>
  <c r="AE89" i="23"/>
  <c r="AD95" i="25"/>
  <c r="AE94" i="26"/>
  <c r="AE97" i="21"/>
  <c r="P100" i="22"/>
  <c r="AH85" i="25"/>
  <c r="AD96" i="26"/>
  <c r="AH83" i="21"/>
  <c r="AD87" i="24"/>
  <c r="AD100" i="24" l="1"/>
  <c r="AE112" i="10"/>
  <c r="AE100" i="16"/>
  <c r="AE95" i="24"/>
  <c r="AE100" i="24" s="1"/>
  <c r="AE86" i="24"/>
  <c r="AE100" i="26"/>
  <c r="AD101" i="25"/>
  <c r="AE100" i="21"/>
  <c r="AD100" i="17"/>
  <c r="AD100" i="26"/>
  <c r="AE101" i="2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Chalida</author>
  </authors>
  <commentList>
    <comment ref="CP2" authorId="0" shapeId="0" xr:uid="{0E76F9CD-E2BF-4EDE-B7E7-DD03198096C4}">
      <text>
        <r>
          <rPr>
            <b/>
            <sz val="9"/>
            <color indexed="81"/>
            <rFont val="Tahoma"/>
          </rPr>
          <t>Chalida:</t>
        </r>
        <r>
          <rPr>
            <sz val="9"/>
            <color indexed="81"/>
            <rFont val="Tahoma"/>
          </rPr>
          <t xml:space="preserve">
chalida  27/05/2021</t>
        </r>
      </text>
    </comment>
  </commentList>
</comments>
</file>

<file path=xl/sharedStrings.xml><?xml version="1.0" encoding="utf-8"?>
<sst xmlns="http://schemas.openxmlformats.org/spreadsheetml/2006/main" count="6213" uniqueCount="470">
  <si>
    <t>1. DUBAI</t>
  </si>
  <si>
    <t>Actual</t>
  </si>
  <si>
    <t>Forecast</t>
  </si>
  <si>
    <t>Apr'15</t>
  </si>
  <si>
    <t>Jun'15</t>
  </si>
  <si>
    <t>Jul'15</t>
  </si>
  <si>
    <t>Aug'15</t>
  </si>
  <si>
    <t>Sep'15</t>
  </si>
  <si>
    <t>Oct'15
 @21 Sep 15</t>
  </si>
  <si>
    <t>Oct'15</t>
  </si>
  <si>
    <t>Note (Rationale for M+1)</t>
  </si>
  <si>
    <t>Note (Rationale for M+2)</t>
  </si>
  <si>
    <t>Nov'15</t>
  </si>
  <si>
    <t>Dec'15</t>
  </si>
  <si>
    <t>Jan'16</t>
  </si>
  <si>
    <t>Feb'16</t>
  </si>
  <si>
    <t>Mar'16</t>
  </si>
  <si>
    <t>Q4-14</t>
  </si>
  <si>
    <t>(1 - 5 Jun)</t>
  </si>
  <si>
    <t>(8-12 Jun)</t>
  </si>
  <si>
    <t>@28 Sep 15</t>
  </si>
  <si>
    <t xml:space="preserve">Dubai </t>
  </si>
  <si>
    <t>Previous WK</t>
  </si>
  <si>
    <t>TOP</t>
  </si>
  <si>
    <t>PTTGC</t>
  </si>
  <si>
    <t>IRPC</t>
  </si>
  <si>
    <t>PTT</t>
  </si>
  <si>
    <t>Forecast Avg.</t>
  </si>
  <si>
    <t>2. NAPHTHA/DB</t>
  </si>
  <si>
    <t>Naphtha/DB</t>
  </si>
  <si>
    <t xml:space="preserve">(+) LPG price tend to increase in Winter support
(+) Strong gasoline demand spport gasoline and naphtha price
(+) MOPJ feed stock for PetChem may stable at high level
</t>
  </si>
  <si>
    <t xml:space="preserve">Avg </t>
  </si>
  <si>
    <t>3. 95 RON/DB</t>
  </si>
  <si>
    <t>95 RON/DB</t>
  </si>
  <si>
    <t>4. IK/DB</t>
  </si>
  <si>
    <t>IK/DB</t>
  </si>
  <si>
    <t>(-) Stable to soft as more supplies from China, India and Middle East.</t>
  </si>
  <si>
    <t xml:space="preserve"> Regrade</t>
  </si>
  <si>
    <t>5. Gasoil/DB</t>
  </si>
  <si>
    <t>Gasoil /DB</t>
  </si>
  <si>
    <t xml:space="preserve">(-) Stable to soft as more supplies from China, India and Middle East.
(-) New refinery in Middle East pressure spread.
(+) European import demand may increase
</t>
  </si>
  <si>
    <t>6. FUEL OIL/DB</t>
  </si>
  <si>
    <t>FO 180 Cst /DB</t>
  </si>
  <si>
    <t>(-) High arbitrage from west
(+) Low spot price support demand of bunker</t>
  </si>
  <si>
    <t>(-) High arbitrage to Asia due to high refinery margin
'(+) Low crude price support demand</t>
  </si>
  <si>
    <t>7. DTD. Brent/DB</t>
  </si>
  <si>
    <t>Dated Brent/DB</t>
  </si>
  <si>
    <t>(-) Over supply of light sweet pressure Dated/Dubai</t>
  </si>
  <si>
    <t>Dubai</t>
  </si>
  <si>
    <t>Naphtha</t>
  </si>
  <si>
    <t>IK</t>
  </si>
  <si>
    <t>Gas Oil</t>
  </si>
  <si>
    <t>Fuel Oil</t>
  </si>
  <si>
    <t>Dtd Brent</t>
  </si>
  <si>
    <t>OIM Consensus</t>
  </si>
  <si>
    <t>Q1-15</t>
  </si>
  <si>
    <t xml:space="preserve">Dubai Outright </t>
  </si>
  <si>
    <t>Naphtha Crack</t>
  </si>
  <si>
    <t>95 Ron Crack</t>
  </si>
  <si>
    <t>IK Crack</t>
  </si>
  <si>
    <t>Gasoil Crack</t>
  </si>
  <si>
    <t>FO180cst Crack</t>
  </si>
  <si>
    <t>Dated Brent / Dubai</t>
  </si>
  <si>
    <t>@12 Oct 15</t>
  </si>
  <si>
    <t>Apr'16</t>
  </si>
  <si>
    <t>May'16</t>
  </si>
  <si>
    <t>Jun'16</t>
  </si>
  <si>
    <t>Jul'16</t>
  </si>
  <si>
    <t>Aug'16</t>
  </si>
  <si>
    <t>Sep'16</t>
  </si>
  <si>
    <t>Oct'16</t>
  </si>
  <si>
    <t>Oct'15 @ 21 Sep 15</t>
  </si>
  <si>
    <t>Oct'15 @ 28 Sep 15</t>
  </si>
  <si>
    <t>Oct'15 @ 12 Oct 15</t>
  </si>
  <si>
    <t>Consensus</t>
  </si>
  <si>
    <t>Avg</t>
  </si>
  <si>
    <t xml:space="preserve"> Regrade consensus</t>
  </si>
  <si>
    <t>Nov'16</t>
  </si>
  <si>
    <t>Dec'16</t>
  </si>
  <si>
    <t>Q1-16</t>
  </si>
  <si>
    <t>Q2-16</t>
  </si>
  <si>
    <t>Q3-16</t>
  </si>
  <si>
    <t>Q4-16</t>
  </si>
  <si>
    <t>Auh'16</t>
  </si>
  <si>
    <t>+ Steadily high demand during winter season.</t>
  </si>
  <si>
    <t xml:space="preserve">+ Improved demand during winter season 
- Heavy exports from China and the ME
</t>
  </si>
  <si>
    <t>Consen.</t>
  </si>
  <si>
    <t>Nov'15
@9 Nov 15</t>
  </si>
  <si>
    <t xml:space="preserve">- Softer demand during Winter
- New  RFCC startup in Indonesia
+ Australia and SEA driving season
+ Low oil prices to stimulate demand
</t>
  </si>
  <si>
    <t>- Higher arbitrage vol from the West
- Weaker US RBOB values
+ Robust demand in SEA and Australia
+ Travelling season at the beginning of the year</t>
  </si>
  <si>
    <t xml:space="preserve">+ Travelling and heating demand during winter season.
- Expectation of high Chinese exports amid high refinery run rates
- Mild weather in the US, EU and Japan
</t>
  </si>
  <si>
    <t>- Improved bunker and power demand
- Slower Japanese and Chinese demand</t>
  </si>
  <si>
    <t xml:space="preserve">+ Robust demand before China New Year
- Continued weak demand from China's teapot refineries
- Continual drop in Japanese demand
</t>
  </si>
  <si>
    <t>BP</t>
  </si>
  <si>
    <t xml:space="preserve">(-) OPEC keep high production level pressure non-OPEC supply.
(-) Stong USD pressure crude price.
(-) Iran increase export.
</t>
  </si>
  <si>
    <t xml:space="preserve">(-) Crude price still lower as Saudi keep high production level pressure non-conventional players.
(-) Iran sanction may lift within this year.
</t>
  </si>
  <si>
    <t>(+) Strong demand growth from emerging countries
(+) Low oil price support demand</t>
  </si>
  <si>
    <t xml:space="preserve"> [+] Decrease in US crude inventory as more than 90% US refinery run rate amid stalbe in crude production
[+] Restocking activities from refineries after year-end settlement
[-] High US crude invenotry (100 MB above last year) may pressure the market after export ban lifting
[-] High inventory of refined product stock would pressure refinery to lower utilization rate</t>
  </si>
  <si>
    <t>[-] Iran sanction lifting may push export volume early H1 2016
[-] Slowdown of West demand before end of winter
[-] Market would pressure from dollar again as FED next rate rise in March</t>
  </si>
  <si>
    <t>[+] Gasoline blending demand boosted by mild weather in West side
[+] Lower naphtha outright price drive cracker margin and demand</t>
  </si>
  <si>
    <t>[-] Fully return of supply from West &amp; Asia with expectation of more arbitrage</t>
  </si>
  <si>
    <t>[-] Fully return of refinery from Singapore, Malaysia &amp; Indonesia would cool down Asia gsoline crack spread
[+] Mild weather in West support driving demand</t>
  </si>
  <si>
    <t>[-] Grade change season would push in-stock volume to the market
[+] China new year holidays would push driving demand</t>
  </si>
  <si>
    <t>[-] Milder winter in North side cause lower heating demand
[+] Seasonal demand on travel season</t>
  </si>
  <si>
    <t>[+] Travel season &amp; China holiday would support Jet demand</t>
  </si>
  <si>
    <t xml:space="preserve">[-] Milder winter in North side cause lower heating demand
[-] Sinopec diesel export incentives push more diesel to the market
</t>
  </si>
  <si>
    <t>[+] Expect of delay winter would drive more demand in Q1'16, however, additional diesel from new capacities still cap gain</t>
  </si>
  <si>
    <t>[-] More arbitrage from West after fully return of refinery
 [+] Bunker demand before China New Year holidays</t>
  </si>
  <si>
    <t>[-] Slowdown in Asia bunker demand during China New Year holidays</t>
  </si>
  <si>
    <t>+ January Effect/Restocking
+ Winter demand lends some support despite being warmer than usual.</t>
  </si>
  <si>
    <t>+ An uptick in demand as forecasted gradually gains momentum.</t>
  </si>
  <si>
    <t>+ Strong petrochemical demand is able to absorb a record of west-to-east arbitrage volume.</t>
  </si>
  <si>
    <t>- Replacement by LPG feedstock due to warmer-than-expected weather.</t>
  </si>
  <si>
    <t>- Winter cools down travelling demand.</t>
  </si>
  <si>
    <t>- Off season.</t>
  </si>
  <si>
    <t>+ Despite a glut of supply, winter leads to some demand.</t>
  </si>
  <si>
    <t>- Steady inflow arbitrage to Asia (around 4.5-5 MMT).</t>
  </si>
  <si>
    <t>- Waning demand amidst constant arbitrage.</t>
  </si>
  <si>
    <t>(-) Huge supplies from China, India and Middle East.
(-) China increased export quota to 57.2 mb/year</t>
  </si>
  <si>
    <t>(-) High supply from ME
(-) Monsoon season and fishing ban in the region
(-) High stock in region
(-) High freight rate effect to arbitrage close
(-) China increased export quota to 65.5 mb/year</t>
  </si>
  <si>
    <t>- Abundant global crude stockpiles
- Iran's nuclear sanction lifted</t>
  </si>
  <si>
    <t xml:space="preserve">- The prospect of increased Iranian oil exports
- Strong USD
- Ample global crude stokpile
</t>
  </si>
  <si>
    <t>+ Healthy demand from Naphtha-fed steam crackers (High utilization rate)
+ Delayed arbitrage cargoes from the West due to bad weather</t>
  </si>
  <si>
    <t xml:space="preserve">- Higher arbitrage inflows from EU 
+ Continually robust demand from petrochemical plants in Asia
</t>
  </si>
  <si>
    <t>(+) High spred of mogas and naphtha support light crude</t>
  </si>
  <si>
    <t>- Iran Export Increase post sanction
'+ Strong refining margin leads to healthy asian crude buying
'+ Delay Winter demand
+ An uptick in demand as forecasted gradually gains momentum.</t>
  </si>
  <si>
    <t>- Strong dollar, possible fed rate hike
'- Continue Iran outflow post sanction 
'- Opec output is set to remain strong around 32.5 MMBD in Q1/2016</t>
  </si>
  <si>
    <t>+ tighter regional balance due to high frieght rate
'+ Healthy petchem margins with strong end user 
+ lowest western arb arrival
'- Replacement by LPG feedstock due to warmer-than-expected weather.</t>
  </si>
  <si>
    <t>+ Strong end user help tighten the regional balance
'+ Strong ethylene price supporting petchem margin
+spring refinery maintenance begins</t>
  </si>
  <si>
    <t xml:space="preserve">+  Peak seasonal demand in China and Japan           ( Chinese new year) 
+ Tightening Asian balance which keeps gasoline  crack elevated </t>
  </si>
  <si>
    <t>- Ramp up of prouction at India's Paradip as the refinery us slated to produce 90 KBD of gasoline at full utilization</t>
  </si>
  <si>
    <t>+ Colder than expected weather push Japan heating demand healthy
- Higher export from China (granted new export quota)</t>
  </si>
  <si>
    <t>- China export pressure crack ( expected quota to be around 770 KBD over Q1)
'- End of winter demand are likely to weigh in jet/kero crack</t>
  </si>
  <si>
    <t>- Chinese high export and new quotas
'- The chinese government recently boots gas oil and diesel  export quotas to 630 KBD over Q1
'- low western arb due to high frieght rate</t>
  </si>
  <si>
    <t>- Additional exports from china amid new increased quotas continue to weigh further</t>
  </si>
  <si>
    <t>- Waning demand amidst constant arbitrage.
'- downward pressure as normalization of normal arb return
'- low singapore inventory</t>
  </si>
  <si>
    <t>- High arb from the west</t>
  </si>
  <si>
    <t>- Relatively high offline capacity due to scheduled refinery maintenance in the U.S. and Russia.
- Steadily-high output from OPEC and Russia.
+ Rumours about co-operation between OPEC and Russia.
+ Fed is unlikely to raise the Fed funds rate in March meeting.</t>
  </si>
  <si>
    <t xml:space="preserve">- Refinery turnaround season in Asia and Europe begins in Apr’16.
+ Expected slowdown in U.S. shale oil production, corresponding to the consistently-low level of drilling rigs. Also, rig counts tend to keep dropping.
</t>
  </si>
  <si>
    <t>- LPG prices tends to drop further.
- Arbitrage from Europe is expected to increase.</t>
  </si>
  <si>
    <t>- Cracker turnaround season.
+ Refinery turnaround season in Asia and Europe begins in Apr’16.</t>
  </si>
  <si>
    <t>+ A support from RBOB during the U.S. turnarounds.</t>
  </si>
  <si>
    <t>+ Refinery turnaround season in Asia and Europe begins in Apr’16.
+ Stockpiling demand ahead of the U.S. driving season (30 May’16 - 5 Sep’16)
- High levels of China's export</t>
  </si>
  <si>
    <t xml:space="preserve">- High levels of China's export
</t>
  </si>
  <si>
    <t xml:space="preserve">+ Refinery turnaround season in Asia and Europe begins in Apr’16.
- Off-Season.
</t>
  </si>
  <si>
    <t xml:space="preserve">- Ultra high middle distillates stocks over the world.
- High levels of China's export
</t>
  </si>
  <si>
    <t xml:space="preserve">+ Refinery turnaround season in Asia and Europe begins in Apr’16.
+ stockpiling demand ahead of  Ramadan (7 Jun - 5 Jul’16).
</t>
  </si>
  <si>
    <t>- Low levels of crude prices.
+ Refinery turnarouond in Russia.</t>
  </si>
  <si>
    <t>- High levels of the West-to-East arbitrage.</t>
  </si>
  <si>
    <t>Feb'16
MTD (26Feb)</t>
  </si>
  <si>
    <t>+ Refinery Maintenance
- Heavy exports from India and China
- Seasonal soft in demand</t>
  </si>
  <si>
    <t>+ Refinery Maintenance
 - Steady exports from CHY and India</t>
  </si>
  <si>
    <t xml:space="preserve">+ Seasonal rise in demand (India, Indonesia and China)
 + Refinery Maintenance
- Heavy exports from China, ME and India amid high refinery runs
</t>
  </si>
  <si>
    <t>+ Refinery Maintenance
 - Steadily high exports from China and India
 - Paradip full run in Apr-16</t>
  </si>
  <si>
    <t>- Elevated fuel oil stocks in Singapore and ARA hubs
- High arbitrage volumes from the West [5.0 MT] and also from Iran
- Weak demand from Japan and China</t>
  </si>
  <si>
    <t xml:space="preserve">- Steadily high arbitrage from ME and the West
- Continued weak demand from China and Japan
</t>
  </si>
  <si>
    <t xml:space="preserve">(-) OPEC keep high production level pressure non-OPEC supply.
(-) Stong USD pressure crude price.
(-) Iran increase export.
(+) high cost production cut their rate
</t>
  </si>
  <si>
    <t xml:space="preserve">(-) OPEC keep high production level pressure non-OPEC supply.
(-) Stong USD pressure crude price.
(-) Iran increase export.
(-) Peak refinery maintenance
(+) high cost production cut their rate
</t>
  </si>
  <si>
    <t>(+) Higher LPG prices
(+) Strong gasoline demand spport gasoline and naphtha price
(+) MOPJ feed stock for PetChem may stable at high level
(+) Lower  Arbitrage inflows in March at 1.3 million tonnes, down 0.4 million tonnes from expected February arrivals.</t>
  </si>
  <si>
    <t xml:space="preserve">
(+) Strong gasoline demand spport gasoline and naphtha price
(+) MOPJ feed stock for PetChem may stable at high level
</t>
  </si>
  <si>
    <t xml:space="preserve">(+) Strong demand growth from emerging countries
(+) Low oil price support demand
(+) US gasoline balances should shorten sharply in March due to higher driving demand and refinery maintenance
</t>
  </si>
  <si>
    <t xml:space="preserve">(-) Huge supplies from China, India and Middle East.
</t>
  </si>
  <si>
    <t>(-) Huge supplies from China, India and Middle East.</t>
  </si>
  <si>
    <t>- LPG prices tends to drop further.
- Despite lower arbitrage in Mar (1.5-1.6 MMT), supply overhung from high arbitrage volume in Jan and Feb will pressure markets.
+Demand for summer gasoline blending</t>
  </si>
  <si>
    <t>- High levels of China's export
- Winter demand in Far East ends.</t>
  </si>
  <si>
    <t xml:space="preserve">(-)Technical issues at Chandra Asri’s 860,000 t/y cracker in Indonesia, with no exact timeline for its return to full capacity available
(+) Strong gasoline demand spport gasoline
(+) Healthy petchem margins and high outright prices for LPG
</t>
  </si>
  <si>
    <t xml:space="preserve">(+) Unplanned outage of Showa Shell’s 28,000 b/d FCC at its Yamaguchi Refinery
(+) Strong demand growth from emerging countries
(+) US gasoline balances should shorten sharply in March due to higher driving demand and refinery maintenance
</t>
  </si>
  <si>
    <t xml:space="preserve">(+) Consistently-high demand due to low-level prices 
(-) Refinery turnarounds season in Asia and Europe begins in Apr 
(+) Improving bullish sentiment that crude oil prices have passed the bottom </t>
  </si>
  <si>
    <t>(-) Lower crude demand during maintenance season amid inventory glut 
(+) Positive Sentiment from oil producer meeting &amp; shale oil production reduction ofrecast 
(+) Fund flow from money market to commodity market &amp; bullish bet of speculators</t>
  </si>
  <si>
    <r>
      <t>(</t>
    </r>
    <r>
      <rPr>
        <b/>
        <sz val="12"/>
        <color rgb="FF0070C0"/>
        <rFont val="Calibri"/>
        <family val="2"/>
      </rPr>
      <t>+)</t>
    </r>
    <r>
      <rPr>
        <sz val="1"/>
        <color rgb="FF0070C0"/>
        <rFont val="Calibri"/>
        <family val="2"/>
        <scheme val="minor"/>
      </rPr>
      <t>)</t>
    </r>
    <r>
      <rPr>
        <b/>
        <sz val="12"/>
        <color indexed="30"/>
        <rFont val="Calibri"/>
        <family val="2"/>
      </rPr>
      <t xml:space="preserve"> Restocking Demand after T/A 
(-) Iran production raming up &amp; export surge 
(-) OPEC meeting in June cause bearish sentiment </t>
    </r>
  </si>
  <si>
    <r>
      <rPr>
        <b/>
        <sz val="12"/>
        <color rgb="FF0070C0"/>
        <rFont val="Calibri"/>
        <family val="2"/>
      </rPr>
      <t>(+)</t>
    </r>
    <r>
      <rPr>
        <sz val="1"/>
        <color rgb="FF0070C0"/>
        <rFont val="Calibri"/>
        <family val="2"/>
        <scheme val="minor"/>
      </rPr>
      <t>)</t>
    </r>
    <r>
      <rPr>
        <b/>
        <sz val="12"/>
        <color indexed="30"/>
        <rFont val="Calibri"/>
        <family val="2"/>
      </rPr>
      <t xml:space="preserve"> Higher Naphtha demand from end of cracker maintenance season 
(-) Recover of refinery supply while West arbitrage still limit 
(+) Driving season support blending demand </t>
    </r>
  </si>
  <si>
    <t xml:space="preserve">(+) Refinery turnaround season in Asia and Europe begins in Apr 
(+) Demand: Stockpiling demand ahead of the U.S. driving season (30 May’16 - 5 Sep’16) </t>
  </si>
  <si>
    <t xml:space="preserve">(+) Refinery turnaround season in Asia and Europe begins in Apr
(-) North Asian countries is selling their stocks after winter 
(-) Demand: Heating demand in winter ends </t>
  </si>
  <si>
    <t xml:space="preserve">(+) OPEC and non-OPEC will meeting on 17 Apr16 on supply freeze plan.
(-) Stong USD pressure crude price.
(-) Iran increase export.
(+) high cost production cut their rate
</t>
  </si>
  <si>
    <t xml:space="preserve">(+) Strong gasoline demand spport gasoline and naphtha price
(+) MOPJ feed stock for PetChem may stable at high level
</t>
  </si>
  <si>
    <t xml:space="preserve">+ Weak USD
+ Declined U.S. oil production
- Uncertainty of oil producers' deal to freeze oil output at Jan'16 levels </t>
  </si>
  <si>
    <t>+/- Oil producers' meeting to stabilze the oil market on 17 Apr
+ Declined U.S. oil output
+ Fed unlikely to hike the rate</t>
  </si>
  <si>
    <t>- Naphtha-fed cracker MTA
- Cheaper LPG
+ Still-high ethylene margins</t>
  </si>
  <si>
    <t>+ Lower arbitrage inflows from the West (1.5 MT Apr vs. 1.8 MT in Mar)
+ Gasoline-blending demand
- Peak cracker MTA 
- Cheaper LPG</t>
  </si>
  <si>
    <t xml:space="preserve">+ Pre-stocking demand ahead of the driving season in Q2
+ Drawdown of U.S. gasoline stocks
</t>
  </si>
  <si>
    <t>+ Robust summer demand (U.S. Driving season)
+ AP Refinery MTA season</t>
  </si>
  <si>
    <t>+ Refinery Maintenance
 - Steady exports from CHY and India amid high run rates</t>
  </si>
  <si>
    <t xml:space="preserve">+ Refinery Maintenance
 - Steadily high exports from China  due to weak industrial demand
 </t>
  </si>
  <si>
    <t xml:space="preserve">+ Lower arbitrage inflows in April and May due to Russia refinery MTA and high freight rates
- Continued weak demand from China and Japan
</t>
  </si>
  <si>
    <t xml:space="preserve">(+) Consistently-high demand due to low-level prices 
(+) OPEC and Non OPEC meeting on production freeze in Doha
(+) Improving bullish sentiment that crude oil prices have passed the bottom
 (-) Refinery turnarounds season in Asia and Europe begins in Apr </t>
  </si>
  <si>
    <t>(-) Refinery Maintenance
(+) Strong refining margin as seasonal demand improves and increasing maintenance in Asia support the outright price
(+) US ans EU increase import requirement leads to tighter balance and stockdraw</t>
  </si>
  <si>
    <t>(+) cracker maintenance higher in 18 months with roughly 250 KBD offline</t>
  </si>
  <si>
    <t>(+) Refinery turnaround season in Asia and Europe begins in Apr 
(+) Demand: Stockpiling demand ahead of the U.S. driving season (30 May’16 - 5 Sep’16) 
(+) Weak crude run in EU due to maintenance while spring demand kicking in 
(+) major ME refinery closed leads to tighten in supplies
(+) US gasoline stock drawn fast / demand have risen strongly</t>
  </si>
  <si>
    <t>(-) high refinery run due to strong margin and prepare for summer demand/ driving season + Ramadan</t>
  </si>
  <si>
    <t xml:space="preserve">(+) Refinery turnaround season in Asia and Europe begins in Apr
(+) Asian inventory relatively low in early 2016
(-) North Asian countries is selling their stocks after winter 
(-) Demand: Heating demand in winter ends </t>
  </si>
  <si>
    <t>(-) Incremental volume to the market from chinese export</t>
  </si>
  <si>
    <t>(-) China incentive to export / export quota
(-) China industrial activity fell to five years low</t>
  </si>
  <si>
    <t>(-) limited gas oil growth in China and India
(-) low industrial activity</t>
  </si>
  <si>
    <t xml:space="preserve">(+) Strong gasoline demand support gasoline and naphtha price
(+) MOPJ feed stock for PetChem may stable at high level
</t>
  </si>
  <si>
    <t xml:space="preserve">(+) Concern on market re-balance.
(-) Iran increase export.
(+) high cost production cut their rate
</t>
  </si>
  <si>
    <t xml:space="preserve">(+) Strong gasoline demand spport gasoline
(+) Healthy petchem margins and high outright prices for LPG
</t>
  </si>
  <si>
    <t xml:space="preserve">(+) Unplanned outage of Showa Shell’s 28,000 b/d FCC at its Yamaguchi Refinery
(+) Strong demand growth from emerging countries
(+) US gasoline balances should shorten sharply due to higher driving demand and refinery maintenance
</t>
  </si>
  <si>
    <t>Apr'16
MTD 
22-04-16</t>
  </si>
  <si>
    <t xml:space="preserve">+ Weak USD
+ Declined U.S. oil production
-/+ Uncertainty of oil producers' deal to freeze oil output at Jan'16 levels </t>
  </si>
  <si>
    <t>+ Declined U.S. oil output
+ Fed unlikely to hike the rate
- Failure of OPEC freeze deal</t>
  </si>
  <si>
    <t xml:space="preserve">+ Attacks on oil infrastructure by the Niger Dalta Avengers (NDA)
'+ Lowest exploration and hydrocarbon discoveries in over 60 years 
'+ Civil War in Libya
'- Fed rate hike in June </t>
  </si>
  <si>
    <t>+ Stong Chinese gasoline demand / strong car sales
'+ support by govt tax break incentives of small engine car which continue push demand till the end of the year
'- demand will dip slightly during moonsoon in Q3</t>
  </si>
  <si>
    <t xml:space="preserve">+ gas oil/ diesel demand incentivised by a drought
+ Indian developemnt of state owned refiners importing gas oil instead of purchasing from private sector refiner </t>
  </si>
  <si>
    <t>- Weak indian and Chinese jet demand data in the recent months
'+ Improve arbritrage opportunity to NEW</t>
  </si>
  <si>
    <t xml:space="preserve">- Weakness is about to start as moonsoon season approach </t>
  </si>
  <si>
    <t>+ stong buker demand in singapore, along with increased seasonal demand for power generation keep FO balances tighten</t>
  </si>
  <si>
    <t xml:space="preserve">
(+) Strong gasoline demand spport gasoline
(+) Healthy petchem margins and high outright prices for LPG
</t>
  </si>
  <si>
    <t>Jun'16
as of 
24 Jun</t>
  </si>
  <si>
    <t xml:space="preserve">
(-) Arbitrage to Asia lower from normal but still high.
(+) Stable demand from Cracker
</t>
  </si>
  <si>
    <t xml:space="preserve">(-) Supply over demand in region, net export increase from China and Japan.
(-) new supply from Indonesia about 90 KBD. </t>
  </si>
  <si>
    <t>- Economic Sentiment Post Brexit 
'- Fed rate hike in June 
'- Attacks on oil infrastructure by the Niger Dalta Avengers (NDA) getting better (peak June)
'+ Lowest exploration and hydrocarbon discoveries in over 60 years 
'+ Civil War in Libya</t>
  </si>
  <si>
    <t>+ Stong Chinese gasoline demand / strong car sales
'+ support by govt tax break incentives of small engine car which continue push demand till the end of the year
'- demand will dip slightly during moonsoon in Q3
'- Indonesia demand ahead of Eid Celebration in July</t>
  </si>
  <si>
    <t xml:space="preserve">- Refineries back from maintenance
 '+ gas oil/ diesel demand incentivised by a drought
+ Indian developemnt of state owned refiners importing gas oil instead of purchasing from private sector refiner </t>
  </si>
  <si>
    <t>+ Seasonal tightness in Europe and North America present better arb opportunities</t>
  </si>
  <si>
    <t>(+) Low arbitrage from Russia due to weak refinery run</t>
  </si>
  <si>
    <t>(-) High supply of north sea crude pressure</t>
  </si>
  <si>
    <t xml:space="preserve">(-) Arbitrage to Asia lower from normal but still high.
(+) Stable demand from Cracker
</t>
  </si>
  <si>
    <t>Jul'16
MTD 22/07/16</t>
  </si>
  <si>
    <t xml:space="preserve">(+) OPEC and non-OPEC informal talk on 26-28 Sep16
(-) Oil market still over supply and high inventory
</t>
  </si>
  <si>
    <t xml:space="preserve">(+) Concern on market re-balance.
(-) Iran increase export.
(-) refinery peak maintenance
</t>
  </si>
  <si>
    <t xml:space="preserve">
(-) Weak gasoline also pressure naphtha price.
(+) Cracker resume operation and high ethylene/MOPJ spread</t>
  </si>
  <si>
    <t xml:space="preserve">
(+) Peak refinery maintenance may support price.
(+) Cracker resume operation and high ethylene/MOPJ spread
</t>
  </si>
  <si>
    <t>(-) Stable to soft as more supplies from China, India and Middle East.
(+) Winter may support demand</t>
  </si>
  <si>
    <t>(-) High supply of light sweet crude pressure</t>
  </si>
  <si>
    <t>Aug'16
MTD
26/08/16</t>
  </si>
  <si>
    <r>
      <t>Dubai</t>
    </r>
    <r>
      <rPr>
        <b/>
        <sz val="9"/>
        <color rgb="FF002060"/>
        <rFont val="Calibri"/>
        <family val="2"/>
      </rPr>
      <t xml:space="preserve"> (USD/BBL)</t>
    </r>
  </si>
  <si>
    <r>
      <t xml:space="preserve">Naphtha  </t>
    </r>
    <r>
      <rPr>
        <b/>
        <sz val="9"/>
        <color rgb="FF002060"/>
        <rFont val="Calibri"/>
        <family val="2"/>
      </rPr>
      <t>(USD/BBL)</t>
    </r>
  </si>
  <si>
    <r>
      <t xml:space="preserve">95  </t>
    </r>
    <r>
      <rPr>
        <b/>
        <sz val="9"/>
        <color rgb="FF002060"/>
        <rFont val="Calibri"/>
        <family val="2"/>
      </rPr>
      <t>(USD/BBL)</t>
    </r>
  </si>
  <si>
    <r>
      <t xml:space="preserve">IK  </t>
    </r>
    <r>
      <rPr>
        <b/>
        <sz val="9"/>
        <color rgb="FF002060"/>
        <rFont val="Calibri"/>
        <family val="2"/>
      </rPr>
      <t>(USD/BBL)</t>
    </r>
  </si>
  <si>
    <r>
      <t xml:space="preserve">Gas Oil  </t>
    </r>
    <r>
      <rPr>
        <b/>
        <sz val="9"/>
        <color rgb="FF002060"/>
        <rFont val="Calibri"/>
        <family val="2"/>
      </rPr>
      <t>(USD/BBL)</t>
    </r>
  </si>
  <si>
    <r>
      <t xml:space="preserve">Fuel Oil </t>
    </r>
    <r>
      <rPr>
        <b/>
        <sz val="9"/>
        <color rgb="FF002060"/>
        <rFont val="Calibri"/>
        <family val="2"/>
      </rPr>
      <t>(USD/MT)</t>
    </r>
  </si>
  <si>
    <r>
      <t xml:space="preserve">Dtd Brent  </t>
    </r>
    <r>
      <rPr>
        <b/>
        <sz val="9"/>
        <color rgb="FF002060"/>
        <rFont val="Calibri"/>
        <family val="2"/>
      </rPr>
      <t>(USD/BBL)</t>
    </r>
  </si>
  <si>
    <r>
      <t xml:space="preserve">OIM Consensus
</t>
    </r>
    <r>
      <rPr>
        <b/>
        <sz val="9"/>
        <color theme="0"/>
        <rFont val="Calibri"/>
        <family val="2"/>
      </rPr>
      <t>(USD/BBL)</t>
    </r>
  </si>
  <si>
    <t>Q2-15</t>
  </si>
  <si>
    <t>Q3-15</t>
  </si>
  <si>
    <t>Q4-15</t>
  </si>
  <si>
    <t>Spread to Dubai</t>
  </si>
  <si>
    <t>LPG CP</t>
  </si>
  <si>
    <t>LPG Cap Price @ $333/ton</t>
  </si>
  <si>
    <t>ปัจจัยสนับสนุนราคา (ปัจจัยบวก)</t>
  </si>
  <si>
    <t>ปัจจัยกดดันราคา (ปัจจัยลบ)</t>
  </si>
  <si>
    <t>LPG CP (USD/TON) (C3:C4 50:50)</t>
  </si>
  <si>
    <t>Rationales:</t>
  </si>
  <si>
    <t>Petroleum</t>
  </si>
  <si>
    <t>Dubai-PRISM (USD/BBL)</t>
  </si>
  <si>
    <t>Naphtha SG-PRISM (USD/BBL)</t>
  </si>
  <si>
    <t>Naphtha MOP J-PRISM (USD/TON)</t>
  </si>
  <si>
    <t>C3 (USD/TON)</t>
  </si>
  <si>
    <t>C4 (USD/TON)</t>
  </si>
  <si>
    <t xml:space="preserve">Naphtha-LPG Spread </t>
  </si>
  <si>
    <t>2018 Forecast</t>
  </si>
  <si>
    <t>Factors to watch:</t>
  </si>
  <si>
    <t>2019 Forecast</t>
  </si>
  <si>
    <t>All Projections from PRISM analysis as of 14 Jan. 2020</t>
  </si>
  <si>
    <t>- ปัญหมอกใน U.S. Gulf จะคลี่คลาย เรือกลับมาขนส่งได้ปกติทำให้มี Supply จาก U.S. เข้ามา</t>
  </si>
  <si>
    <t>- OPEC ลดกำลังการผลิตซึ่งคาดว่าจะกระทบ LPG ประมาณ 30%</t>
  </si>
  <si>
    <t>- ความต้องการ C3 ของ U.S. ยังคงสูงเนื่องจากสภาพอากาศหนาว</t>
  </si>
  <si>
    <t>คาดการณ์ราคา LPG CP เดือน ก.พ. 63 จะปรับตัวลดลงจากเดือน ม.ค. 63 โดยมีปัจจัยดังนี้</t>
  </si>
  <si>
    <t xml:space="preserve"> - ค่า Freight ที่ยังคงสูง และ ความกังวลเรื่องความขัดแย้ง U.S.-Iran</t>
  </si>
  <si>
    <t>- เป็น seasonal ของ LPG ที่ราคาจะปรับตัวลดลงในช่วง Q1</t>
  </si>
  <si>
    <t>- ความกังวลปัญหาความขัดแย้งระหว่าง U.S.-Iran ว่าอาจเกิดสงคราม อันจะนำไปสู่การปิดช่องแคบ Hormuz ซึ่งเป็นช่องทางการขนส่งที่สำคัญ ซึ่งภูมิภาคเอเชียจะได้รับผลกระทบมากที่สุด</t>
  </si>
  <si>
    <t>- ราคาน้ำมันมีแนวโน้มลดลงในช่วง Q1 และผลกระทบจากธุรกิจปิโตรเคมีที่เป็นขาลงจากภาวะเศรษฐกิจ</t>
  </si>
  <si>
    <t>All Projections from PRISM analysis as of 7 Feb. 2020</t>
  </si>
  <si>
    <t>- ความกังวลเรื่องไวรัสโคโรน่าว่าจะขยายตัวและส่งผลกระทบต่อจีนและประเทศอื่นๆ เป็นระยะเวลานานเท่าใด</t>
  </si>
  <si>
    <t>คาดการณ์ราคา LPG CP เดือน มี.ค. 63 จะปรับตัวลดลงจากเดือน ก.พ. 63 โดยมีปัจจัยดังนี้</t>
  </si>
  <si>
    <t>- การประชุม OPEC+ ที่จะมีขึ้นในวันที่ 14-15 กุมภาพันธ์ 2563 ว่าจะลดกำลังการผลิตน้ำมันดิบลงไปอีกหรือไม่</t>
  </si>
  <si>
    <t>- อากาศที่อบอุ่นขึ้นในเดือน พ.ค. และ มิ.ย. ทำให้ Demand จากญี่ปุ่นและเกาหลีลดลง</t>
  </si>
  <si>
    <t xml:space="preserve">- Demand จากอินเดีย อินโดนีเซีย และอัลจีเรียที่รัฐบาลสนับสนุน Autogas </t>
  </si>
  <si>
    <t xml:space="preserve"> - Demand C3 สำหรับโรงงาน PDH ในจีน ช่วงครึ่งปีแรก (แต่อาจถูกเลื่อนออกไปจากปัญหาไว้รัสโคโรน่า)</t>
  </si>
  <si>
    <t xml:space="preserve">- การระบาดของไวรัสโคโรน่าในประเทศจีน ทำให้ Demand ลดลงมาก </t>
  </si>
  <si>
    <t>คาดการณ์ราคา LPG CP เดือน เม.ย. 63 จะปรับตัวลดลงจากเดือน มี.ค. 63 โดยมีปัจจัยดังนี้</t>
  </si>
  <si>
    <t xml:space="preserve">- ธนาคารกลางสหรัฐฯ (Fed) ประกาศลดอัตราดอกเบี้ยลง 0.5% มาอยู่ที่ 1-1.25% เพื่อกระตุ้นเศรษฐกิจและเพื่อรับมือผลกระทบจากโรค COVID-19 </t>
  </si>
  <si>
    <t>- Demand C3 จากประเทศญี่ปุ่นเพิ่มขึ้น แม้ว่าสต็อกในประเทศยังอยู่ในระดับสูง เนื่องจากต้องการเพิ่มโอกาสจากราคา C3 ในตลาดขาจรที่ลดลงอย่างมาก</t>
  </si>
  <si>
    <t>- สต็อก C3 ในสหรัฐฯ สูงกว่าค่าเฉลี่ย 5 ปี</t>
  </si>
  <si>
    <t xml:space="preserve">- การระบาดของไวรัสโคโรน่าในประเทศจีนและเกาหลี ทำให้ Demand ลดลงมาก </t>
  </si>
  <si>
    <t>- ความต้องการ C3 เพื่อใช้เป็น Heating Fuel ในช่วงฤดูหนาวลดลงเนื่องจากหมดฤดูกาล</t>
  </si>
  <si>
    <t>- ผลจากความเห็นต่างในการลดกำลังผลิตน้ำมันดิบจากการประชุม OPEC+ เมื่อวันที่ 5-6 มี.ค. 63</t>
  </si>
  <si>
    <t>All Projections from PRISM analysis as of 11 Mar. 2020</t>
  </si>
  <si>
    <t>- ราคาน้ำมันดิบที่ลดลงอย่างมาก เนื่องจาก Saudi Aramco ประกาศเพิ่มกำลังการผลิตเป็น 13 MMBD เริ่มตั้งแต่เดือน เม.ย. เป็นต้นไป ภายหลังการเจรจาของกลุ่ม OPEC และพันธมิตรที่นำโดยรัสเซีย ประสบความล้มเหลวในการทำข้อตกลงปรับลดการผลิตน้ำมันเมื่อวันที่ 6 มี.ค. ที่ผ่านมา</t>
  </si>
  <si>
    <t>All Projections from PRISM analysis as of 30 Mar. 2020</t>
  </si>
  <si>
    <t>คาดการณ์ราคา LPG CP เดือน พ.ค. 63 จะปรับตัวลดลงจากเดือน เม.ย. 63 โดยมีปัจจัยดังนี้</t>
  </si>
  <si>
    <t>- จากมาตราการ Lockdown ในหลายประเทศ ทำให้ประชาชนอยู่บ้านมากขึ้น ส่งผลให้การใช้ LPG ในครัวเรือนเพิ่มขึ้น</t>
  </si>
  <si>
    <t>- รัฐบาลอินเดียมีมาตราการแจกก๊าซหุงต้มฟรีให้กับผู้มีรายได้น้อยในประเทศเพื่อบรรเทาผลกระทบจาก COVID-19 เป็นระยะเวลา 3 เดือน (เม.ย. - มิ.ย.) ส่งผลให้อินเดียมีความต้องการซื้อ LPG เพิ่มสูงขึ้นในช่วงสัปดาห์สุดท้ายของเดือน มี.ค. ทำให้ราคา LPG ในตลาดขาจรปรับตัวเพิ่มสูงขึ้น</t>
  </si>
  <si>
    <t>- ความต้องการใช้ LPG เพื่อเป็น Feedstock สำหรับปิโตรเคมีในประเทศจีนเริ่มมีสัญญาณฟื้นตัวเล็กน้อย</t>
  </si>
  <si>
    <t xml:space="preserve">- สงครามราคาน้ำมัน (Price War) ทำให้อุปทานล้นตลาด และราคาน้ำมันดิบลดลงอย่างมาก ส่งผลต่ออุปทานและราคา LPG เนื่องจากเป็น by Product </t>
  </si>
  <si>
    <t>- การระบาดของไวรัสโคโรน่าที่แพร่กระจายไปทั่วโลก ส่งผลกระทบต่อเศรษฐกิจ และความต้องการใช้น้ำมันและ LPG</t>
  </si>
  <si>
    <t>- สต็อก C3 ในสหรัฐฯ แม้ว่าจะเริ่มลดลงแต่ก็ยังคงสูงกว่าค่าเฉลี่ย 5 ปี</t>
  </si>
  <si>
    <t>- ความกังวลเรื่องสถานการณ์ไวรัสโคโรน่าที่จะกระทบต่อเศรษฐกิจทั่วโลก</t>
  </si>
  <si>
    <t>- การเจรจาลดกำลังการผลิตของสหรัฐฯ ซาอุดิอาระเบีย และรัสเซีย</t>
  </si>
  <si>
    <t>All Projections from PRISM analysis as of 14 Apr. 2020</t>
  </si>
  <si>
    <t>คาดการณ์ราคา LPG CP เดือน พ.ค. 63 จะปรับตัวเพิ่มขึ้นจากเดือน เม.ย. 63 โดยมีปัจจัยดังนี้</t>
  </si>
  <si>
    <t>- จากมาตราการ Lockdown ในหลายประเทศ ทำให้ประชาชนอยู่บ้านมากขึ้น ส่งผลให้การใช้ LPG ในครัวเรือนเพิ่มขึ้น ทำให้อินเดียและอินโดนีเซียนำเข้า LPG เพิ่มมากขึ้น</t>
  </si>
  <si>
    <t>- ความต้องการใช้ LPG เพื่อเป็น Feedstock สำหรับปิโตรเคมีในประเทศจีนมีมากขึ้น เนื่องจากมีความต้องการผลิต packing และอุปกรณ์ทางการแพทย์ ทำให้ราคา C3 ในตลาดขาจรปรับตัวสูงขึ้นอย่างรวดเร็ว ส่งผลให้ส่วนต่างราคา C4 และ C3 แคบลง</t>
  </si>
  <si>
    <t>- สต็อก C3 ในสหรัฐฯ แม้ว่าจะเริ่มลดลงแต่ก็ยังคงอยู่ที่ระดับสูง</t>
  </si>
  <si>
    <t>- การลดกำลังการผลิตของ OPEC+ ทำให้ LPG ที่เป็น by Product ลดลงไปด้วย</t>
  </si>
  <si>
    <t>- การระบาดของไวรัสโคโรน่าที่แพร่กระจายไปทั่วโลก ส่งผลกระทบต่อเศรษฐกิจ และความต้องการใช้น้ำมันและ LPG โดย IMF คาดว่าเศรษฐกิจทั่วโลกจะหดตัว 3% ในปี 2020</t>
  </si>
  <si>
    <t>- ความต้องการใช้ LPG สำหรับ Autogas ลดลง</t>
  </si>
  <si>
    <t>- รัฐบาลอินเดียมีมาตราการแจกก๊าซหุงต้มฟรีให้กับผู้มีรายได้น้อยในประเทศเพื่อบรรเทาผลกระทบจาก COVID-19 เป็นระยะเวลา 3 เดือน (เม.ย. - มิ.ย.) ส่งผลให้อินเดียมีความต้องการซื้อ LPG เพิ่มสูงขึ้น ทำให้ราคา LPG ในตลาดขาจรปรับตัวเพิ่มสูงขึ้น</t>
  </si>
  <si>
    <t xml:space="preserve">สำหรับเดือน มิ.ย. </t>
  </si>
  <si>
    <t>คาดว่าราคา LPG CP จะปรับตัวเพิ่มขึ้นจากเดือน พ.ค. เนื่องจากราคาน้ำมันดิบดูไบมีแนวโน้มเพิ่มขึ้น ในขณะที่สถานการณ์อุปสงค์และอุปทานยังคงเหมือนเดือน พ.ค.</t>
  </si>
  <si>
    <t>- ราคาน้ำมันดิบที่ปรับตัวลดลง</t>
  </si>
  <si>
    <t>All Projections from PRISM analysis as of 27 Apr. 2020</t>
  </si>
  <si>
    <t>คาดการณ์ราคา LPG CP เดือน มิ.ย. 63 จะปรับตัวลดลงจากเดือน พ.ค. 63 โดยมีปัจจัยดังนี้</t>
  </si>
  <si>
    <t>- ความต้องการใช้ LPG เพื่อเป็น Feedstock สำหรับปิโตรเคมีในประเทศจีนเริ่มฟื้นตัว</t>
  </si>
  <si>
    <t>- เข้าสู่ช่วง Cracker Mainternance ทำให้ความต้องการ C3 และ C4 ลดลง</t>
  </si>
  <si>
    <t>- ความต้องการใช้ LPG สำหรับ Autogas ยังคงลดลง</t>
  </si>
  <si>
    <t xml:space="preserve">สำหรับเดือน ก.ค. </t>
  </si>
  <si>
    <t>คาดว่าราคา LPG CP จะปรับตัวลดลงจากเดือน มิ.ย. เนื่องจากครบกำหนดที่รัฐบาลอินเดียมีมาตราการแจกก๊าซหุงต้มฟรีให้กับผู้มีรายได้น้อยในประเทศเพื่อบรรเทาผลกระทบจาก COVID-19 เป็นระยะเวลา 3 เดือน (เม.ย. - มิ.ย.)</t>
  </si>
  <si>
    <t>- การลดกำลังการผลิตของ OPEC+ ทำให้ LPG ที่เป็น by Product ลดลงไปด้วย กอร์ปกับการลดกำลังการกลั่นของโรงกลั่นฯ ทำให้ได้ LPG ลดลง</t>
  </si>
  <si>
    <t>อัพเดทวันที่ 5 พ.ค. 63</t>
  </si>
  <si>
    <t>อัพเดทวันที่ 20 พ.ค. 63</t>
  </si>
  <si>
    <t>- อุปสงค์ LPG ลดลงเนื่องจากความกังวลต่อสถานการณ์ COVID-19 และเศรษฐกิจที่ชะลอตัว</t>
  </si>
  <si>
    <t>- อุปสงค์จากประเทศอินเดียและอินโดนีเซียลดลงเนื่องจากนำเข้ามากเพียงพอต่อความต้องการในช่วงเดือน เม.ย.-พ.ค. แล้ว</t>
  </si>
  <si>
    <t>- ยังไม่มีอุปสงค์เพิ่มเติมจากประเทศเกาหลีและญี่ปุ่น เนื่องจากเข้าสู่ช่วงฤดูร้อน</t>
  </si>
  <si>
    <t xml:space="preserve">สำหรับเดือน ส.ค. </t>
  </si>
  <si>
    <t>คาดว่าราคา LPG CP จะปรับตัวลดลงจากเดือน มิ.ย. เนื่องจากอุปสงค์ลดลงเพราะครบกำหนดที่รัฐบาลอินเดียมีมาตราการแจกก๊าซหุงต้มฟรีให้กับผู้มีรายได้น้อยในประเทศเพื่อบรรเทาผลกระทบจาก COVID-19 เป็นระยะเวลา 3 เดือน (เม.ย. - มิ.ย.)</t>
  </si>
  <si>
    <t>คาดว่าราคา LPG จะปรับตัวสูงขึ้นจากเดือน ก.ค. เนื่องจากเข้าสู่ช่วง Driving Season ทำให้อุปทาน C4 เพื่อใช้สำหรับ Gasoline Blending เพิ่มขึ้น</t>
  </si>
  <si>
    <t>All Projections from PRISM analysis as of 13 May 2020</t>
  </si>
  <si>
    <t>- สต็อก C3 ในสหรัฐฯ ยังคงอยู่ที่ระดับสูง</t>
  </si>
  <si>
    <t>- การลดกำลังการผลิตน้ำมันของกลุ่ม OPEC+</t>
  </si>
  <si>
    <t>- ความกังวลเรื่องสถานการณ์ COVID-19 ที่กระทบต่อเศรษฐกิจทั่วโลก</t>
  </si>
  <si>
    <t>อัพเดทวันที่ 27 พ.ค. 63</t>
  </si>
  <si>
    <t>All Projections from PRISM analysis as of 25 May 2020</t>
  </si>
  <si>
    <t>อัพเดทวันที่ 11 มิ.ย. 63</t>
  </si>
  <si>
    <t>All Projections from PRISM analysis as of 8 June 2020</t>
  </si>
  <si>
    <t>คาดการณ์ราคา LPG CP เดือน ก.ค. 63 จะปรับตัวลดลงจากเดือน มิ.ย. 63 โดยมีปัจจัยดังนี้</t>
  </si>
  <si>
    <t xml:space="preserve">- การลดกำลังการผลิตของ OPEC+ ทำให้ LPG ที่เป็น by Product ลดลงไปด้วย </t>
  </si>
  <si>
    <t>- อุปสงค์ LPG ในอินเดียเริ่มกลับมาเนื่องจากต้องการเก็บ
สต๊อกเพราะเข้าสู่ช่วงฤดูมรสุม</t>
  </si>
  <si>
    <t xml:space="preserve">สำหรับเดือน ก.ย. </t>
  </si>
  <si>
    <t>- มาตราการคลายล็อกสงครามการค้าระหว่างสหรัฐฯและจีน</t>
  </si>
  <si>
    <t xml:space="preserve">- จีนเริ่มมีการนำเข้า LPG จากสหรัฐฯ เนื่องจากจีนคลายล็อกสงครามการค้า และประกาศยกเว้นภาษีนำเข้าสินค้าบางรายการจากสหรัฐฯ ซึ่งรวมถึง LPG ด้วย ทำให้กดดันราคา LPG CP </t>
  </si>
  <si>
    <t>คาดว่าราคา C3 CP จะปรับตัวลดลง เนื่องจากคาดว่า Supply จะเพิ่มขึ้นจากการลดกำลังการผลิตของ OPEC+ ที่น้อยกว่าเดือน ก.ค.  ในขณะที่ C4 CP จะปรับตัวเพิ่มขึ้น เนื่องจากเข้าสู่ช่วง Driving Season ทำให้อุปทาน C4 เพื่อใช้สำหรับ Gasoline Blending เพิ่มขึ้น</t>
  </si>
  <si>
    <t xml:space="preserve">คาดว่าราคา LPG CP จะปรับตัวสูงขึ้นจากเดือน ส.ค. เนื่องจากคาดว่าอุปสงค์เริ่มฟื้นตัวจากช่วง COVID-19 </t>
  </si>
  <si>
    <t>อัพเดทวันที่ 24 มิ.ย. 63</t>
  </si>
  <si>
    <t>All Projections from PRISM analysis as of 22 June 2020</t>
  </si>
  <si>
    <t>- ราคาน้ำมันดิบที่เริ่มปรับตัวสูงขึ้น</t>
  </si>
  <si>
    <t>- อุปสงค์ LPG ของอินเดียลดลงเนื่องจากได้นำเข้ามาเยอะแล้วก่อนหน้านี้ และคาดว่าความต้องการซื้อจะกลับมาอีกครั้งช่วงเดือนกันยายน</t>
  </si>
  <si>
    <t>- อุปสงค์ LPG ของญี่ปุ่นและเกาหลีลดลงเนื่องจากเข้าสู่ช่วงฤดูร้อน และ Stock ยังอยู่ในระดับสูง</t>
  </si>
  <si>
    <t xml:space="preserve">- อุปสงค์ LPG ของจีนลดลงเนื่องจากความกังวลต่อสถานการณ์ COVID-19 รอบ 2 และเศรษฐกิจที่ชะลอตัว </t>
  </si>
  <si>
    <t xml:space="preserve">- ราคา LPG เริ่มกลับมา Compettitive สำหรับใช้เป็น Feedstock ในการผลิตปิโตรเคมี </t>
  </si>
  <si>
    <t xml:space="preserve">คาดว่าราคา C3 CP จะปรับตัวลดลง เนื่องจากคาดว่า Supply จะเพิ่มขึ้นจากการลดกำลังการผลิตของ OPEC+ ที่น้อยกว่าเดือน ก.ค. </t>
  </si>
  <si>
    <t>คาดว่าราคา LPG CP จะปรับตัวสูงขึ้นจากเดือน ส.ค. เนื่องจากคาดว่าอินเดียจะเริ่มกลับมานำเข้า LPG เพิ่มขึ้น</t>
  </si>
  <si>
    <t>อัพเดทวันที่ 16 ก.ค. 63</t>
  </si>
  <si>
    <t>All Projections from PRISM analysis as of 13 July 2020</t>
  </si>
  <si>
    <t>คาดการณ์ราคา LPG CP เดือน ส.ค. 63 จะปรับตัวเพิ่มจากเดือน ก.ค. 63 เล็กน้อย โดยมีปัจจัยดังนี้</t>
  </si>
  <si>
    <t xml:space="preserve">- ความต้องการใช้ LPG เพื่อเป็น Feedstock เพิ่มขึ้น เนื่องจาก ราคา LPG เริ่มกลับมา Compettitive </t>
  </si>
  <si>
    <t>- Spread ระหว่าง C3 และ C4 แคบลง เนื่องจากความต้องการใช้ C4 สำหรับปิโตรเคมีเพิ่มขึ้น</t>
  </si>
  <si>
    <t xml:space="preserve">- ความกังวลต่อสถานการณ์ COVID-19 รอบ 2 และเศรษฐกิจที่ชะลอตัว </t>
  </si>
  <si>
    <t>- ญี่ปุ่นและจีนหันไปนำเข้า C3 จากสหรัฐฯมากขึ้น เนื่องจากราคาถูกกว่า ทำให้กดดันราคา C3-CP</t>
  </si>
  <si>
    <t>อัพเดทวันที่ 24 ก.ค. 63</t>
  </si>
  <si>
    <t>All Projections from PRISM analysis as of 23 July 2020</t>
  </si>
  <si>
    <t>อัพเดทวันที่ 14 ส.ค. 63</t>
  </si>
  <si>
    <t>All Projections from PRISM analysis as of 11 August 2020</t>
  </si>
  <si>
    <t>คาดการณ์ราคา LPG CP เดือน ก.ย. 63 จะปรับตัวเพิ่มจากเดือน ส.ค. 63 เล็กน้อย โดยมีปัจจัยดังนี้</t>
  </si>
  <si>
    <t>- คาดการณ์ความต้องการ LPG ช่วงฤดูหนาวจะเริ่มกลับมา</t>
  </si>
  <si>
    <t>- ราคาน้ำมันดิบที่ค่อยๆปรับตัวสูงขึ้น</t>
  </si>
  <si>
    <t xml:space="preserve">- อุปทาน LPG ในตลาดยังคงมีเพียงพอต่อความต้องการ </t>
  </si>
  <si>
    <t>- ความต้องการใช้ LPG เพื่อเป็น Feedstock เริ่มกลับมาหลังสิ้นสุดช่วง Cracker Turnaround</t>
  </si>
  <si>
    <t>- ยังไม่มีอุปสงค์ LPG เพิ่มเติมจากอินเดีย</t>
  </si>
  <si>
    <t>อัพเดทวันที่ 25 ส.ค. 63</t>
  </si>
  <si>
    <t>- คาดการณ์ความต้องการ LPG ช่วงฤดูหนาวจะเริ่มกลับมาช่วง Q4</t>
  </si>
  <si>
    <t>- ความต้องการ LPG เพื่อเป็น Feedstock เริ่มกลับมาหลังสิ้นสุดช่วง Cracker Turnaround กอร์ปกับมีโรงปิโตรเคมีแห่งใหม่ในประเทศจีน</t>
  </si>
  <si>
    <t>- สต็อก C3 ในสหรัฐฯ อยู่ที่ระดับสูง</t>
  </si>
  <si>
    <t>อัพเดทวันที่ 17 ก.ย. 63</t>
  </si>
  <si>
    <t>All Projections from PRISM analysis as of 14 August 2020</t>
  </si>
  <si>
    <t>คาดการณ์ราคา LPG CP เดือน ต.ค. 63 จะปรับตัวเพิ่มจากเดือน ก.ย. 63 โดยมีปัจจัยดังนี้</t>
  </si>
  <si>
    <t>- ความต้องการ C3 เพื่อเป็น Feedstock สำหรับโรงปิโตรเคมีแห่งใหม่ในประเทศจีนเริ่มกลับมา</t>
  </si>
  <si>
    <t>- ความต้องการซื้อ LPG จากอินเดียเริ่มกลับมาเนื่องจากใกล้ถึงเทศกาล Diwali</t>
  </si>
  <si>
    <t>- ราคาน้ำมันดิบดูไบอ่อนค่าลงในช่วงต้นเดือน ก.ย. ที่ผ่านมา เนื่องจากอุปสงค์มีจำกัด และอุปทานยังคงเพียงพอต่อความต้องการ</t>
  </si>
  <si>
    <t>อัพเดทวันที่ 29 ก.ย. 63</t>
  </si>
  <si>
    <t>All Projections from PRISM analysis as of 28 September 2020</t>
  </si>
  <si>
    <t>- ความต้องการ C4 เพื่อใช้ทำ Gasoline Blending สำหรับ Winter Grade Gasoline เริ่มกลับมา</t>
  </si>
  <si>
    <t>อัพเดทวันที่ 15 ต.ค. 63</t>
  </si>
  <si>
    <t>All Projections from PRISM analysis as of 12 October 2020</t>
  </si>
  <si>
    <t>คาดการณ์ราคา LPG CP เดือน พ.ย. 63 จะปรับตัวเพิ่มจากเดือน ต.ค. 63 โดยมีปัจจัยดังนี้</t>
  </si>
  <si>
    <t>- ความต้องการ LPG ช่วงฤดูหนาวในประเทศจีน ญี่ปุ่นเริ่มกลับมา เนื่องจากปีนี้จะหนาวกว่าปกติจากปรากฏการณ์ลานินญ่า</t>
  </si>
  <si>
    <t>- ผลจากเฮอริเคนเดลต้าทำให้เรือขนส่ง LPG จากสหรัฐฯมาเอเชียในเดือนตุลาคมล่าช้า เป็นปัจจัยสนับสนุนราคา LPG ในฝั่งเอเชีย</t>
  </si>
  <si>
    <t>- ความต้องการซื้อ LPG จากประเทศอินเดียเพิ่มขึ้นเนื่องจากใกล้ถึงเทศกาล Diwali</t>
  </si>
  <si>
    <t>- ความผันผวนของราคาน้ำมันดิบ</t>
  </si>
  <si>
    <t>อัพเดทวันที่ 27 ต.ค. 63</t>
  </si>
  <si>
    <t>All Projections from PRISM analysis as of 27 October 2020</t>
  </si>
  <si>
    <t>- ความต้องการ C4 ใน U.S. เพิ่มขึ้น เพื่อใช้ทำ Gasoline Blending ในช่วงฤดูหนาว ทำให้ไม่มี Arbitrage มาฝั่งเอเชีย กอร์ปกับผลจากการลดกำลังการผลิตของกลุ่ม OPEC ทำให้ C4 ที่เป็น By Product ลดลงไปด้วย และมีความต้องการซื้อ LPG จากประเทศอินเดียเพิ่มขึ้นเนื่องจากใกล้ถึงเทศกาล Diwali จึงเป็นปัจจัยสนับสนุนราคา C4 ให้ปรับตัวสูงขึ้น และสูงกว่าราคา C3</t>
  </si>
  <si>
    <t>All Projections from PRISM analysis as of 9 November 2020</t>
  </si>
  <si>
    <t>อัพเดทวันที่ 12 พ.ย. 63</t>
  </si>
  <si>
    <t>คาดการณ์ราคา LPG CP เดือน ธ.ค. 63 จะปรับตัวเพิ่มจากเดือน พ.ย. 63 โดยมีปัจจัยดังนี้</t>
  </si>
  <si>
    <t>- ความต้องการ LPG เพื่อใช้เป็น Heating Fuel ช่วงฤดูหนาวในสหรัฐฯ และ North Asia เริ่มกลับมา ซึ่งคาดว่าปีนี้จะหนาวกว่าปกติจากปรากฏการณ์ลานินญ่า</t>
  </si>
  <si>
    <t xml:space="preserve">- คาดว่าราคาน้ำมันดิบเดือน ธ.ค. จะปรับตัวสูงขึ้น เป็นปัจจัยสนับสนุนราคา LPG </t>
  </si>
  <si>
    <t>All Projections from PRISM analysis as of 23 November 2020</t>
  </si>
  <si>
    <t>อัพเดทวันที่ 30 พ.ย. 63</t>
  </si>
  <si>
    <t>อัพเดทวันที่ 18 ธ.ค. 63</t>
  </si>
  <si>
    <t>All Projections from PRISM analysis as of 15 December 2020</t>
  </si>
  <si>
    <t>คาดการณ์ราคา LPG CP เดือน ม.ค. 63 จะปรับตัวเพิ่มจากเดือน ธ.ค. 63 โดยมีปัจจัยดังนี้</t>
  </si>
  <si>
    <t xml:space="preserve">- ราคาน้ำมันดิบที่ปรับตัวสูงขึ้น เป็นปัจจัยสนับสนุนราคา LPG </t>
  </si>
  <si>
    <t>- การอนุมัติให้ฉีดวัคซีน COVID-19 ในประเทศอังกฤษและสหรัฐฯ ส่งผลให้นักลงทุนมีมุมมองเชิงบวกต่อเศรษฐกิจ</t>
  </si>
  <si>
    <t>อัพเดทวันที่ 15 ม.ค. 64</t>
  </si>
  <si>
    <t>All Projections from PRISM analysis as of 12 Jan.2021</t>
  </si>
  <si>
    <t>คาดการณ์ราคา LPG CP เดือน ก.พ. 64 จะปรับตัวเพิ่มจากเดือน ม.ค. 64 โดยมีปัจจัยดังนี้</t>
  </si>
  <si>
    <t>- ความต้องการ C3เพื่อใช้เป็น Heating Fuel ช่วงฤดูหนาวโดยเฉพาะในญี่ปุ่น เกาหลีใต้ และจีน</t>
  </si>
  <si>
    <t>-ปัญหาความหนาแน่นที่ช่องแคบปานามา ทำให้ cargo ที่มาจากสหรัฐอเมริกาล่าช้า</t>
  </si>
  <si>
    <t>- ซาอุดิอาระเบียลดกำลังการผลิตน้ำมันดิบอีก 1 MMBD ในเดือนกุมภาพันธ์ถึงมีนาคม</t>
  </si>
  <si>
    <t>- ราคา LPG ที่สูงขึ้นจะทำให้ petrochemical เปลี่ยนไปใช้ Feedstock อื่น</t>
  </si>
  <si>
    <t>- นโยบายต่างประเทศระหว่างสหรัฐอเมริกากับอิหร่าน เมื่อ Joe Biden รับตำแหน่ง</t>
  </si>
  <si>
    <t xml:space="preserve"> -Platts คาดการณ์ว่า Supply C3 ของ North America จะลดลงกว่า 18% ในเดือนกรกฎาคม เมือ่เทียบกับปี 2020</t>
  </si>
  <si>
    <t>อัพเดทวันที่ 25 ธ.ค. 63</t>
  </si>
  <si>
    <t xml:space="preserve">- ราคาน้ำมันดิบที่ปรับตัวสูงขึ้น และการลดกำลังการผลิตของกลุ่ม OPEC+ เป็นปัจจัยสนับสนุนราคา LPG </t>
  </si>
  <si>
    <t>- อุปสงค์ Gasoline ในฝั่งยุโรปลดลงเนื่องจากการ Lockdown ส่งผลให้ความต้องการ C4 เพื่อใช้เป็น Gasoline Blending ในช่วงฤดูหนาวลดลง</t>
  </si>
  <si>
    <t>- ความต้องการ C3 เพื่อเป็น Feedstock สำหรับโรงปิโตรเคมีแห่งใหม่ในประเทศจีนยังคงมีอย่างต่อเนื่อง</t>
  </si>
  <si>
    <t>All Projections from PRISM analysis as of 25 Jan.2021</t>
  </si>
  <si>
    <t>- ภาวะหมอกที่อาจจะกลับมาอีกครั้งและจะกระทบการขนส่ง</t>
  </si>
  <si>
    <t xml:space="preserve">- Supply จาก U.S. </t>
  </si>
  <si>
    <t>- สถานการณ์ COVID-19 ที่กระทบต่อเศรษฐกิจทั่วโลก</t>
  </si>
  <si>
    <t xml:space="preserve">- OPEC+ ยังคงลดกำลังการผลิตได้ตามที่ตกลง ทำให้ราคาน้ำมันดิบปัจจุบันยังอยู่ในระดับที่สูง </t>
  </si>
  <si>
    <t>- Supply ที่ตึงตัวจากการที่ซาอุดิอาระเบียลดกำลังการผลิต ทำให้ ferm cargo ถูกยกเลิกไปจำนวนหนึ่ง</t>
  </si>
  <si>
    <t>-Stock ของ U.S. เริ่มลดลง</t>
  </si>
  <si>
    <t>- สภาพอากาศหนาวในหลายประเทศเริ่มดีขึ้นทำให้ Demand สำหรับ heating ลดลง</t>
  </si>
  <si>
    <t>- ยังไม่มี Demand  ปริมาณมากในช่วงเดือนนี้ โดยเฉพาะจาก จีน และ อินเดีย (ตรุษจีน เดือน ก.พ. และ รอมฎอน เดือน เม.ย. กิจกรรมทางเศรษฐกิจจะชะลอตัว)</t>
  </si>
  <si>
    <t>อัพเดทวันที่ 27 Jan. 21</t>
  </si>
  <si>
    <t>อัพเดทวันที่ 11 Feb. 21</t>
  </si>
  <si>
    <t>All Projections from PRISM analysis as of 8 Feb.2021</t>
  </si>
  <si>
    <t>คาดการณ์ราคา LPG CP เดือน มี.ค. 64 จะปรับตัวลดจากเดือน ก.พ. 64 โดยมีปัจจัยดังนี้</t>
  </si>
  <si>
    <t>- Stock C3 ของสหรัฐฯ ลดลง ในช่วง Q1 เนื่องจากภาวะ Polar Vartex</t>
  </si>
  <si>
    <t>- อากาศเริ่มอบอุ่นขึ้น สิ้นสุดฤดูหนาว ทำให้ Demand C3 ลดลง</t>
  </si>
  <si>
    <t>- ความต้องการ C3 สำหรับโรงปิโตรเคมิคอล (PDH) โดยเฉพาะในจีน</t>
  </si>
  <si>
    <t>-ความต้องการ LPG ลดลงในช่วงเทศกาลตรุษจีนของจีนและเทศกาลรอมฎอนของอินเดียในเดือนเมษายน</t>
  </si>
  <si>
    <t>- ราคาน้ามันดิบยังอยู่ในระดับสูง เนื่องจาก OPEC+ ลดกำลังการผลิต และซาอุฯ ลดกำลังการผลิตเพิ่ม</t>
  </si>
  <si>
    <t>All Projections from PRISM analysis as of 22 Feb.2021</t>
  </si>
  <si>
    <t>อัพเดทวันที่ 24 Feb. 21</t>
  </si>
  <si>
    <t>คาดการณ์ราคา LPG CP เดือน มี.ค. 64 จะปรับตัวลดจากเดือน ก.พ. 64 เพียงเล็กน้อย โดยมีปัจจัยดังนี้</t>
  </si>
  <si>
    <t>- Stock C3 ของสหรัฐฯ ลดลง ในช่วง Q1 เนื่องจากภาวะ Polar Vartex และด้วยสภาพอากาศทำให้ Cargo จาก U.S. ล่าช้าออกไป</t>
  </si>
  <si>
    <t>- สภาพเศรษฐกิจที่ยังไม่ฟื้นตัว และการ lock down ในหลายประเทศ</t>
  </si>
  <si>
    <t>- Demand จากจีน หลังวันตรุษจีน เพื่อใช้ในโรง PDH
- Demand จากอินเดีย เพื่อ build stock ช่วงเดือน มี.ค.-เม.ย.</t>
  </si>
  <si>
    <t>- อินเดียจะลดการ Sudsidy LPG บางส่วน ในเดือนเมษายน</t>
  </si>
  <si>
    <t>- ราคาน้ามันดิบยังอยู่ในระดับสูง 
- ซาอุฯ ลดกำลังการผลิต ส่งผลให้ต้องเลื่อนหรือยกเลิกลูกค้า term LPG ในช่วงเดือนมีนาคมประมาณ 4-5 เที่ยว</t>
  </si>
  <si>
    <t>- OPEC+ จะยังคงลดกำลังการผลิตต่อในเดือนเมษายนหรือไม่</t>
  </si>
  <si>
    <t>อัพเดทวันที่ 17 Mar. 21</t>
  </si>
  <si>
    <t>All Projections from PRISM analysis as of 15 Mar.2021</t>
  </si>
  <si>
    <t>คาดการณ์ราคา LPG CP เดือน เมษายน 64 จะปรับตัวลดจากเดือน มีนาคม 64  โดยมีปัจจัยดังนี้</t>
  </si>
  <si>
    <t>- ราคาน้ามันดิบยังอยู่ในระดับสูง 
- OPEC+ และ ซาอุฯ ยังคงลดกำลังการผลิต</t>
  </si>
  <si>
    <t>- สภาพอากาศหนาวเย็นใน North Asia ได้ผ่านไปแล้ว ทำให้ Demand C3 ลดลง</t>
  </si>
  <si>
    <t>- ราคาน้ำมันดิบจะอยู่ในระดับสูงต่อไปอีกนานแค่ไหน</t>
  </si>
  <si>
    <t>- Demand C3 จาก Petrochemical (PDH) จากจีนที่จะเริ่มกลับมาผลิตใน Q2</t>
  </si>
  <si>
    <t xml:space="preserve"> - North Asian หันมาใช้ LPG ที่ราคาต่ำกว่า  เป็น Feedstock แทน Naphtha ที่มีราที่มีราคาสูงในช่วงนี้</t>
  </si>
  <si>
    <t>- รัฐบาลอินเดียต่อมาตรการ Subsidize ราคา LPG แก่ผู้มีรายได้น้อยในประเทศต่ออีก 10 ล้านครัวเรือน</t>
  </si>
  <si>
    <t xml:space="preserve"> - Demand C4 จากอินโดนีเซียและอินเดีย ยังไม่กลับมาเนื่องจากกิจกรรมทางเศรษฐกิจจาก COVID-19 </t>
  </si>
  <si>
    <t>All Projections from PRISM analysis as of 29 Mar.2021</t>
  </si>
  <si>
    <t xml:space="preserve"> - Demand Spot C4 อินเดีย ยังคงมีไม่มาก เนื่องจากทำ Term import </t>
  </si>
  <si>
    <t xml:space="preserve">- เริ่มมี Supply จากทาง ME และ U.S. production  ที่เริ่มกลับเข้ามาหลังจากผ่านช่วง winter ไป </t>
  </si>
  <si>
    <t xml:space="preserve"> - North Asian หันมาใช้ LPG ที่ราคาต่ำกว่า เป็น Feedstock แทน Naphtha ที่มีราที่มีราคาสูงในช่วงนี้</t>
  </si>
  <si>
    <t xml:space="preserve">- ราคาน้ำมันดิบยังคงอยู่ในระดับสูง และ OPEC จะยังคงลดกำลังการการผลิดต่อหรือไม่ </t>
  </si>
  <si>
    <t>อัพเดทวันที่ 30 Mar. 21 (เวลา 9:30 น.)</t>
  </si>
  <si>
    <t>All Projections from PRISM analysis as of 20 April 2021</t>
  </si>
  <si>
    <t>คาดการณ์ราคา LPG CP เดือน พฤษภาคม  จะปรับตัวลดจากเดือน เมษายน  โดยมีปัจจัยดังนี้</t>
  </si>
  <si>
    <t>- Demand C3 จาก Petrochemical (PDH) จากจีนที่จะเริ่มกลับมาผลิตใน Q2-Q3</t>
  </si>
  <si>
    <t xml:space="preserve"> - อุณหภูมิเริ่มสูงขึ้นทำให้ spot over demand ค่อนข้างมาก</t>
  </si>
  <si>
    <t xml:space="preserve"> -  LPG ราคาต่ำกว่า Naphtha ทำให้เกิดการ switch feedstock </t>
  </si>
  <si>
    <t>- OPEC+ และ ซาอุฯ ยังคงลดกำลังการผลิต  (May-July) เพื่อ balance ตลาด ทำให้ราคาน้ำมันยังอยู่ในระดับสูง</t>
  </si>
  <si>
    <t>- COVID-19 ยังระบาดในหลายประเทศ โดยเฉพาะอินเดีย และอินโดนีเซีย ทำให้ demand spot จากอินเดียลดลง</t>
  </si>
  <si>
    <t>- การสัญจรที่คลองปานามากลับมา flow อีกครั้ง ทำให้เริ่มมี Supply จาก ME และ U.S. เข้ามากดดันตลาด</t>
  </si>
  <si>
    <t>อัพเดทวันที่ 22 April 2021</t>
  </si>
  <si>
    <t>อัพเดทวันที่ 13 May 2021</t>
  </si>
  <si>
    <t>All Projections from PRISM analysis as of 11 May 2021</t>
  </si>
  <si>
    <t>คาดการณ์ราคา LPG CP เดือน มิถุนายน  จะทรงตัวจากเดือน พฤษภาคม  โดยมีปัจจัยดังนี้</t>
  </si>
  <si>
    <t xml:space="preserve"> - Demand C4 เพิ่มขึ้น สำหรับ gasoline blending เตรียมเข้าสู่ Driving season ในช่วง Sep.-Oct. </t>
  </si>
  <si>
    <t xml:space="preserve">- Supply จากคูเวต กาตาร์ และ spot จาก ME เพื่อชดเชย term export จากซาอุฯ </t>
  </si>
  <si>
    <t>- การยกเลิกการคว่ำบาตรอิหร่านของสหรัฐฯ อาจจะทำให้มี Supply ของอิหร่าน กลับสู่ตลาดในช่วง Q3-Q4</t>
  </si>
  <si>
    <t xml:space="preserve">- Demand ที่ลดลงในเอเชีย เนื่องมาจากCOVID-19 ยังระบาด โดยเฉพาะอินเดีย อินโดนีเซีย และฟิลิปปินส์ </t>
  </si>
  <si>
    <r>
      <t>LPG CP</t>
    </r>
    <r>
      <rPr>
        <sz val="11"/>
        <color rgb="FFFF0000"/>
        <rFont val="Tahoma"/>
        <family val="2"/>
      </rPr>
      <t xml:space="preserve"> </t>
    </r>
  </si>
  <si>
    <r>
      <t>C3 CP</t>
    </r>
    <r>
      <rPr>
        <sz val="11"/>
        <color rgb="FFFF0000"/>
        <rFont val="Tahoma"/>
        <family val="2"/>
      </rPr>
      <t xml:space="preserve"> </t>
    </r>
  </si>
  <si>
    <t>C4 CP</t>
  </si>
  <si>
    <t>ข้อมูลที่จะต้อง import เข้า (ปลายทาง)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</si>
</sst>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฿&quot;* #,##0_-;\-&quot;฿&quot;* #,##0_-;_-&quot;฿&quot;* &quot;-&quot;_-;_-@_-"/>
    <numFmt numFmtId="165" formatCode="_-* #,##0_-;\-* #,##0_-;_-* &quot;-&quot;_-;_-@_-"/>
    <numFmt numFmtId="166" formatCode="_-&quot;฿&quot;* #,##0.00_-;\-&quot;฿&quot;* #,##0.00_-;_-&quot;฿&quot;* &quot;-&quot;??_-;_-@_-"/>
    <numFmt numFmtId="167" formatCode="_-* #,##0.00_-;\-* #,##0.00_-;_-* &quot;-&quot;??_-;_-@_-"/>
    <numFmt numFmtId="168" formatCode="[$-409]mmm\-yy;@"/>
    <numFmt numFmtId="169" formatCode="_-* #,##0_-;\-* #,##0_-;_-* &quot;-&quot;??_-;_-@_-"/>
    <numFmt numFmtId="170" formatCode="[$-409]d\-mmm\-yy;@"/>
    <numFmt numFmtId="171" formatCode="0.000"/>
    <numFmt numFmtId="172" formatCode="0.00_ ;\-0.00\ "/>
    <numFmt numFmtId="173" formatCode="#,##0.00_ ;\-#,##0.00\ "/>
    <numFmt numFmtId="174" formatCode="B1mmm\-yy"/>
    <numFmt numFmtId="175" formatCode="0.0"/>
    <numFmt numFmtId="176" formatCode="&quot;£&quot;#,##0;[Red]\-&quot;£&quot;#,##0"/>
    <numFmt numFmtId="177" formatCode="[$-D07041E]d\ mmm\ yy;@"/>
    <numFmt numFmtId="178" formatCode="\t0.00"/>
    <numFmt numFmtId="179" formatCode="_-&quot;ฃ&quot;* #,##0.00_-;\-&quot;ฃ&quot;* #,##0.00_-;_-&quot;ฃ&quot;* &quot;-&quot;??_-;_-@_-"/>
    <numFmt numFmtId="180" formatCode="_-&quot;ฃ&quot;* #,##0_-;\-&quot;ฃ&quot;* #,##0_-;_-&quot;ฃ&quot;* &quot;-&quot;_-;_-@_-"/>
    <numFmt numFmtId="181" formatCode="\t0"/>
    <numFmt numFmtId="182" formatCode="&quot;$&quot;#,##0.00;[Red]\-&quot;$&quot;#,##0.00"/>
    <numFmt numFmtId="183" formatCode="_-&quot;$&quot;* #,##0.00_-;\-&quot;$&quot;* #,##0.00_-;_-&quot;$&quot;* &quot;-&quot;??_-;_-@_-"/>
    <numFmt numFmtId="184" formatCode="0.0000"/>
    <numFmt numFmtId="185" formatCode="[$-107041E]d\ mmmm\ yyyy;@"/>
    <numFmt numFmtId="186" formatCode="#,##0.0"/>
    <numFmt numFmtId="187" formatCode="[&lt;0.01]&quot;&quot;;0.0;0.0"/>
    <numFmt numFmtId="188" formatCode="&quot;$&quot;#,##0\ ;\(&quot;$&quot;#,##0\)"/>
    <numFmt numFmtId="189" formatCode="0.000_);[Red]\(0.000\)"/>
    <numFmt numFmtId="190" formatCode="0.0%"/>
    <numFmt numFmtId="191" formatCode="[=0]&quot;&quot;;\-0;0"/>
    <numFmt numFmtId="192" formatCode="0.00_)"/>
    <numFmt numFmtId="193" formatCode="#,##0.0000;[Red]\(#,##0.0000\)"/>
    <numFmt numFmtId="194" formatCode="\ช\:\น\น\:ss"/>
    <numFmt numFmtId="195" formatCode="mm/dd/yy"/>
    <numFmt numFmtId="196" formatCode="0_ ;[Red]\-0\ "/>
    <numFmt numFmtId="197" formatCode="ddd\ h:mm"/>
    <numFmt numFmtId="198" formatCode="_-* #,##0.0_-;\-* #,##0.0_-;_-* &quot;-&quot;??_-;_-@_-"/>
  </numFmts>
  <fonts count="169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Calibri"/>
      <family val="2"/>
    </font>
    <font>
      <b/>
      <sz val="14"/>
      <color rgb="FF002060"/>
      <name val="Calibri"/>
      <family val="2"/>
    </font>
    <font>
      <b/>
      <sz val="14"/>
      <color theme="0" tint="-0.34998626667073579"/>
      <name val="Calibri"/>
      <family val="2"/>
    </font>
    <font>
      <b/>
      <sz val="14"/>
      <color rgb="FF7030A0"/>
      <name val="Calibri"/>
      <family val="2"/>
    </font>
    <font>
      <b/>
      <sz val="14"/>
      <color rgb="FFC00000"/>
      <name val="Calibri"/>
      <family val="2"/>
    </font>
    <font>
      <b/>
      <sz val="16"/>
      <name val="Calibri"/>
      <family val="2"/>
    </font>
    <font>
      <b/>
      <sz val="16"/>
      <color theme="5" tint="-0.499984740745262"/>
      <name val="Calibri"/>
      <family val="2"/>
    </font>
    <font>
      <b/>
      <sz val="14"/>
      <color theme="5" tint="-0.499984740745262"/>
      <name val="Calibri"/>
      <family val="2"/>
    </font>
    <font>
      <b/>
      <sz val="14"/>
      <color indexed="12"/>
      <name val="Calibri"/>
      <family val="2"/>
    </font>
    <font>
      <b/>
      <sz val="12"/>
      <name val="Calibri"/>
      <family val="2"/>
    </font>
    <font>
      <b/>
      <sz val="14"/>
      <color theme="7" tint="0.79998168889431442"/>
      <name val="Calibri"/>
      <family val="2"/>
    </font>
    <font>
      <b/>
      <sz val="12"/>
      <color rgb="FFC00000"/>
      <name val="Calibri"/>
      <family val="2"/>
    </font>
    <font>
      <b/>
      <sz val="12"/>
      <color rgb="FF0070C0"/>
      <name val="Calibri"/>
      <family val="2"/>
    </font>
    <font>
      <sz val="14"/>
      <name val="AngsanaUPC"/>
      <family val="1"/>
      <charset val="222"/>
    </font>
    <font>
      <b/>
      <sz val="14"/>
      <color rgb="FF0000CC"/>
      <name val="Calibri"/>
      <family val="2"/>
    </font>
    <font>
      <b/>
      <i/>
      <sz val="14"/>
      <name val="Calibri"/>
      <family val="2"/>
    </font>
    <font>
      <b/>
      <sz val="12"/>
      <color theme="0" tint="-0.499984740745262"/>
      <name val="Calibri"/>
      <family val="2"/>
    </font>
    <font>
      <b/>
      <sz val="16"/>
      <color theme="0" tint="-0.499984740745262"/>
      <name val="Calibri"/>
      <family val="2"/>
    </font>
    <font>
      <b/>
      <sz val="12"/>
      <color theme="0"/>
      <name val="Calibri"/>
      <family val="2"/>
    </font>
    <font>
      <b/>
      <i/>
      <sz val="14"/>
      <color theme="0"/>
      <name val="Calibri"/>
      <family val="2"/>
    </font>
    <font>
      <sz val="14"/>
      <color theme="0"/>
      <name val="Calibri"/>
      <family val="2"/>
    </font>
    <font>
      <b/>
      <sz val="14"/>
      <color theme="0"/>
      <name val="Calibri"/>
      <family val="2"/>
    </font>
    <font>
      <b/>
      <sz val="14"/>
      <color indexed="9"/>
      <name val="Calibri"/>
      <family val="2"/>
    </font>
    <font>
      <b/>
      <sz val="14"/>
      <color theme="2" tint="-0.249977111117893"/>
      <name val="Calibri"/>
      <family val="2"/>
    </font>
    <font>
      <b/>
      <sz val="12"/>
      <color theme="3"/>
      <name val="Calibri"/>
      <family val="2"/>
    </font>
    <font>
      <b/>
      <sz val="12"/>
      <color indexed="30"/>
      <name val="Calibri"/>
      <family val="2"/>
    </font>
    <font>
      <b/>
      <sz val="14"/>
      <color rgb="FF0070C0"/>
      <name val="Calibri"/>
      <family val="2"/>
    </font>
    <font>
      <b/>
      <u/>
      <sz val="14"/>
      <color rgb="FF0070C0"/>
      <name val="Calibri"/>
      <family val="2"/>
    </font>
    <font>
      <b/>
      <u/>
      <sz val="12"/>
      <color rgb="FF0070C0"/>
      <name val="Calibri"/>
      <family val="2"/>
    </font>
    <font>
      <b/>
      <u/>
      <sz val="12"/>
      <color indexed="21"/>
      <name val="Calibri"/>
      <family val="2"/>
    </font>
    <font>
      <b/>
      <u/>
      <sz val="14"/>
      <color rgb="FF7030A0"/>
      <name val="Calibri"/>
      <family val="2"/>
    </font>
    <font>
      <b/>
      <u/>
      <sz val="16"/>
      <color indexed="21"/>
      <name val="Calibri"/>
      <family val="2"/>
    </font>
    <font>
      <b/>
      <sz val="12"/>
      <color theme="0" tint="-0.34998626667073579"/>
      <name val="Calibri"/>
      <family val="2"/>
    </font>
    <font>
      <b/>
      <sz val="12"/>
      <color indexed="9"/>
      <name val="Calibri"/>
      <family val="2"/>
    </font>
    <font>
      <b/>
      <sz val="12"/>
      <color rgb="FF002060"/>
      <name val="Calibri"/>
      <family val="2"/>
    </font>
    <font>
      <b/>
      <sz val="14"/>
      <color theme="3"/>
      <name val="Calibri"/>
      <family val="2"/>
    </font>
    <font>
      <b/>
      <u/>
      <sz val="16"/>
      <color rgb="FF0070C0"/>
      <name val="Calibri"/>
      <family val="2"/>
    </font>
    <font>
      <b/>
      <sz val="14"/>
      <color theme="0"/>
      <name val="Arial"/>
      <family val="2"/>
    </font>
    <font>
      <b/>
      <sz val="16"/>
      <color rgb="FFC00000"/>
      <name val="Calibri"/>
      <family val="2"/>
    </font>
    <font>
      <b/>
      <sz val="14"/>
      <color indexed="14"/>
      <name val="Calibri"/>
      <family val="2"/>
    </font>
    <font>
      <b/>
      <sz val="16"/>
      <color indexed="14"/>
      <name val="Calibri"/>
      <family val="2"/>
    </font>
    <font>
      <b/>
      <sz val="16"/>
      <color theme="0"/>
      <name val="Calibri"/>
      <family val="2"/>
    </font>
    <font>
      <sz val="14"/>
      <color theme="1"/>
      <name val="Calibri"/>
      <family val="2"/>
    </font>
    <font>
      <b/>
      <sz val="12"/>
      <color rgb="FFFF0000"/>
      <name val="Calibri"/>
      <family val="2"/>
    </font>
    <font>
      <sz val="11"/>
      <color theme="1"/>
      <name val="Calibri"/>
      <family val="2"/>
      <charset val="222"/>
      <scheme val="minor"/>
    </font>
    <font>
      <sz val="11"/>
      <color theme="1"/>
      <name val="Tahoma"/>
      <family val="2"/>
      <charset val="222"/>
    </font>
    <font>
      <sz val="11"/>
      <color theme="1"/>
      <name val="Calibri"/>
      <family val="2"/>
      <scheme val="minor"/>
    </font>
    <font>
      <sz val="14"/>
      <name val="Cordia New"/>
      <family val="2"/>
    </font>
    <font>
      <sz val="12"/>
      <name val="Times New Roman"/>
      <family val="1"/>
    </font>
    <font>
      <sz val="10"/>
      <name val="MS Sans Serif"/>
      <family val="2"/>
      <charset val="222"/>
    </font>
    <font>
      <sz val="11"/>
      <name val="?l?r ?o?S?V?b?N"/>
      <family val="1"/>
    </font>
    <font>
      <sz val="11"/>
      <color indexed="8"/>
      <name val="Calibri"/>
      <family val="2"/>
    </font>
    <font>
      <sz val="11"/>
      <color indexed="8"/>
      <name val="Tahoma"/>
      <family val="2"/>
      <charset val="222"/>
    </font>
    <font>
      <sz val="11"/>
      <color indexed="8"/>
      <name val="맑은 고딕"/>
      <family val="3"/>
      <charset val="129"/>
    </font>
    <font>
      <sz val="11"/>
      <color indexed="9"/>
      <name val="Calibri"/>
      <family val="2"/>
    </font>
    <font>
      <sz val="11"/>
      <color indexed="9"/>
      <name val="Tahoma"/>
      <family val="2"/>
      <charset val="222"/>
    </font>
    <font>
      <sz val="11"/>
      <color indexed="9"/>
      <name val="맑은 고딕"/>
      <family val="3"/>
      <charset val="129"/>
    </font>
    <font>
      <sz val="14"/>
      <name val="AngsanaUPC"/>
      <family val="1"/>
    </font>
    <font>
      <sz val="11"/>
      <color indexed="20"/>
      <name val="Calibri"/>
      <family val="2"/>
    </font>
    <font>
      <sz val="11"/>
      <color indexed="20"/>
      <name val="Tahoma"/>
      <family val="2"/>
      <charset val="222"/>
    </font>
    <font>
      <b/>
      <sz val="12"/>
      <name val="Times New Roman"/>
      <family val="1"/>
    </font>
    <font>
      <b/>
      <sz val="18"/>
      <color indexed="8"/>
      <name val="Footlight MT Light"/>
      <family val="1"/>
    </font>
    <font>
      <sz val="10"/>
      <color indexed="8"/>
      <name val="Arial"/>
      <family val="2"/>
    </font>
    <font>
      <b/>
      <sz val="11"/>
      <color indexed="52"/>
      <name val="Calibri"/>
      <family val="2"/>
    </font>
    <font>
      <b/>
      <sz val="11"/>
      <color indexed="52"/>
      <name val="Tahoma"/>
      <family val="2"/>
      <charset val="222"/>
    </font>
    <font>
      <b/>
      <sz val="11"/>
      <color indexed="9"/>
      <name val="Calibri"/>
      <family val="2"/>
    </font>
    <font>
      <b/>
      <sz val="11"/>
      <color indexed="9"/>
      <name val="Tahoma"/>
      <family val="2"/>
      <charset val="222"/>
    </font>
    <font>
      <sz val="11"/>
      <name val="Tms Rmn"/>
    </font>
    <font>
      <b/>
      <sz val="10"/>
      <name val="Tms Rmn"/>
      <family val="1"/>
    </font>
    <font>
      <sz val="11"/>
      <color indexed="8"/>
      <name val="Tahoma"/>
      <family val="2"/>
    </font>
    <font>
      <sz val="10"/>
      <color indexed="8"/>
      <name val="Antique Olive"/>
      <family val="2"/>
    </font>
    <font>
      <sz val="10"/>
      <name val="MS Serif"/>
      <family val="1"/>
    </font>
    <font>
      <b/>
      <sz val="14"/>
      <color indexed="8"/>
      <name val="Arial"/>
      <family val="2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i/>
      <sz val="11"/>
      <color indexed="23"/>
      <name val="Tahoma"/>
      <family val="2"/>
      <charset val="222"/>
    </font>
    <font>
      <sz val="16"/>
      <color indexed="8"/>
      <name val="Footlight MT Light"/>
      <family val="1"/>
    </font>
    <font>
      <sz val="11"/>
      <color indexed="17"/>
      <name val="Calibri"/>
      <family val="2"/>
    </font>
    <font>
      <sz val="11"/>
      <color indexed="17"/>
      <name val="Tahoma"/>
      <family val="2"/>
      <charset val="22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5"/>
      <color indexed="56"/>
      <name val="Tahoma"/>
      <family val="2"/>
      <charset val="222"/>
    </font>
    <font>
      <b/>
      <sz val="13"/>
      <color indexed="56"/>
      <name val="Calibri"/>
      <family val="2"/>
    </font>
    <font>
      <b/>
      <sz val="13"/>
      <color indexed="56"/>
      <name val="Tahoma"/>
      <family val="2"/>
      <charset val="222"/>
    </font>
    <font>
      <b/>
      <sz val="11"/>
      <color indexed="56"/>
      <name val="Calibri"/>
      <family val="2"/>
    </font>
    <font>
      <b/>
      <sz val="11"/>
      <color indexed="56"/>
      <name val="Tahoma"/>
      <family val="2"/>
      <charset val="22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62"/>
      <name val="Tahoma"/>
      <family val="2"/>
      <charset val="222"/>
    </font>
    <font>
      <sz val="10"/>
      <color indexed="12"/>
      <name val="Arial"/>
      <family val="2"/>
    </font>
    <font>
      <sz val="16"/>
      <name val="Times New Roman"/>
      <family val="1"/>
    </font>
    <font>
      <sz val="11"/>
      <color indexed="52"/>
      <name val="Calibri"/>
      <family val="2"/>
    </font>
    <font>
      <sz val="11"/>
      <color indexed="52"/>
      <name val="Tahoma"/>
      <family val="2"/>
      <charset val="222"/>
    </font>
    <font>
      <b/>
      <sz val="9"/>
      <name val="Helv"/>
    </font>
    <font>
      <b/>
      <sz val="10"/>
      <name val="Times New Roman"/>
      <family val="1"/>
    </font>
    <font>
      <sz val="10"/>
      <name val="MS Sans Serif"/>
      <family val="2"/>
    </font>
    <font>
      <sz val="11"/>
      <color indexed="60"/>
      <name val="Calibri"/>
      <family val="2"/>
    </font>
    <font>
      <sz val="11"/>
      <color indexed="60"/>
      <name val="Tahoma"/>
      <family val="2"/>
      <charset val="222"/>
    </font>
    <font>
      <sz val="7"/>
      <name val="Small Fonts"/>
      <family val="3"/>
      <charset val="128"/>
    </font>
    <font>
      <sz val="7"/>
      <name val="Small Fonts"/>
      <family val="2"/>
    </font>
    <font>
      <b/>
      <i/>
      <sz val="16"/>
      <name val="Helv"/>
    </font>
    <font>
      <sz val="10"/>
      <name val="Times New Roman"/>
      <family val="1"/>
    </font>
    <font>
      <sz val="11"/>
      <color theme="1"/>
      <name val="Tahoma"/>
      <family val="2"/>
    </font>
    <font>
      <sz val="9"/>
      <name val="Arial"/>
      <family val="2"/>
    </font>
    <font>
      <b/>
      <sz val="11"/>
      <color indexed="63"/>
      <name val="Calibri"/>
      <family val="2"/>
    </font>
    <font>
      <b/>
      <sz val="11"/>
      <color indexed="63"/>
      <name val="Tahoma"/>
      <family val="2"/>
      <charset val="222"/>
    </font>
    <font>
      <sz val="28"/>
      <name val="Angsana New"/>
      <family val="1"/>
      <charset val="222"/>
    </font>
    <font>
      <sz val="8"/>
      <name val="Helv"/>
    </font>
    <font>
      <b/>
      <sz val="12"/>
      <name val="MS Sans Serif"/>
      <family val="2"/>
    </font>
    <font>
      <sz val="12"/>
      <name val="MS Sans Serif"/>
      <family val="2"/>
    </font>
    <font>
      <b/>
      <sz val="8"/>
      <color indexed="8"/>
      <name val="Helv"/>
    </font>
    <font>
      <sz val="9"/>
      <color indexed="18"/>
      <name val="Arial"/>
      <family val="2"/>
    </font>
    <font>
      <b/>
      <sz val="18"/>
      <color indexed="56"/>
      <name val="Cambria"/>
      <family val="2"/>
    </font>
    <font>
      <b/>
      <sz val="18"/>
      <color indexed="56"/>
      <name val="Tahoma"/>
      <family val="2"/>
      <charset val="222"/>
    </font>
    <font>
      <b/>
      <sz val="11"/>
      <color indexed="8"/>
      <name val="Calibri"/>
      <family val="2"/>
    </font>
    <font>
      <b/>
      <sz val="11"/>
      <color indexed="8"/>
      <name val="Tahoma"/>
      <family val="2"/>
      <charset val="222"/>
    </font>
    <font>
      <sz val="11"/>
      <color indexed="10"/>
      <name val="Calibri"/>
      <family val="2"/>
    </font>
    <font>
      <sz val="11"/>
      <color indexed="10"/>
      <name val="Tahoma"/>
      <family val="2"/>
      <charset val="222"/>
    </font>
    <font>
      <sz val="12"/>
      <name val="Courier"/>
      <family val="3"/>
    </font>
    <font>
      <outline/>
      <sz val="10"/>
      <name val="Arial"/>
      <family val="2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u/>
      <sz val="14"/>
      <name val="Calibri"/>
      <family val="2"/>
    </font>
    <font>
      <sz val="1"/>
      <color rgb="FF0070C0"/>
      <name val="Calibri"/>
      <family val="2"/>
      <scheme val="minor"/>
    </font>
    <font>
      <sz val="14"/>
      <name val="Calibri"/>
      <family val="2"/>
    </font>
    <font>
      <b/>
      <u/>
      <sz val="14"/>
      <color indexed="21"/>
      <name val="Calibri"/>
      <family val="2"/>
    </font>
    <font>
      <b/>
      <sz val="9"/>
      <color rgb="FF002060"/>
      <name val="Calibri"/>
      <family val="2"/>
    </font>
    <font>
      <b/>
      <sz val="9"/>
      <color theme="0"/>
      <name val="Calibri"/>
      <family val="2"/>
    </font>
    <font>
      <b/>
      <sz val="14"/>
      <color rgb="FFFF0000"/>
      <name val="Tahoma"/>
      <family val="2"/>
    </font>
    <font>
      <sz val="14"/>
      <color rgb="FFFF0000"/>
      <name val="Tahoma"/>
      <family val="2"/>
    </font>
    <font>
      <sz val="14"/>
      <color theme="1"/>
      <name val="Tahoma"/>
      <family val="2"/>
    </font>
    <font>
      <b/>
      <sz val="14"/>
      <color theme="0"/>
      <name val="Tahoma"/>
      <family val="2"/>
    </font>
    <font>
      <b/>
      <sz val="14"/>
      <color rgb="FF0000CC"/>
      <name val="Tahoma"/>
      <family val="2"/>
    </font>
    <font>
      <b/>
      <sz val="14"/>
      <color theme="1"/>
      <name val="Tahoma"/>
      <family val="2"/>
    </font>
    <font>
      <b/>
      <sz val="14"/>
      <name val="Tahoma"/>
      <family val="2"/>
    </font>
    <font>
      <sz val="14"/>
      <name val="Tahoma"/>
      <family val="2"/>
    </font>
    <font>
      <b/>
      <sz val="14"/>
      <color rgb="FF000099"/>
      <name val="Tahoma"/>
      <family val="2"/>
    </font>
    <font>
      <sz val="12"/>
      <color rgb="FFFF0000"/>
      <name val="Calibri"/>
      <family val="2"/>
      <scheme val="minor"/>
    </font>
    <font>
      <sz val="12"/>
      <color rgb="FF0000CC"/>
      <name val="Calibri"/>
      <family val="2"/>
      <scheme val="minor"/>
    </font>
    <font>
      <b/>
      <sz val="12"/>
      <color rgb="FF0000CC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rgb="FF3333FF"/>
      <name val="Tahoma"/>
      <family val="2"/>
    </font>
    <font>
      <b/>
      <sz val="14"/>
      <color rgb="FF0000FF"/>
      <name val="Tahoma"/>
      <family val="2"/>
    </font>
    <font>
      <b/>
      <sz val="14"/>
      <color rgb="FF0000FF"/>
      <name val="Calibri"/>
      <family val="2"/>
      <scheme val="minor"/>
    </font>
    <font>
      <b/>
      <sz val="8"/>
      <name val="Tahoma"/>
      <family val="2"/>
    </font>
    <font>
      <sz val="14"/>
      <color rgb="FF0000CC"/>
      <name val="Tahoma"/>
      <family val="2"/>
    </font>
    <font>
      <b/>
      <u/>
      <sz val="14"/>
      <color theme="1"/>
      <name val="Tahoma"/>
      <family val="2"/>
    </font>
    <font>
      <sz val="14"/>
      <color rgb="FFC00000"/>
      <name val="Tahoma"/>
      <family val="2"/>
    </font>
    <font>
      <sz val="11"/>
      <color rgb="FFFF0000"/>
      <name val="Tahoma"/>
      <family val="2"/>
    </font>
    <font>
      <sz val="11"/>
      <color rgb="FF000000"/>
      <name val="Tahoma"/>
      <family val="2"/>
    </font>
    <font>
      <sz val="9"/>
      <color indexed="81"/>
      <name val="Tahoma"/>
    </font>
    <font>
      <b/>
      <sz val="9"/>
      <color indexed="81"/>
      <name val="Tahoma"/>
    </font>
  </fonts>
  <fills count="6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BA8CDC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8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8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45"/>
      </bottom>
      <diagonal/>
    </border>
    <border>
      <left/>
      <right/>
      <top/>
      <bottom style="thin">
        <color indexed="45"/>
      </bottom>
      <diagonal/>
    </border>
    <border>
      <left/>
      <right/>
      <top style="medium">
        <color indexed="45"/>
      </top>
      <bottom/>
      <diagonal/>
    </border>
    <border>
      <left/>
      <right/>
      <top/>
      <bottom style="double">
        <color indexed="45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6166">
    <xf numFmtId="0" fontId="0" fillId="0" borderId="0"/>
    <xf numFmtId="0" fontId="2" fillId="0" borderId="0"/>
    <xf numFmtId="170" fontId="16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7" fontId="2" fillId="0" borderId="0"/>
    <xf numFmtId="178" fontId="50" fillId="0" borderId="0" applyFont="0" applyFill="0" applyBorder="0" applyAlignment="0" applyProtection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9" fontId="50" fillId="0" borderId="0" applyFont="0" applyFill="0" applyBorder="0" applyAlignment="0" applyProtection="0"/>
    <xf numFmtId="180" fontId="50" fillId="0" borderId="0" applyFont="0" applyFill="0" applyBorder="0" applyAlignment="0" applyProtection="0"/>
    <xf numFmtId="181" fontId="50" fillId="0" borderId="0" applyFont="0" applyFill="0" applyBorder="0" applyAlignment="0" applyProtection="0"/>
    <xf numFmtId="0" fontId="51" fillId="0" borderId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2" fontId="50" fillId="0" borderId="0" applyFont="0" applyFill="0" applyBorder="0" applyAlignment="0" applyProtection="0"/>
    <xf numFmtId="183" fontId="50" fillId="0" borderId="0" applyFont="0" applyFill="0" applyBorder="0" applyAlignment="0" applyProtection="0"/>
    <xf numFmtId="184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7" fontId="53" fillId="0" borderId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0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185" fontId="55" fillId="18" borderId="0" applyNumberFormat="0" applyBorder="0" applyAlignment="0" applyProtection="0"/>
    <xf numFmtId="185" fontId="55" fillId="18" borderId="0" applyNumberFormat="0" applyBorder="0" applyAlignment="0" applyProtection="0"/>
    <xf numFmtId="185" fontId="55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0" fontId="54" fillId="18" borderId="0" applyNumberFormat="0" applyBorder="0" applyAlignment="0" applyProtection="0"/>
    <xf numFmtId="0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8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0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185" fontId="55" fillId="19" borderId="0" applyNumberFormat="0" applyBorder="0" applyAlignment="0" applyProtection="0"/>
    <xf numFmtId="185" fontId="55" fillId="19" borderId="0" applyNumberFormat="0" applyBorder="0" applyAlignment="0" applyProtection="0"/>
    <xf numFmtId="185" fontId="55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0" fontId="54" fillId="19" borderId="0" applyNumberFormat="0" applyBorder="0" applyAlignment="0" applyProtection="0"/>
    <xf numFmtId="0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19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0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185" fontId="55" fillId="20" borderId="0" applyNumberFormat="0" applyBorder="0" applyAlignment="0" applyProtection="0"/>
    <xf numFmtId="185" fontId="55" fillId="20" borderId="0" applyNumberFormat="0" applyBorder="0" applyAlignment="0" applyProtection="0"/>
    <xf numFmtId="185" fontId="55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0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0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185" fontId="55" fillId="21" borderId="0" applyNumberFormat="0" applyBorder="0" applyAlignment="0" applyProtection="0"/>
    <xf numFmtId="185" fontId="55" fillId="21" borderId="0" applyNumberFormat="0" applyBorder="0" applyAlignment="0" applyProtection="0"/>
    <xf numFmtId="185" fontId="55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0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177" fontId="54" fillId="22" borderId="0" applyNumberFormat="0" applyBorder="0" applyAlignment="0" applyProtection="0"/>
    <xf numFmtId="185" fontId="55" fillId="22" borderId="0" applyNumberFormat="0" applyBorder="0" applyAlignment="0" applyProtection="0"/>
    <xf numFmtId="185" fontId="55" fillId="22" borderId="0" applyNumberFormat="0" applyBorder="0" applyAlignment="0" applyProtection="0"/>
    <xf numFmtId="0" fontId="54" fillId="22" borderId="0" applyNumberFormat="0" applyBorder="0" applyAlignment="0" applyProtection="0"/>
    <xf numFmtId="185" fontId="55" fillId="22" borderId="0" applyNumberFormat="0" applyBorder="0" applyAlignment="0" applyProtection="0"/>
    <xf numFmtId="177" fontId="54" fillId="22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0" fontId="47" fillId="17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2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0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185" fontId="55" fillId="23" borderId="0" applyNumberFormat="0" applyBorder="0" applyAlignment="0" applyProtection="0"/>
    <xf numFmtId="185" fontId="55" fillId="23" borderId="0" applyNumberFormat="0" applyBorder="0" applyAlignment="0" applyProtection="0"/>
    <xf numFmtId="185" fontId="55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177" fontId="54" fillId="23" borderId="0" applyNumberFormat="0" applyBorder="0" applyAlignment="0" applyProtection="0"/>
    <xf numFmtId="0" fontId="56" fillId="18" borderId="0" applyNumberFormat="0" applyBorder="0" applyAlignment="0" applyProtection="0">
      <alignment vertical="center"/>
    </xf>
    <xf numFmtId="0" fontId="56" fillId="19" borderId="0" applyNumberFormat="0" applyBorder="0" applyAlignment="0" applyProtection="0">
      <alignment vertical="center"/>
    </xf>
    <xf numFmtId="0" fontId="56" fillId="20" borderId="0" applyNumberFormat="0" applyBorder="0" applyAlignment="0" applyProtection="0">
      <alignment vertical="center"/>
    </xf>
    <xf numFmtId="0" fontId="56" fillId="21" borderId="0" applyNumberFormat="0" applyBorder="0" applyAlignment="0" applyProtection="0">
      <alignment vertical="center"/>
    </xf>
    <xf numFmtId="0" fontId="56" fillId="22" borderId="0" applyNumberFormat="0" applyBorder="0" applyAlignment="0" applyProtection="0">
      <alignment vertical="center"/>
    </xf>
    <xf numFmtId="0" fontId="56" fillId="23" borderId="0" applyNumberFormat="0" applyBorder="0" applyAlignment="0" applyProtection="0">
      <alignment vertical="center"/>
    </xf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0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185" fontId="55" fillId="24" borderId="0" applyNumberFormat="0" applyBorder="0" applyAlignment="0" applyProtection="0"/>
    <xf numFmtId="185" fontId="55" fillId="24" borderId="0" applyNumberFormat="0" applyBorder="0" applyAlignment="0" applyProtection="0"/>
    <xf numFmtId="185" fontId="55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0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0" fontId="54" fillId="25" borderId="0" applyNumberFormat="0" applyBorder="0" applyAlignment="0" applyProtection="0"/>
    <xf numFmtId="0" fontId="54" fillId="25" borderId="0" applyNumberFormat="0" applyBorder="0" applyAlignment="0" applyProtection="0"/>
    <xf numFmtId="185" fontId="55" fillId="25" borderId="0" applyNumberFormat="0" applyBorder="0" applyAlignment="0" applyProtection="0"/>
    <xf numFmtId="185" fontId="55" fillId="25" borderId="0" applyNumberFormat="0" applyBorder="0" applyAlignment="0" applyProtection="0"/>
    <xf numFmtId="185" fontId="55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0" fontId="54" fillId="25" borderId="0" applyNumberFormat="0" applyBorder="0" applyAlignment="0" applyProtection="0"/>
    <xf numFmtId="0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5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0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185" fontId="55" fillId="26" borderId="0" applyNumberFormat="0" applyBorder="0" applyAlignment="0" applyProtection="0"/>
    <xf numFmtId="185" fontId="55" fillId="26" borderId="0" applyNumberFormat="0" applyBorder="0" applyAlignment="0" applyProtection="0"/>
    <xf numFmtId="185" fontId="55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6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0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185" fontId="55" fillId="21" borderId="0" applyNumberFormat="0" applyBorder="0" applyAlignment="0" applyProtection="0"/>
    <xf numFmtId="185" fontId="55" fillId="21" borderId="0" applyNumberFormat="0" applyBorder="0" applyAlignment="0" applyProtection="0"/>
    <xf numFmtId="185" fontId="55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1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0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185" fontId="55" fillId="24" borderId="0" applyNumberFormat="0" applyBorder="0" applyAlignment="0" applyProtection="0"/>
    <xf numFmtId="185" fontId="55" fillId="24" borderId="0" applyNumberFormat="0" applyBorder="0" applyAlignment="0" applyProtection="0"/>
    <xf numFmtId="185" fontId="55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4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0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185" fontId="55" fillId="27" borderId="0" applyNumberFormat="0" applyBorder="0" applyAlignment="0" applyProtection="0"/>
    <xf numFmtId="185" fontId="55" fillId="27" borderId="0" applyNumberFormat="0" applyBorder="0" applyAlignment="0" applyProtection="0"/>
    <xf numFmtId="185" fontId="55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177" fontId="54" fillId="27" borderId="0" applyNumberFormat="0" applyBorder="0" applyAlignment="0" applyProtection="0"/>
    <xf numFmtId="0" fontId="56" fillId="24" borderId="0" applyNumberFormat="0" applyBorder="0" applyAlignment="0" applyProtection="0">
      <alignment vertical="center"/>
    </xf>
    <xf numFmtId="0" fontId="56" fillId="25" borderId="0" applyNumberFormat="0" applyBorder="0" applyAlignment="0" applyProtection="0">
      <alignment vertical="center"/>
    </xf>
    <xf numFmtId="0" fontId="56" fillId="26" borderId="0" applyNumberFormat="0" applyBorder="0" applyAlignment="0" applyProtection="0">
      <alignment vertical="center"/>
    </xf>
    <xf numFmtId="0" fontId="56" fillId="21" borderId="0" applyNumberFormat="0" applyBorder="0" applyAlignment="0" applyProtection="0">
      <alignment vertical="center"/>
    </xf>
    <xf numFmtId="0" fontId="56" fillId="24" borderId="0" applyNumberFormat="0" applyBorder="0" applyAlignment="0" applyProtection="0">
      <alignment vertical="center"/>
    </xf>
    <xf numFmtId="0" fontId="56" fillId="27" borderId="0" applyNumberFormat="0" applyBorder="0" applyAlignment="0" applyProtection="0">
      <alignment vertical="center"/>
    </xf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0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0" fontId="57" fillId="28" borderId="0" applyNumberFormat="0" applyBorder="0" applyAlignment="0" applyProtection="0"/>
    <xf numFmtId="0" fontId="57" fillId="28" borderId="0" applyNumberFormat="0" applyBorder="0" applyAlignment="0" applyProtection="0"/>
    <xf numFmtId="185" fontId="58" fillId="28" borderId="0" applyNumberFormat="0" applyBorder="0" applyAlignment="0" applyProtection="0"/>
    <xf numFmtId="185" fontId="58" fillId="28" borderId="0" applyNumberFormat="0" applyBorder="0" applyAlignment="0" applyProtection="0"/>
    <xf numFmtId="185" fontId="58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0" fontId="57" fillId="28" borderId="0" applyNumberFormat="0" applyBorder="0" applyAlignment="0" applyProtection="0"/>
    <xf numFmtId="0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8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0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0" fontId="57" fillId="25" borderId="0" applyNumberFormat="0" applyBorder="0" applyAlignment="0" applyProtection="0"/>
    <xf numFmtId="0" fontId="57" fillId="25" borderId="0" applyNumberFormat="0" applyBorder="0" applyAlignment="0" applyProtection="0"/>
    <xf numFmtId="185" fontId="58" fillId="25" borderId="0" applyNumberFormat="0" applyBorder="0" applyAlignment="0" applyProtection="0"/>
    <xf numFmtId="185" fontId="58" fillId="25" borderId="0" applyNumberFormat="0" applyBorder="0" applyAlignment="0" applyProtection="0"/>
    <xf numFmtId="185" fontId="58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0" fontId="57" fillId="25" borderId="0" applyNumberFormat="0" applyBorder="0" applyAlignment="0" applyProtection="0"/>
    <xf numFmtId="0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5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0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0" fontId="57" fillId="26" borderId="0" applyNumberFormat="0" applyBorder="0" applyAlignment="0" applyProtection="0"/>
    <xf numFmtId="0" fontId="57" fillId="26" borderId="0" applyNumberFormat="0" applyBorder="0" applyAlignment="0" applyProtection="0"/>
    <xf numFmtId="185" fontId="58" fillId="26" borderId="0" applyNumberFormat="0" applyBorder="0" applyAlignment="0" applyProtection="0"/>
    <xf numFmtId="185" fontId="58" fillId="26" borderId="0" applyNumberFormat="0" applyBorder="0" applyAlignment="0" applyProtection="0"/>
    <xf numFmtId="185" fontId="58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0" fontId="57" fillId="26" borderId="0" applyNumberFormat="0" applyBorder="0" applyAlignment="0" applyProtection="0"/>
    <xf numFmtId="0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6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0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0" fontId="57" fillId="29" borderId="0" applyNumberFormat="0" applyBorder="0" applyAlignment="0" applyProtection="0"/>
    <xf numFmtId="0" fontId="57" fillId="29" borderId="0" applyNumberFormat="0" applyBorder="0" applyAlignment="0" applyProtection="0"/>
    <xf numFmtId="185" fontId="58" fillId="29" borderId="0" applyNumberFormat="0" applyBorder="0" applyAlignment="0" applyProtection="0"/>
    <xf numFmtId="185" fontId="58" fillId="29" borderId="0" applyNumberFormat="0" applyBorder="0" applyAlignment="0" applyProtection="0"/>
    <xf numFmtId="185" fontId="58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0" fontId="57" fillId="29" borderId="0" applyNumberFormat="0" applyBorder="0" applyAlignment="0" applyProtection="0"/>
    <xf numFmtId="0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0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0" fontId="57" fillId="30" borderId="0" applyNumberFormat="0" applyBorder="0" applyAlignment="0" applyProtection="0"/>
    <xf numFmtId="0" fontId="57" fillId="30" borderId="0" applyNumberFormat="0" applyBorder="0" applyAlignment="0" applyProtection="0"/>
    <xf numFmtId="185" fontId="58" fillId="30" borderId="0" applyNumberFormat="0" applyBorder="0" applyAlignment="0" applyProtection="0"/>
    <xf numFmtId="185" fontId="58" fillId="30" borderId="0" applyNumberFormat="0" applyBorder="0" applyAlignment="0" applyProtection="0"/>
    <xf numFmtId="185" fontId="58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0" fontId="57" fillId="30" borderId="0" applyNumberFormat="0" applyBorder="0" applyAlignment="0" applyProtection="0"/>
    <xf numFmtId="0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0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0" fontId="57" fillId="31" borderId="0" applyNumberFormat="0" applyBorder="0" applyAlignment="0" applyProtection="0"/>
    <xf numFmtId="0" fontId="57" fillId="31" borderId="0" applyNumberFormat="0" applyBorder="0" applyAlignment="0" applyProtection="0"/>
    <xf numFmtId="185" fontId="58" fillId="31" borderId="0" applyNumberFormat="0" applyBorder="0" applyAlignment="0" applyProtection="0"/>
    <xf numFmtId="185" fontId="58" fillId="31" borderId="0" applyNumberFormat="0" applyBorder="0" applyAlignment="0" applyProtection="0"/>
    <xf numFmtId="185" fontId="58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0" fontId="57" fillId="31" borderId="0" applyNumberFormat="0" applyBorder="0" applyAlignment="0" applyProtection="0"/>
    <xf numFmtId="0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177" fontId="57" fillId="31" borderId="0" applyNumberFormat="0" applyBorder="0" applyAlignment="0" applyProtection="0"/>
    <xf numFmtId="0" fontId="59" fillId="28" borderId="0" applyNumberFormat="0" applyBorder="0" applyAlignment="0" applyProtection="0">
      <alignment vertical="center"/>
    </xf>
    <xf numFmtId="0" fontId="59" fillId="25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29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9" fontId="60" fillId="0" borderId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0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0" fontId="57" fillId="32" borderId="0" applyNumberFormat="0" applyBorder="0" applyAlignment="0" applyProtection="0"/>
    <xf numFmtId="0" fontId="57" fillId="32" borderId="0" applyNumberFormat="0" applyBorder="0" applyAlignment="0" applyProtection="0"/>
    <xf numFmtId="185" fontId="58" fillId="32" borderId="0" applyNumberFormat="0" applyBorder="0" applyAlignment="0" applyProtection="0"/>
    <xf numFmtId="185" fontId="58" fillId="32" borderId="0" applyNumberFormat="0" applyBorder="0" applyAlignment="0" applyProtection="0"/>
    <xf numFmtId="185" fontId="58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0" fontId="57" fillId="32" borderId="0" applyNumberFormat="0" applyBorder="0" applyAlignment="0" applyProtection="0"/>
    <xf numFmtId="0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2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0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0" fontId="57" fillId="33" borderId="0" applyNumberFormat="0" applyBorder="0" applyAlignment="0" applyProtection="0"/>
    <xf numFmtId="0" fontId="57" fillId="33" borderId="0" applyNumberFormat="0" applyBorder="0" applyAlignment="0" applyProtection="0"/>
    <xf numFmtId="185" fontId="58" fillId="33" borderId="0" applyNumberFormat="0" applyBorder="0" applyAlignment="0" applyProtection="0"/>
    <xf numFmtId="185" fontId="58" fillId="33" borderId="0" applyNumberFormat="0" applyBorder="0" applyAlignment="0" applyProtection="0"/>
    <xf numFmtId="185" fontId="58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0" fontId="57" fillId="33" borderId="0" applyNumberFormat="0" applyBorder="0" applyAlignment="0" applyProtection="0"/>
    <xf numFmtId="0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3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0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185" fontId="58" fillId="34" borderId="0" applyNumberFormat="0" applyBorder="0" applyAlignment="0" applyProtection="0"/>
    <xf numFmtId="185" fontId="58" fillId="34" borderId="0" applyNumberFormat="0" applyBorder="0" applyAlignment="0" applyProtection="0"/>
    <xf numFmtId="185" fontId="58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34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0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0" fontId="57" fillId="29" borderId="0" applyNumberFormat="0" applyBorder="0" applyAlignment="0" applyProtection="0"/>
    <xf numFmtId="0" fontId="57" fillId="29" borderId="0" applyNumberFormat="0" applyBorder="0" applyAlignment="0" applyProtection="0"/>
    <xf numFmtId="185" fontId="58" fillId="29" borderId="0" applyNumberFormat="0" applyBorder="0" applyAlignment="0" applyProtection="0"/>
    <xf numFmtId="185" fontId="58" fillId="29" borderId="0" applyNumberFormat="0" applyBorder="0" applyAlignment="0" applyProtection="0"/>
    <xf numFmtId="185" fontId="58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0" fontId="57" fillId="29" borderId="0" applyNumberFormat="0" applyBorder="0" applyAlignment="0" applyProtection="0"/>
    <xf numFmtId="0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29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0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0" fontId="57" fillId="30" borderId="0" applyNumberFormat="0" applyBorder="0" applyAlignment="0" applyProtection="0"/>
    <xf numFmtId="0" fontId="57" fillId="30" borderId="0" applyNumberFormat="0" applyBorder="0" applyAlignment="0" applyProtection="0"/>
    <xf numFmtId="185" fontId="58" fillId="30" borderId="0" applyNumberFormat="0" applyBorder="0" applyAlignment="0" applyProtection="0"/>
    <xf numFmtId="185" fontId="58" fillId="30" borderId="0" applyNumberFormat="0" applyBorder="0" applyAlignment="0" applyProtection="0"/>
    <xf numFmtId="185" fontId="58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0" fontId="57" fillId="30" borderId="0" applyNumberFormat="0" applyBorder="0" applyAlignment="0" applyProtection="0"/>
    <xf numFmtId="0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0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0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0" fontId="57" fillId="35" borderId="0" applyNumberFormat="0" applyBorder="0" applyAlignment="0" applyProtection="0"/>
    <xf numFmtId="0" fontId="57" fillId="35" borderId="0" applyNumberFormat="0" applyBorder="0" applyAlignment="0" applyProtection="0"/>
    <xf numFmtId="185" fontId="58" fillId="35" borderId="0" applyNumberFormat="0" applyBorder="0" applyAlignment="0" applyProtection="0"/>
    <xf numFmtId="185" fontId="58" fillId="35" borderId="0" applyNumberFormat="0" applyBorder="0" applyAlignment="0" applyProtection="0"/>
    <xf numFmtId="185" fontId="58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0" fontId="57" fillId="35" borderId="0" applyNumberFormat="0" applyBorder="0" applyAlignment="0" applyProtection="0"/>
    <xf numFmtId="0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177" fontId="57" fillId="35" borderId="0" applyNumberFormat="0" applyBorder="0" applyAlignment="0" applyProtection="0"/>
    <xf numFmtId="9" fontId="2" fillId="0" borderId="0" applyFont="0" applyFill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0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0" fontId="61" fillId="19" borderId="0" applyNumberFormat="0" applyBorder="0" applyAlignment="0" applyProtection="0"/>
    <xf numFmtId="0" fontId="61" fillId="19" borderId="0" applyNumberFormat="0" applyBorder="0" applyAlignment="0" applyProtection="0"/>
    <xf numFmtId="185" fontId="62" fillId="19" borderId="0" applyNumberFormat="0" applyBorder="0" applyAlignment="0" applyProtection="0"/>
    <xf numFmtId="185" fontId="62" fillId="19" borderId="0" applyNumberFormat="0" applyBorder="0" applyAlignment="0" applyProtection="0"/>
    <xf numFmtId="185" fontId="62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0" fontId="61" fillId="19" borderId="0" applyNumberFormat="0" applyBorder="0" applyAlignment="0" applyProtection="0"/>
    <xf numFmtId="0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177" fontId="61" fillId="19" borderId="0" applyNumberFormat="0" applyBorder="0" applyAlignment="0" applyProtection="0"/>
    <xf numFmtId="0" fontId="2" fillId="24" borderId="0" applyNumberFormat="0" applyBorder="0" applyAlignment="0">
      <protection locked="0"/>
    </xf>
    <xf numFmtId="0" fontId="63" fillId="0" borderId="24" applyNumberFormat="0" applyFill="0" applyAlignment="0" applyProtection="0"/>
    <xf numFmtId="0" fontId="63" fillId="0" borderId="24" applyNumberFormat="0" applyFill="0" applyAlignment="0" applyProtection="0"/>
    <xf numFmtId="4" fontId="64" fillId="0" borderId="26" applyFill="0">
      <alignment vertical="center"/>
      <protection locked="0"/>
    </xf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5" fillId="0" borderId="0" applyFill="0" applyBorder="0" applyAlignment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0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0" fontId="66" fillId="36" borderId="27" applyNumberFormat="0" applyAlignment="0" applyProtection="0"/>
    <xf numFmtId="0" fontId="66" fillId="36" borderId="27" applyNumberFormat="0" applyAlignment="0" applyProtection="0"/>
    <xf numFmtId="185" fontId="67" fillId="36" borderId="27" applyNumberFormat="0" applyAlignment="0" applyProtection="0"/>
    <xf numFmtId="185" fontId="67" fillId="36" borderId="27" applyNumberFormat="0" applyAlignment="0" applyProtection="0"/>
    <xf numFmtId="185" fontId="67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0" fontId="66" fillId="36" borderId="27" applyNumberFormat="0" applyAlignment="0" applyProtection="0"/>
    <xf numFmtId="0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6" fillId="36" borderId="27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0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0" fontId="68" fillId="37" borderId="28" applyNumberFormat="0" applyAlignment="0" applyProtection="0"/>
    <xf numFmtId="0" fontId="68" fillId="37" borderId="28" applyNumberFormat="0" applyAlignment="0" applyProtection="0"/>
    <xf numFmtId="185" fontId="69" fillId="37" borderId="28" applyNumberFormat="0" applyAlignment="0" applyProtection="0"/>
    <xf numFmtId="185" fontId="69" fillId="37" borderId="28" applyNumberFormat="0" applyAlignment="0" applyProtection="0"/>
    <xf numFmtId="185" fontId="69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0" fontId="68" fillId="37" borderId="28" applyNumberFormat="0" applyAlignment="0" applyProtection="0"/>
    <xf numFmtId="0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177" fontId="68" fillId="37" borderId="28" applyNumberFormat="0" applyAlignment="0" applyProtection="0"/>
    <xf numFmtId="0" fontId="70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8" fontId="2" fillId="0" borderId="0"/>
    <xf numFmtId="178" fontId="2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0" fontId="71" fillId="0" borderId="0"/>
    <xf numFmtId="0" fontId="71" fillId="0" borderId="0"/>
    <xf numFmtId="0" fontId="70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0" fontId="70" fillId="0" borderId="0"/>
    <xf numFmtId="178" fontId="2" fillId="0" borderId="0"/>
    <xf numFmtId="0" fontId="70" fillId="0" borderId="0"/>
    <xf numFmtId="178" fontId="2" fillId="0" borderId="0"/>
    <xf numFmtId="0" fontId="70" fillId="0" borderId="0"/>
    <xf numFmtId="178" fontId="2" fillId="0" borderId="0"/>
    <xf numFmtId="0" fontId="70" fillId="0" borderId="0"/>
    <xf numFmtId="178" fontId="2" fillId="0" borderId="0"/>
    <xf numFmtId="0" fontId="70" fillId="0" borderId="0"/>
    <xf numFmtId="178" fontId="2" fillId="0" borderId="0"/>
    <xf numFmtId="0" fontId="70" fillId="0" borderId="0"/>
    <xf numFmtId="178" fontId="2" fillId="0" borderId="0"/>
    <xf numFmtId="0" fontId="70" fillId="0" borderId="0"/>
    <xf numFmtId="178" fontId="2" fillId="0" borderId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84" fontId="50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4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0" fontId="60" fillId="0" borderId="0"/>
    <xf numFmtId="3" fontId="73" fillId="0" borderId="0" applyFont="0" applyFill="0" applyBorder="0" applyAlignment="0" applyProtection="0"/>
    <xf numFmtId="0" fontId="74" fillId="0" borderId="0" applyNumberFormat="0" applyAlignment="0">
      <alignment horizontal="left"/>
    </xf>
    <xf numFmtId="186" fontId="75" fillId="0" borderId="0"/>
    <xf numFmtId="187" fontId="2" fillId="0" borderId="0">
      <alignment horizontal="center"/>
    </xf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0" fontId="71" fillId="0" borderId="0"/>
    <xf numFmtId="0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0" fontId="71" fillId="0" borderId="0"/>
    <xf numFmtId="0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44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88" fontId="73" fillId="0" borderId="0" applyFont="0" applyFill="0" applyBorder="0" applyAlignment="0" applyProtection="0"/>
    <xf numFmtId="0" fontId="60" fillId="0" borderId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0" fontId="73" fillId="0" borderId="0" applyFont="0" applyFill="0" applyBorder="0" applyAlignment="0" applyProtection="0"/>
    <xf numFmtId="190" fontId="60" fillId="0" borderId="0"/>
    <xf numFmtId="0" fontId="76" fillId="0" borderId="0" applyNumberFormat="0" applyAlignment="0">
      <alignment horizontal="left"/>
    </xf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85" fontId="78" fillId="0" borderId="0" applyNumberFormat="0" applyFill="0" applyBorder="0" applyAlignment="0" applyProtection="0"/>
    <xf numFmtId="185" fontId="78" fillId="0" borderId="0" applyNumberFormat="0" applyFill="0" applyBorder="0" applyAlignment="0" applyProtection="0"/>
    <xf numFmtId="185" fontId="78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177" fontId="77" fillId="0" borderId="0" applyNumberFormat="0" applyFill="0" applyBorder="0" applyAlignment="0" applyProtection="0"/>
    <xf numFmtId="4" fontId="79" fillId="0" borderId="0" applyFill="0" applyBorder="0">
      <protection locked="0"/>
    </xf>
    <xf numFmtId="2" fontId="73" fillId="0" borderId="0" applyFont="0" applyFill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0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0" fontId="80" fillId="20" borderId="0" applyNumberFormat="0" applyBorder="0" applyAlignment="0" applyProtection="0"/>
    <xf numFmtId="0" fontId="80" fillId="20" borderId="0" applyNumberFormat="0" applyBorder="0" applyAlignment="0" applyProtection="0"/>
    <xf numFmtId="185" fontId="81" fillId="20" borderId="0" applyNumberFormat="0" applyBorder="0" applyAlignment="0" applyProtection="0"/>
    <xf numFmtId="185" fontId="81" fillId="20" borderId="0" applyNumberFormat="0" applyBorder="0" applyAlignment="0" applyProtection="0"/>
    <xf numFmtId="185" fontId="81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0" fontId="80" fillId="20" borderId="0" applyNumberFormat="0" applyBorder="0" applyAlignment="0" applyProtection="0"/>
    <xf numFmtId="0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177" fontId="80" fillId="20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38" fontId="82" fillId="38" borderId="0" applyNumberFormat="0" applyBorder="0" applyAlignment="0" applyProtection="0"/>
    <xf numFmtId="0" fontId="83" fillId="0" borderId="2" applyNumberFormat="0" applyAlignment="0" applyProtection="0">
      <alignment horizontal="left" vertical="center"/>
    </xf>
    <xf numFmtId="0" fontId="52" fillId="0" borderId="0"/>
    <xf numFmtId="0" fontId="83" fillId="0" borderId="17">
      <alignment horizontal="left" vertical="center"/>
    </xf>
    <xf numFmtId="0" fontId="52" fillId="0" borderId="0"/>
    <xf numFmtId="0" fontId="83" fillId="0" borderId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0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0" fontId="84" fillId="0" borderId="29" applyNumberFormat="0" applyFill="0" applyAlignment="0" applyProtection="0"/>
    <xf numFmtId="0" fontId="84" fillId="0" borderId="29" applyNumberFormat="0" applyFill="0" applyAlignment="0" applyProtection="0"/>
    <xf numFmtId="185" fontId="85" fillId="0" borderId="29" applyNumberFormat="0" applyFill="0" applyAlignment="0" applyProtection="0"/>
    <xf numFmtId="185" fontId="85" fillId="0" borderId="29" applyNumberFormat="0" applyFill="0" applyAlignment="0" applyProtection="0"/>
    <xf numFmtId="185" fontId="85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0" fontId="84" fillId="0" borderId="29" applyNumberFormat="0" applyFill="0" applyAlignment="0" applyProtection="0"/>
    <xf numFmtId="0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4" fillId="0" borderId="29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0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0" fontId="86" fillId="0" borderId="30" applyNumberFormat="0" applyFill="0" applyAlignment="0" applyProtection="0"/>
    <xf numFmtId="0" fontId="86" fillId="0" borderId="30" applyNumberFormat="0" applyFill="0" applyAlignment="0" applyProtection="0"/>
    <xf numFmtId="185" fontId="87" fillId="0" borderId="30" applyNumberFormat="0" applyFill="0" applyAlignment="0" applyProtection="0"/>
    <xf numFmtId="185" fontId="87" fillId="0" borderId="30" applyNumberFormat="0" applyFill="0" applyAlignment="0" applyProtection="0"/>
    <xf numFmtId="185" fontId="87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0" fontId="86" fillId="0" borderId="30" applyNumberFormat="0" applyFill="0" applyAlignment="0" applyProtection="0"/>
    <xf numFmtId="0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6" fillId="0" borderId="30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0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0" fontId="88" fillId="0" borderId="31" applyNumberFormat="0" applyFill="0" applyAlignment="0" applyProtection="0"/>
    <xf numFmtId="0" fontId="88" fillId="0" borderId="31" applyNumberFormat="0" applyFill="0" applyAlignment="0" applyProtection="0"/>
    <xf numFmtId="185" fontId="89" fillId="0" borderId="31" applyNumberFormat="0" applyFill="0" applyAlignment="0" applyProtection="0"/>
    <xf numFmtId="185" fontId="89" fillId="0" borderId="31" applyNumberFormat="0" applyFill="0" applyAlignment="0" applyProtection="0"/>
    <xf numFmtId="185" fontId="89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0" fontId="88" fillId="0" borderId="31" applyNumberFormat="0" applyFill="0" applyAlignment="0" applyProtection="0"/>
    <xf numFmtId="0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31" applyNumberFormat="0" applyFill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185" fontId="89" fillId="0" borderId="0" applyNumberFormat="0" applyFill="0" applyBorder="0" applyAlignment="0" applyProtection="0"/>
    <xf numFmtId="185" fontId="89" fillId="0" borderId="0" applyNumberFormat="0" applyFill="0" applyBorder="0" applyAlignment="0" applyProtection="0"/>
    <xf numFmtId="185" fontId="89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177" fontId="88" fillId="0" borderId="0" applyNumberFormat="0" applyFill="0" applyBorder="0" applyAlignment="0" applyProtection="0"/>
    <xf numFmtId="0" fontId="90" fillId="0" borderId="0" applyNumberFormat="0" applyFill="0" applyBorder="0" applyAlignment="0" applyProtection="0">
      <alignment vertical="top"/>
      <protection locked="0"/>
    </xf>
    <xf numFmtId="191" fontId="2" fillId="0" borderId="0" applyBorder="0">
      <alignment horizontal="center"/>
    </xf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0" fontId="82" fillId="39" borderId="10" applyNumberFormat="0" applyBorder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185" fontId="92" fillId="23" borderId="27" applyNumberFormat="0" applyAlignment="0" applyProtection="0"/>
    <xf numFmtId="185" fontId="92" fillId="23" borderId="27" applyNumberFormat="0" applyAlignment="0" applyProtection="0"/>
    <xf numFmtId="185" fontId="92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177" fontId="91" fillId="23" borderId="27" applyNumberFormat="0" applyAlignment="0" applyProtection="0"/>
    <xf numFmtId="0" fontId="91" fillId="23" borderId="27" applyNumberFormat="0" applyAlignment="0" applyProtection="0"/>
    <xf numFmtId="0" fontId="93" fillId="0" borderId="0" applyNumberFormat="0" applyFill="0" applyBorder="0" applyAlignment="0">
      <protection locked="0"/>
    </xf>
    <xf numFmtId="0" fontId="93" fillId="0" borderId="0" applyNumberFormat="0" applyFill="0" applyBorder="0" applyAlignment="0">
      <protection locked="0"/>
    </xf>
    <xf numFmtId="0" fontId="93" fillId="0" borderId="0" applyNumberFormat="0" applyFill="0" applyBorder="0" applyAlignment="0">
      <protection locked="0"/>
    </xf>
    <xf numFmtId="0" fontId="93" fillId="0" borderId="0" applyNumberFormat="0" applyFill="0" applyBorder="0" applyAlignment="0">
      <protection locked="0"/>
    </xf>
    <xf numFmtId="192" fontId="94" fillId="0" borderId="21" applyNumberFormat="0" applyFill="0" applyBorder="0">
      <alignment horizontal="left" vertical="center"/>
    </xf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0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0" fontId="95" fillId="0" borderId="32" applyNumberFormat="0" applyFill="0" applyAlignment="0" applyProtection="0"/>
    <xf numFmtId="0" fontId="95" fillId="0" borderId="32" applyNumberFormat="0" applyFill="0" applyAlignment="0" applyProtection="0"/>
    <xf numFmtId="185" fontId="96" fillId="0" borderId="32" applyNumberFormat="0" applyFill="0" applyAlignment="0" applyProtection="0"/>
    <xf numFmtId="185" fontId="96" fillId="0" borderId="32" applyNumberFormat="0" applyFill="0" applyAlignment="0" applyProtection="0"/>
    <xf numFmtId="185" fontId="96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0" fontId="95" fillId="0" borderId="32" applyNumberFormat="0" applyFill="0" applyAlignment="0" applyProtection="0"/>
    <xf numFmtId="0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77" fontId="95" fillId="0" borderId="32" applyNumberFormat="0" applyFill="0" applyAlignment="0" applyProtection="0"/>
    <xf numFmtId="192" fontId="97" fillId="0" borderId="0"/>
    <xf numFmtId="175" fontId="98" fillId="0" borderId="19">
      <alignment horizontal="right"/>
    </xf>
    <xf numFmtId="38" fontId="99" fillId="0" borderId="0" applyFont="0" applyFill="0" applyBorder="0" applyAlignment="0" applyProtection="0"/>
    <xf numFmtId="40" fontId="99" fillId="0" borderId="0" applyFont="0" applyFill="0" applyBorder="0" applyAlignment="0" applyProtection="0"/>
    <xf numFmtId="6" fontId="99" fillId="0" borderId="0" applyFont="0" applyFill="0" applyBorder="0" applyAlignment="0" applyProtection="0"/>
    <xf numFmtId="8" fontId="99" fillId="0" borderId="0" applyFont="0" applyFill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0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0" fontId="100" fillId="40" borderId="0" applyNumberFormat="0" applyBorder="0" applyAlignment="0" applyProtection="0"/>
    <xf numFmtId="0" fontId="100" fillId="40" borderId="0" applyNumberFormat="0" applyBorder="0" applyAlignment="0" applyProtection="0"/>
    <xf numFmtId="185" fontId="101" fillId="40" borderId="0" applyNumberFormat="0" applyBorder="0" applyAlignment="0" applyProtection="0"/>
    <xf numFmtId="185" fontId="101" fillId="40" borderId="0" applyNumberFormat="0" applyBorder="0" applyAlignment="0" applyProtection="0"/>
    <xf numFmtId="185" fontId="101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0" fontId="100" fillId="40" borderId="0" applyNumberFormat="0" applyBorder="0" applyAlignment="0" applyProtection="0"/>
    <xf numFmtId="0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177" fontId="100" fillId="40" borderId="0" applyNumberFormat="0" applyBorder="0" applyAlignment="0" applyProtection="0"/>
    <xf numFmtId="37" fontId="102" fillId="0" borderId="0"/>
    <xf numFmtId="37" fontId="103" fillId="0" borderId="0"/>
    <xf numFmtId="192" fontId="104" fillId="0" borderId="0"/>
    <xf numFmtId="193" fontId="2" fillId="0" borderId="0"/>
    <xf numFmtId="192" fontId="104" fillId="0" borderId="0"/>
    <xf numFmtId="193" fontId="2" fillId="0" borderId="0"/>
    <xf numFmtId="194" fontId="50" fillId="0" borderId="0"/>
    <xf numFmtId="193" fontId="2" fillId="0" borderId="0"/>
    <xf numFmtId="193" fontId="2" fillId="0" borderId="0"/>
    <xf numFmtId="194" fontId="50" fillId="0" borderId="0"/>
    <xf numFmtId="193" fontId="2" fillId="0" borderId="0"/>
    <xf numFmtId="193" fontId="2" fillId="0" borderId="0"/>
    <xf numFmtId="194" fontId="50" fillId="0" borderId="0"/>
    <xf numFmtId="193" fontId="2" fillId="0" borderId="0"/>
    <xf numFmtId="193" fontId="2" fillId="0" borderId="0"/>
    <xf numFmtId="194" fontId="50" fillId="0" borderId="0"/>
    <xf numFmtId="193" fontId="2" fillId="0" borderId="0"/>
    <xf numFmtId="194" fontId="50" fillId="0" borderId="0"/>
    <xf numFmtId="194" fontId="50" fillId="0" borderId="0"/>
    <xf numFmtId="194" fontId="50" fillId="0" borderId="0"/>
    <xf numFmtId="194" fontId="50" fillId="0" borderId="0"/>
    <xf numFmtId="194" fontId="50" fillId="0" borderId="0"/>
    <xf numFmtId="194" fontId="50" fillId="0" borderId="0"/>
    <xf numFmtId="194" fontId="50" fillId="0" borderId="0"/>
    <xf numFmtId="194" fontId="50" fillId="0" borderId="0"/>
    <xf numFmtId="194" fontId="50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0" fontId="71" fillId="0" borderId="0"/>
    <xf numFmtId="0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177" fontId="7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105" fillId="0" borderId="0"/>
    <xf numFmtId="0" fontId="47" fillId="0" borderId="0"/>
    <xf numFmtId="0" fontId="49" fillId="0" borderId="0"/>
    <xf numFmtId="0" fontId="47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105" fillId="0" borderId="0"/>
    <xf numFmtId="177" fontId="50" fillId="0" borderId="0"/>
    <xf numFmtId="0" fontId="49" fillId="0" borderId="0"/>
    <xf numFmtId="0" fontId="105" fillId="0" borderId="0"/>
    <xf numFmtId="0" fontId="47" fillId="0" borderId="0"/>
    <xf numFmtId="0" fontId="49" fillId="0" borderId="0"/>
    <xf numFmtId="0" fontId="47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105" fillId="0" borderId="0"/>
    <xf numFmtId="177" fontId="50" fillId="0" borderId="0"/>
    <xf numFmtId="0" fontId="49" fillId="0" borderId="0"/>
    <xf numFmtId="0" fontId="105" fillId="0" borderId="0"/>
    <xf numFmtId="0" fontId="47" fillId="0" borderId="0"/>
    <xf numFmtId="0" fontId="49" fillId="0" borderId="0"/>
    <xf numFmtId="0" fontId="47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105" fillId="0" borderId="0"/>
    <xf numFmtId="177" fontId="50" fillId="0" borderId="0"/>
    <xf numFmtId="0" fontId="49" fillId="0" borderId="0"/>
    <xf numFmtId="0" fontId="2" fillId="0" borderId="0"/>
    <xf numFmtId="0" fontId="47" fillId="0" borderId="0"/>
    <xf numFmtId="0" fontId="49" fillId="0" borderId="0"/>
    <xf numFmtId="0" fontId="47" fillId="0" borderId="0"/>
    <xf numFmtId="177" fontId="106" fillId="0" borderId="0"/>
    <xf numFmtId="0" fontId="49" fillId="0" borderId="0"/>
    <xf numFmtId="0" fontId="47" fillId="0" borderId="0"/>
    <xf numFmtId="0" fontId="47" fillId="0" borderId="0"/>
    <xf numFmtId="0" fontId="2" fillId="0" borderId="0"/>
    <xf numFmtId="177" fontId="106" fillId="0" borderId="0"/>
    <xf numFmtId="0" fontId="47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2" fillId="0" borderId="0"/>
    <xf numFmtId="0" fontId="2" fillId="0" borderId="0"/>
    <xf numFmtId="177" fontId="106" fillId="0" borderId="0"/>
    <xf numFmtId="0" fontId="47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2" fillId="0" borderId="0"/>
    <xf numFmtId="0" fontId="2" fillId="0" borderId="0"/>
    <xf numFmtId="177" fontId="2" fillId="0" borderId="0"/>
    <xf numFmtId="0" fontId="47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2" fillId="0" borderId="0"/>
    <xf numFmtId="0" fontId="2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177" fontId="2" fillId="0" borderId="0"/>
    <xf numFmtId="0" fontId="2" fillId="0" borderId="0"/>
    <xf numFmtId="0" fontId="2" fillId="0" borderId="0"/>
    <xf numFmtId="0" fontId="49" fillId="0" borderId="0"/>
    <xf numFmtId="0" fontId="2" fillId="0" borderId="0"/>
    <xf numFmtId="177" fontId="2" fillId="0" borderId="0"/>
    <xf numFmtId="0" fontId="2" fillId="0" borderId="0"/>
    <xf numFmtId="177" fontId="50" fillId="0" borderId="0"/>
    <xf numFmtId="0" fontId="82" fillId="0" borderId="0"/>
    <xf numFmtId="0" fontId="82" fillId="0" borderId="0"/>
    <xf numFmtId="177" fontId="2" fillId="0" borderId="0"/>
    <xf numFmtId="177" fontId="2" fillId="0" borderId="0"/>
    <xf numFmtId="0" fontId="105" fillId="0" borderId="0"/>
    <xf numFmtId="185" fontId="2" fillId="0" borderId="0"/>
    <xf numFmtId="0" fontId="2" fillId="0" borderId="0"/>
    <xf numFmtId="185" fontId="2" fillId="0" borderId="0"/>
    <xf numFmtId="177" fontId="2" fillId="0" borderId="0"/>
    <xf numFmtId="185" fontId="2" fillId="0" borderId="0"/>
    <xf numFmtId="185" fontId="2" fillId="0" borderId="0"/>
    <xf numFmtId="0" fontId="105" fillId="0" borderId="0"/>
    <xf numFmtId="177" fontId="50" fillId="0" borderId="0"/>
    <xf numFmtId="0" fontId="105" fillId="0" borderId="0"/>
    <xf numFmtId="177" fontId="50" fillId="0" borderId="0"/>
    <xf numFmtId="177" fontId="50" fillId="0" borderId="0"/>
    <xf numFmtId="177" fontId="2" fillId="0" borderId="0"/>
    <xf numFmtId="0" fontId="105" fillId="0" borderId="0"/>
    <xf numFmtId="0" fontId="107" fillId="0" borderId="0"/>
    <xf numFmtId="0" fontId="107" fillId="0" borderId="0"/>
    <xf numFmtId="177" fontId="2" fillId="0" borderId="0"/>
    <xf numFmtId="0" fontId="105" fillId="0" borderId="0"/>
    <xf numFmtId="0" fontId="49" fillId="0" borderId="0"/>
    <xf numFmtId="0" fontId="105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177" fontId="2" fillId="0" borderId="0"/>
    <xf numFmtId="0" fontId="105" fillId="0" borderId="0"/>
    <xf numFmtId="0" fontId="47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2" fillId="0" borderId="0"/>
    <xf numFmtId="0" fontId="2" fillId="0" borderId="0"/>
    <xf numFmtId="177" fontId="2" fillId="0" borderId="0"/>
    <xf numFmtId="0" fontId="47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0" fontId="2" fillId="0" borderId="0"/>
    <xf numFmtId="0" fontId="2" fillId="0" borderId="0"/>
    <xf numFmtId="0" fontId="47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2" fillId="0" borderId="0"/>
    <xf numFmtId="0" fontId="2" fillId="0" borderId="0"/>
    <xf numFmtId="177" fontId="106" fillId="0" borderId="0"/>
    <xf numFmtId="0" fontId="47" fillId="0" borderId="0"/>
    <xf numFmtId="185" fontId="2" fillId="0" borderId="0"/>
    <xf numFmtId="185" fontId="2" fillId="0" borderId="0"/>
    <xf numFmtId="0" fontId="106" fillId="0" borderId="0"/>
    <xf numFmtId="0" fontId="49" fillId="0" borderId="0"/>
    <xf numFmtId="0" fontId="49" fillId="0" borderId="0"/>
    <xf numFmtId="0" fontId="49" fillId="0" borderId="0"/>
    <xf numFmtId="0" fontId="47" fillId="0" borderId="0"/>
    <xf numFmtId="0" fontId="106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48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48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48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48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48" fillId="0" borderId="0"/>
    <xf numFmtId="0" fontId="49" fillId="0" borderId="0"/>
    <xf numFmtId="0" fontId="47" fillId="0" borderId="0"/>
    <xf numFmtId="0" fontId="49" fillId="0" borderId="0"/>
    <xf numFmtId="0" fontId="47" fillId="0" borderId="0"/>
    <xf numFmtId="0" fontId="48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177" fontId="2" fillId="0" borderId="0"/>
    <xf numFmtId="0" fontId="2" fillId="0" borderId="0"/>
    <xf numFmtId="0" fontId="2" fillId="0" borderId="0"/>
    <xf numFmtId="0" fontId="2" fillId="0" borderId="0"/>
    <xf numFmtId="0" fontId="47" fillId="0" borderId="0"/>
    <xf numFmtId="0" fontId="49" fillId="0" borderId="0"/>
    <xf numFmtId="0" fontId="47" fillId="0" borderId="0"/>
    <xf numFmtId="0" fontId="48" fillId="0" borderId="0"/>
    <xf numFmtId="0" fontId="49" fillId="0" borderId="0"/>
    <xf numFmtId="0" fontId="47" fillId="0" borderId="0"/>
    <xf numFmtId="0" fontId="49" fillId="0" borderId="0"/>
    <xf numFmtId="0" fontId="47" fillId="0" borderId="0"/>
    <xf numFmtId="0" fontId="48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2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2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2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2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2" fillId="0" borderId="0"/>
    <xf numFmtId="0" fontId="49" fillId="0" borderId="0"/>
    <xf numFmtId="0" fontId="47" fillId="0" borderId="0"/>
    <xf numFmtId="0" fontId="49" fillId="0" borderId="0"/>
    <xf numFmtId="0" fontId="49" fillId="0" borderId="0"/>
    <xf numFmtId="0" fontId="2" fillId="0" borderId="0"/>
    <xf numFmtId="0" fontId="47" fillId="0" borderId="0"/>
    <xf numFmtId="0" fontId="2" fillId="0" borderId="0"/>
    <xf numFmtId="0" fontId="49" fillId="0" borderId="0"/>
    <xf numFmtId="0" fontId="47" fillId="0" borderId="0"/>
    <xf numFmtId="0" fontId="2" fillId="0" borderId="0"/>
    <xf numFmtId="0" fontId="47" fillId="0" borderId="0"/>
    <xf numFmtId="0" fontId="47" fillId="0" borderId="0"/>
    <xf numFmtId="0" fontId="2" fillId="0" borderId="0"/>
    <xf numFmtId="0" fontId="47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2" fillId="0" borderId="0"/>
    <xf numFmtId="177" fontId="106" fillId="0" borderId="0"/>
    <xf numFmtId="0" fontId="49" fillId="0" borderId="0"/>
    <xf numFmtId="0" fontId="47" fillId="0" borderId="0"/>
    <xf numFmtId="0" fontId="105" fillId="0" borderId="0"/>
    <xf numFmtId="0" fontId="105" fillId="0" borderId="0"/>
    <xf numFmtId="0" fontId="106" fillId="0" borderId="0"/>
    <xf numFmtId="0" fontId="47" fillId="0" borderId="0"/>
    <xf numFmtId="0" fontId="106" fillId="0" borderId="0"/>
    <xf numFmtId="0" fontId="47" fillId="0" borderId="0"/>
    <xf numFmtId="0" fontId="105" fillId="0" borderId="0"/>
    <xf numFmtId="0" fontId="47" fillId="0" borderId="0"/>
    <xf numFmtId="0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177" fontId="50" fillId="0" borderId="0"/>
    <xf numFmtId="0" fontId="48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177" fontId="2" fillId="0" borderId="0"/>
    <xf numFmtId="0" fontId="2" fillId="0" borderId="0"/>
    <xf numFmtId="177" fontId="106" fillId="0" borderId="0"/>
    <xf numFmtId="0" fontId="48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0" fontId="49" fillId="0" borderId="0"/>
    <xf numFmtId="177" fontId="50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8" fillId="0" borderId="0"/>
    <xf numFmtId="0" fontId="48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0" fontId="49" fillId="0" borderId="0"/>
    <xf numFmtId="177" fontId="106" fillId="0" borderId="0"/>
    <xf numFmtId="0" fontId="2" fillId="0" borderId="0"/>
    <xf numFmtId="0" fontId="49" fillId="0" borderId="0"/>
    <xf numFmtId="0" fontId="49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8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2" fillId="0" borderId="0"/>
    <xf numFmtId="0" fontId="49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177" fontId="106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0" fontId="105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0" fontId="2" fillId="41" borderId="33" applyNumberFormat="0" applyFont="0" applyAlignment="0" applyProtection="0"/>
    <xf numFmtId="0" fontId="2" fillId="41" borderId="33" applyNumberFormat="0" applyFont="0" applyAlignment="0" applyProtection="0"/>
    <xf numFmtId="0" fontId="105" fillId="41" borderId="33" applyNumberFormat="0" applyFont="0" applyAlignment="0" applyProtection="0"/>
    <xf numFmtId="0" fontId="2" fillId="41" borderId="33" applyNumberFormat="0" applyFont="0" applyAlignment="0" applyProtection="0"/>
    <xf numFmtId="0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0" fontId="105" fillId="41" borderId="33" applyNumberFormat="0" applyFont="0" applyAlignment="0" applyProtection="0"/>
    <xf numFmtId="0" fontId="105" fillId="41" borderId="33" applyNumberFormat="0" applyFont="0" applyAlignment="0" applyProtection="0"/>
    <xf numFmtId="0" fontId="105" fillId="41" borderId="33" applyNumberFormat="0" applyFont="0" applyAlignment="0" applyProtection="0"/>
    <xf numFmtId="0" fontId="105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0" fontId="2" fillId="41" borderId="33" applyNumberFormat="0" applyFont="0" applyAlignment="0" applyProtection="0"/>
    <xf numFmtId="0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2" fillId="41" borderId="33" applyNumberFormat="0" applyFon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0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0" fontId="108" fillId="36" borderId="34" applyNumberFormat="0" applyAlignment="0" applyProtection="0"/>
    <xf numFmtId="0" fontId="108" fillId="36" borderId="34" applyNumberFormat="0" applyAlignment="0" applyProtection="0"/>
    <xf numFmtId="185" fontId="109" fillId="36" borderId="34" applyNumberFormat="0" applyAlignment="0" applyProtection="0"/>
    <xf numFmtId="185" fontId="109" fillId="36" borderId="34" applyNumberFormat="0" applyAlignment="0" applyProtection="0"/>
    <xf numFmtId="185" fontId="109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0" fontId="108" fillId="36" borderId="34" applyNumberFormat="0" applyAlignment="0" applyProtection="0"/>
    <xf numFmtId="0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177" fontId="108" fillId="36" borderId="34" applyNumberFormat="0" applyAlignment="0" applyProtection="0"/>
    <xf numFmtId="0" fontId="98" fillId="0" borderId="35" applyNumberFormat="0" applyAlignment="0" applyProtection="0"/>
    <xf numFmtId="0" fontId="105" fillId="42" borderId="0" applyNumberFormat="0" applyFont="0" applyBorder="0" applyAlignment="0" applyProtection="0"/>
    <xf numFmtId="0" fontId="82" fillId="43" borderId="13" applyNumberFormat="0" applyFont="0" applyBorder="0" applyAlignment="0" applyProtection="0">
      <alignment horizontal="center"/>
    </xf>
    <xf numFmtId="0" fontId="82" fillId="43" borderId="13" applyNumberFormat="0" applyFont="0" applyBorder="0" applyAlignment="0" applyProtection="0">
      <alignment horizontal="center"/>
    </xf>
    <xf numFmtId="0" fontId="82" fillId="44" borderId="13" applyNumberFormat="0" applyFont="0" applyBorder="0" applyAlignment="0" applyProtection="0">
      <alignment horizontal="center"/>
    </xf>
    <xf numFmtId="0" fontId="82" fillId="44" borderId="13" applyNumberFormat="0" applyFont="0" applyBorder="0" applyAlignment="0" applyProtection="0">
      <alignment horizontal="center"/>
    </xf>
    <xf numFmtId="0" fontId="105" fillId="0" borderId="36" applyNumberFormat="0" applyAlignment="0" applyProtection="0"/>
    <xf numFmtId="0" fontId="105" fillId="0" borderId="37" applyNumberFormat="0" applyAlignment="0" applyProtection="0"/>
    <xf numFmtId="0" fontId="98" fillId="0" borderId="38" applyNumberFormat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99" fillId="0" borderId="39" applyNumberFormat="0" applyBorder="0"/>
    <xf numFmtId="3" fontId="110" fillId="0" borderId="0" applyNumberFormat="0" applyFill="0" applyBorder="0" applyAlignment="0" applyProtection="0"/>
    <xf numFmtId="1" fontId="2" fillId="0" borderId="13" applyNumberFormat="0" applyFill="0" applyAlignment="0" applyProtection="0">
      <alignment horizontal="center" vertical="center"/>
    </xf>
    <xf numFmtId="195" fontId="111" fillId="0" borderId="0" applyNumberFormat="0" applyFill="0" applyBorder="0" applyAlignment="0" applyProtection="0">
      <alignment horizontal="left"/>
    </xf>
    <xf numFmtId="196" fontId="2" fillId="0" borderId="0">
      <alignment horizontal="center"/>
    </xf>
    <xf numFmtId="0" fontId="112" fillId="0" borderId="10">
      <alignment horizontal="center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112" fillId="0" borderId="0">
      <alignment horizontal="center" vertical="center"/>
    </xf>
    <xf numFmtId="0" fontId="113" fillId="45" borderId="0" applyNumberFormat="0" applyFill="0">
      <alignment horizontal="left" vertical="center"/>
    </xf>
    <xf numFmtId="40" fontId="114" fillId="0" borderId="0" applyBorder="0">
      <alignment horizontal="right"/>
    </xf>
    <xf numFmtId="197" fontId="115" fillId="0" borderId="40">
      <alignment horizontal="center"/>
    </xf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185" fontId="117" fillId="0" borderId="0" applyNumberFormat="0" applyFill="0" applyBorder="0" applyAlignment="0" applyProtection="0"/>
    <xf numFmtId="185" fontId="117" fillId="0" borderId="0" applyNumberFormat="0" applyFill="0" applyBorder="0" applyAlignment="0" applyProtection="0"/>
    <xf numFmtId="185" fontId="117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6" fillId="0" borderId="0" applyNumberFormat="0" applyFill="0" applyBorder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0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0" fontId="118" fillId="0" borderId="41" applyNumberFormat="0" applyFill="0" applyAlignment="0" applyProtection="0"/>
    <xf numFmtId="0" fontId="118" fillId="0" borderId="41" applyNumberFormat="0" applyFill="0" applyAlignment="0" applyProtection="0"/>
    <xf numFmtId="185" fontId="119" fillId="0" borderId="41" applyNumberFormat="0" applyFill="0" applyAlignment="0" applyProtection="0"/>
    <xf numFmtId="185" fontId="119" fillId="0" borderId="41" applyNumberFormat="0" applyFill="0" applyAlignment="0" applyProtection="0"/>
    <xf numFmtId="185" fontId="119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0" fontId="118" fillId="0" borderId="41" applyNumberFormat="0" applyFill="0" applyAlignment="0" applyProtection="0"/>
    <xf numFmtId="0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18" fillId="0" borderId="41" applyNumberFormat="0" applyFill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85" fontId="121" fillId="0" borderId="0" applyNumberFormat="0" applyFill="0" applyBorder="0" applyAlignment="0" applyProtection="0"/>
    <xf numFmtId="185" fontId="121" fillId="0" borderId="0" applyNumberFormat="0" applyFill="0" applyBorder="0" applyAlignment="0" applyProtection="0"/>
    <xf numFmtId="185" fontId="121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77" fontId="120" fillId="0" borderId="0" applyNumberFormat="0" applyFill="0" applyBorder="0" applyAlignment="0" applyProtection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77" fontId="122" fillId="0" borderId="0"/>
    <xf numFmtId="9" fontId="2" fillId="0" borderId="0" applyFont="0" applyFill="0" applyBorder="0" applyAlignment="0" applyProtection="0"/>
    <xf numFmtId="177" fontId="123" fillId="0" borderId="0" applyProtection="0">
      <alignment vertical="top"/>
    </xf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/>
    <xf numFmtId="0" fontId="59" fillId="32" borderId="0" applyNumberFormat="0" applyBorder="0" applyAlignment="0" applyProtection="0">
      <alignment vertical="center"/>
    </xf>
    <xf numFmtId="0" fontId="59" fillId="33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29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5" fillId="36" borderId="27" applyNumberFormat="0" applyAlignment="0" applyProtection="0">
      <alignment vertical="center"/>
    </xf>
    <xf numFmtId="0" fontId="126" fillId="19" borderId="0" applyNumberFormat="0" applyBorder="0" applyAlignment="0" applyProtection="0">
      <alignment vertical="center"/>
    </xf>
    <xf numFmtId="0" fontId="2" fillId="41" borderId="33" applyNumberFormat="0" applyFont="0" applyAlignment="0" applyProtection="0">
      <alignment vertical="center"/>
    </xf>
    <xf numFmtId="0" fontId="2" fillId="41" borderId="33" applyNumberFormat="0" applyFont="0" applyAlignment="0" applyProtection="0">
      <alignment vertical="center"/>
    </xf>
    <xf numFmtId="0" fontId="2" fillId="41" borderId="33" applyNumberFormat="0" applyFont="0" applyAlignment="0" applyProtection="0">
      <alignment vertical="center"/>
    </xf>
    <xf numFmtId="0" fontId="2" fillId="41" borderId="33" applyNumberFormat="0" applyFont="0" applyAlignment="0" applyProtection="0">
      <alignment vertical="center"/>
    </xf>
    <xf numFmtId="0" fontId="127" fillId="40" borderId="0" applyNumberFormat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9" fillId="37" borderId="28" applyNumberFormat="0" applyAlignment="0" applyProtection="0">
      <alignment vertical="center"/>
    </xf>
    <xf numFmtId="0" fontId="130" fillId="0" borderId="32" applyNumberFormat="0" applyFill="0" applyAlignment="0" applyProtection="0">
      <alignment vertical="center"/>
    </xf>
    <xf numFmtId="0" fontId="131" fillId="0" borderId="41" applyNumberFormat="0" applyFill="0" applyAlignment="0" applyProtection="0">
      <alignment vertical="center"/>
    </xf>
    <xf numFmtId="0" fontId="132" fillId="23" borderId="27" applyNumberFormat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4" fillId="0" borderId="29" applyNumberFormat="0" applyFill="0" applyAlignment="0" applyProtection="0">
      <alignment vertical="center"/>
    </xf>
    <xf numFmtId="0" fontId="135" fillId="0" borderId="30" applyNumberFormat="0" applyFill="0" applyAlignment="0" applyProtection="0">
      <alignment vertical="center"/>
    </xf>
    <xf numFmtId="0" fontId="136" fillId="0" borderId="31" applyNumberFormat="0" applyFill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20" borderId="0" applyNumberFormat="0" applyBorder="0" applyAlignment="0" applyProtection="0">
      <alignment vertical="center"/>
    </xf>
    <xf numFmtId="0" fontId="138" fillId="36" borderId="34" applyNumberFormat="0" applyAlignment="0" applyProtection="0">
      <alignment vertical="center"/>
    </xf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2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49" fillId="0" borderId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8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0"/>
    <xf numFmtId="0" fontId="49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6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157" fillId="0" borderId="0"/>
    <xf numFmtId="0" fontId="157" fillId="0" borderId="0"/>
    <xf numFmtId="43" fontId="47" fillId="0" borderId="0" applyFont="0" applyFill="0" applyBorder="0" applyAlignment="0" applyProtection="0"/>
    <xf numFmtId="0" fontId="1" fillId="0" borderId="0"/>
    <xf numFmtId="0" fontId="47" fillId="0" borderId="0"/>
    <xf numFmtId="43" fontId="47" fillId="0" borderId="0" applyFont="0" applyFill="0" applyBorder="0" applyAlignment="0" applyProtection="0"/>
    <xf numFmtId="0" fontId="50" fillId="0" borderId="0"/>
    <xf numFmtId="0" fontId="50" fillId="0" borderId="0"/>
  </cellStyleXfs>
  <cellXfs count="766">
    <xf numFmtId="0" fontId="0" fillId="0" borderId="0" xfId="0"/>
    <xf numFmtId="0" fontId="3" fillId="0" borderId="0" xfId="1" applyFont="1" applyFill="1" applyAlignment="1">
      <alignment vertical="center"/>
    </xf>
    <xf numFmtId="0" fontId="4" fillId="0" borderId="0" xfId="1" applyFont="1" applyFill="1" applyAlignment="1">
      <alignment vertical="center"/>
    </xf>
    <xf numFmtId="0" fontId="5" fillId="0" borderId="0" xfId="1" applyFont="1" applyFill="1" applyAlignment="1">
      <alignment vertical="center"/>
    </xf>
    <xf numFmtId="0" fontId="6" fillId="0" borderId="0" xfId="1" applyFont="1" applyFill="1" applyAlignment="1">
      <alignment horizontal="center" vertical="center"/>
    </xf>
    <xf numFmtId="0" fontId="5" fillId="0" borderId="0" xfId="1" applyFont="1" applyFill="1" applyAlignment="1">
      <alignment horizontal="left" vertical="center"/>
    </xf>
    <xf numFmtId="0" fontId="8" fillId="2" borderId="0" xfId="1" applyFont="1" applyFill="1" applyBorder="1" applyAlignment="1">
      <alignment horizontal="center" vertical="center"/>
    </xf>
    <xf numFmtId="0" fontId="3" fillId="3" borderId="0" xfId="1" applyFont="1" applyFill="1" applyBorder="1" applyAlignment="1">
      <alignment vertical="center"/>
    </xf>
    <xf numFmtId="0" fontId="3" fillId="2" borderId="0" xfId="1" applyFont="1" applyFill="1" applyBorder="1" applyAlignment="1">
      <alignment vertical="center"/>
    </xf>
    <xf numFmtId="0" fontId="9" fillId="4" borderId="1" xfId="1" applyFont="1" applyFill="1" applyBorder="1" applyAlignment="1">
      <alignment vertical="center"/>
    </xf>
    <xf numFmtId="0" fontId="10" fillId="4" borderId="2" xfId="1" applyFont="1" applyFill="1" applyBorder="1" applyAlignment="1">
      <alignment vertical="center"/>
    </xf>
    <xf numFmtId="0" fontId="6" fillId="4" borderId="2" xfId="1" applyFont="1" applyFill="1" applyBorder="1" applyAlignment="1">
      <alignment vertical="center"/>
    </xf>
    <xf numFmtId="0" fontId="10" fillId="4" borderId="2" xfId="1" applyFont="1" applyFill="1" applyBorder="1" applyAlignment="1">
      <alignment horizontal="left" vertical="center"/>
    </xf>
    <xf numFmtId="0" fontId="3" fillId="0" borderId="0" xfId="1" applyFont="1" applyFill="1" applyBorder="1" applyAlignment="1">
      <alignment vertical="center"/>
    </xf>
    <xf numFmtId="0" fontId="3" fillId="0" borderId="0" xfId="1" applyFont="1" applyFill="1" applyBorder="1" applyAlignment="1">
      <alignment horizontal="center" vertical="center"/>
    </xf>
    <xf numFmtId="0" fontId="4" fillId="0" borderId="0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3" fillId="0" borderId="0" xfId="1" applyFont="1" applyFill="1" applyBorder="1" applyAlignment="1">
      <alignment horizontal="left" vertical="center"/>
    </xf>
    <xf numFmtId="0" fontId="4" fillId="4" borderId="4" xfId="1" applyFont="1" applyFill="1" applyBorder="1" applyAlignment="1">
      <alignment horizontal="center" vertical="center"/>
    </xf>
    <xf numFmtId="0" fontId="11" fillId="4" borderId="5" xfId="1" applyFont="1" applyFill="1" applyBorder="1" applyAlignment="1">
      <alignment horizontal="center" vertical="center"/>
    </xf>
    <xf numFmtId="0" fontId="3" fillId="4" borderId="5" xfId="1" applyFont="1" applyFill="1" applyBorder="1" applyAlignment="1">
      <alignment horizontal="center" vertical="center"/>
    </xf>
    <xf numFmtId="0" fontId="6" fillId="4" borderId="5" xfId="1" applyFont="1" applyFill="1" applyBorder="1" applyAlignment="1">
      <alignment horizontal="center" vertical="center"/>
    </xf>
    <xf numFmtId="0" fontId="3" fillId="4" borderId="6" xfId="1" applyFont="1" applyFill="1" applyBorder="1" applyAlignment="1">
      <alignment horizontal="left" vertical="center"/>
    </xf>
    <xf numFmtId="0" fontId="8" fillId="4" borderId="5" xfId="1" applyFont="1" applyFill="1" applyBorder="1" applyAlignment="1">
      <alignment horizontal="center" vertical="center"/>
    </xf>
    <xf numFmtId="0" fontId="8" fillId="4" borderId="6" xfId="1" applyFont="1" applyFill="1" applyBorder="1" applyAlignment="1">
      <alignment horizontal="center" vertical="center"/>
    </xf>
    <xf numFmtId="0" fontId="12" fillId="0" borderId="7" xfId="1" applyFont="1" applyFill="1" applyBorder="1" applyAlignment="1">
      <alignment horizontal="center" vertical="center" wrapText="1"/>
    </xf>
    <xf numFmtId="2" fontId="13" fillId="5" borderId="8" xfId="1" applyNumberFormat="1" applyFont="1" applyFill="1" applyBorder="1" applyAlignment="1">
      <alignment horizontal="center" vertical="center" wrapText="1"/>
    </xf>
    <xf numFmtId="2" fontId="3" fillId="0" borderId="9" xfId="1" applyNumberFormat="1" applyFont="1" applyFill="1" applyBorder="1" applyAlignment="1">
      <alignment horizontal="center" vertical="center" wrapText="1"/>
    </xf>
    <xf numFmtId="2" fontId="13" fillId="6" borderId="8" xfId="1" applyNumberFormat="1" applyFont="1" applyFill="1" applyBorder="1" applyAlignment="1">
      <alignment horizontal="center" vertical="center" wrapText="1"/>
    </xf>
    <xf numFmtId="2" fontId="14" fillId="0" borderId="10" xfId="1" applyNumberFormat="1" applyFont="1" applyFill="1" applyBorder="1" applyAlignment="1">
      <alignment horizontal="center" vertical="center" wrapText="1"/>
    </xf>
    <xf numFmtId="2" fontId="15" fillId="0" borderId="10" xfId="1" applyNumberFormat="1" applyFont="1" applyFill="1" applyBorder="1" applyAlignment="1">
      <alignment horizontal="center" vertical="center" wrapText="1"/>
    </xf>
    <xf numFmtId="0" fontId="12" fillId="0" borderId="11" xfId="1" applyFont="1" applyFill="1" applyBorder="1" applyAlignment="1">
      <alignment horizontal="center" vertical="center" wrapText="1"/>
    </xf>
    <xf numFmtId="0" fontId="6" fillId="0" borderId="10" xfId="1" applyFont="1" applyFill="1" applyBorder="1" applyAlignment="1">
      <alignment horizontal="center" vertical="center"/>
    </xf>
    <xf numFmtId="0" fontId="12" fillId="0" borderId="12" xfId="1" quotePrefix="1" applyFont="1" applyFill="1" applyBorder="1" applyAlignment="1">
      <alignment horizontal="center" vertical="center" wrapText="1"/>
    </xf>
    <xf numFmtId="2" fontId="17" fillId="4" borderId="13" xfId="2" applyNumberFormat="1" applyFont="1" applyFill="1" applyBorder="1" applyAlignment="1">
      <alignment horizontal="center" vertical="center"/>
    </xf>
    <xf numFmtId="0" fontId="19" fillId="0" borderId="10" xfId="1" applyFont="1" applyFill="1" applyBorder="1" applyAlignment="1">
      <alignment horizontal="center" vertical="center" wrapText="1"/>
    </xf>
    <xf numFmtId="172" fontId="6" fillId="0" borderId="10" xfId="1" applyNumberFormat="1" applyFont="1" applyFill="1" applyBorder="1" applyAlignment="1">
      <alignment horizontal="center" vertical="center"/>
    </xf>
    <xf numFmtId="0" fontId="19" fillId="0" borderId="0" xfId="1" applyFont="1" applyFill="1" applyBorder="1" applyAlignment="1">
      <alignment horizontal="center" vertical="center" wrapText="1"/>
    </xf>
    <xf numFmtId="0" fontId="20" fillId="0" borderId="10" xfId="1" applyFont="1" applyFill="1" applyBorder="1" applyAlignment="1">
      <alignment horizontal="center" vertical="center" wrapText="1"/>
    </xf>
    <xf numFmtId="0" fontId="20" fillId="0" borderId="15" xfId="1" applyFont="1" applyFill="1" applyBorder="1" applyAlignment="1">
      <alignment horizontal="center" vertical="center" wrapText="1"/>
    </xf>
    <xf numFmtId="0" fontId="20" fillId="7" borderId="10" xfId="1" applyFont="1" applyFill="1" applyBorder="1" applyAlignment="1">
      <alignment horizontal="center" vertical="center" wrapText="1"/>
    </xf>
    <xf numFmtId="167" fontId="22" fillId="9" borderId="17" xfId="3" applyFont="1" applyFill="1" applyBorder="1" applyAlignment="1">
      <alignment horizontal="center" vertical="center"/>
    </xf>
    <xf numFmtId="2" fontId="23" fillId="9" borderId="0" xfId="0" applyNumberFormat="1" applyFont="1" applyFill="1" applyAlignment="1">
      <alignment horizontal="center" vertical="center"/>
    </xf>
    <xf numFmtId="2" fontId="6" fillId="9" borderId="17" xfId="3" applyNumberFormat="1" applyFont="1" applyFill="1" applyBorder="1" applyAlignment="1">
      <alignment horizontal="center" vertical="center"/>
    </xf>
    <xf numFmtId="2" fontId="21" fillId="9" borderId="10" xfId="3" applyNumberFormat="1" applyFont="1" applyFill="1" applyBorder="1" applyAlignment="1">
      <alignment horizontal="center" vertical="center"/>
    </xf>
    <xf numFmtId="0" fontId="25" fillId="3" borderId="0" xfId="1" applyFont="1" applyFill="1" applyBorder="1" applyAlignment="1">
      <alignment vertical="center"/>
    </xf>
    <xf numFmtId="0" fontId="25" fillId="0" borderId="0" xfId="1" applyFont="1" applyFill="1" applyBorder="1" applyAlignment="1">
      <alignment vertical="center"/>
    </xf>
    <xf numFmtId="169" fontId="12" fillId="0" borderId="7" xfId="1" applyNumberFormat="1" applyFont="1" applyFill="1" applyBorder="1" applyAlignment="1">
      <alignment horizontal="center" vertical="center"/>
    </xf>
    <xf numFmtId="172" fontId="6" fillId="11" borderId="10" xfId="1" applyNumberFormat="1" applyFont="1" applyFill="1" applyBorder="1" applyAlignment="1">
      <alignment horizontal="center" vertical="center"/>
    </xf>
    <xf numFmtId="2" fontId="26" fillId="11" borderId="8" xfId="1" applyNumberFormat="1" applyFont="1" applyFill="1" applyBorder="1" applyAlignment="1">
      <alignment horizontal="center" vertical="center"/>
    </xf>
    <xf numFmtId="173" fontId="27" fillId="11" borderId="10" xfId="1" applyNumberFormat="1" applyFont="1" applyFill="1" applyBorder="1" applyAlignment="1">
      <alignment horizontal="center" vertical="center"/>
    </xf>
    <xf numFmtId="173" fontId="14" fillId="11" borderId="8" xfId="1" quotePrefix="1" applyNumberFormat="1" applyFont="1" applyFill="1" applyBorder="1" applyAlignment="1">
      <alignment horizontal="center" vertical="center"/>
    </xf>
    <xf numFmtId="173" fontId="27" fillId="11" borderId="8" xfId="1" quotePrefix="1" applyNumberFormat="1" applyFont="1" applyFill="1" applyBorder="1" applyAlignment="1">
      <alignment horizontal="center" vertical="center"/>
    </xf>
    <xf numFmtId="172" fontId="14" fillId="11" borderId="10" xfId="1" applyNumberFormat="1" applyFont="1" applyFill="1" applyBorder="1" applyAlignment="1">
      <alignment horizontal="center" vertical="center"/>
    </xf>
    <xf numFmtId="173" fontId="27" fillId="7" borderId="8" xfId="1" applyNumberFormat="1" applyFont="1" applyFill="1" applyBorder="1" applyAlignment="1">
      <alignment horizontal="center" vertical="center"/>
    </xf>
    <xf numFmtId="172" fontId="7" fillId="11" borderId="8" xfId="1" applyNumberFormat="1" applyFont="1" applyFill="1" applyBorder="1" applyAlignment="1">
      <alignment horizontal="center" vertical="center"/>
    </xf>
    <xf numFmtId="173" fontId="27" fillId="11" borderId="8" xfId="1" applyNumberFormat="1" applyFont="1" applyFill="1" applyBorder="1" applyAlignment="1">
      <alignment horizontal="center" vertical="center"/>
    </xf>
    <xf numFmtId="173" fontId="14" fillId="11" borderId="8" xfId="1" applyNumberFormat="1" applyFont="1" applyFill="1" applyBorder="1" applyAlignment="1">
      <alignment horizontal="center" vertical="center"/>
    </xf>
    <xf numFmtId="167" fontId="29" fillId="0" borderId="18" xfId="1" applyNumberFormat="1" applyFont="1" applyFill="1" applyBorder="1" applyAlignment="1">
      <alignment horizontal="center" vertical="center"/>
    </xf>
    <xf numFmtId="172" fontId="30" fillId="0" borderId="18" xfId="1" applyNumberFormat="1" applyFont="1" applyFill="1" applyBorder="1" applyAlignment="1">
      <alignment horizontal="center" vertical="center"/>
    </xf>
    <xf numFmtId="2" fontId="31" fillId="0" borderId="18" xfId="1" applyNumberFormat="1" applyFont="1" applyFill="1" applyBorder="1" applyAlignment="1">
      <alignment horizontal="left" vertical="center"/>
    </xf>
    <xf numFmtId="0" fontId="29" fillId="3" borderId="0" xfId="1" applyFont="1" applyFill="1" applyBorder="1" applyAlignment="1">
      <alignment vertical="center"/>
    </xf>
    <xf numFmtId="0" fontId="29" fillId="2" borderId="0" xfId="1" applyFont="1" applyFill="1" applyBorder="1" applyAlignment="1">
      <alignment vertical="center"/>
    </xf>
    <xf numFmtId="2" fontId="34" fillId="0" borderId="13" xfId="1" applyNumberFormat="1" applyFont="1" applyFill="1" applyBorder="1" applyAlignment="1">
      <alignment horizontal="center" vertical="center"/>
    </xf>
    <xf numFmtId="167" fontId="4" fillId="4" borderId="5" xfId="1" applyNumberFormat="1" applyFont="1" applyFill="1" applyBorder="1" applyAlignment="1">
      <alignment horizontal="left" vertical="center"/>
    </xf>
    <xf numFmtId="167" fontId="3" fillId="4" borderId="5" xfId="1" applyNumberFormat="1" applyFont="1" applyFill="1" applyBorder="1" applyAlignment="1">
      <alignment horizontal="right" vertical="center"/>
    </xf>
    <xf numFmtId="172" fontId="33" fillId="4" borderId="5" xfId="1" applyNumberFormat="1" applyFont="1" applyFill="1" applyBorder="1" applyAlignment="1">
      <alignment horizontal="center" vertical="center"/>
    </xf>
    <xf numFmtId="2" fontId="32" fillId="4" borderId="6" xfId="1" applyNumberFormat="1" applyFont="1" applyFill="1" applyBorder="1" applyAlignment="1">
      <alignment horizontal="left" vertical="center"/>
    </xf>
    <xf numFmtId="2" fontId="17" fillId="0" borderId="12" xfId="1" applyNumberFormat="1" applyFont="1" applyFill="1" applyBorder="1" applyAlignment="1">
      <alignment horizontal="center" vertical="center" wrapText="1"/>
    </xf>
    <xf numFmtId="2" fontId="6" fillId="0" borderId="12" xfId="1" applyNumberFormat="1" applyFont="1" applyFill="1" applyBorder="1" applyAlignment="1">
      <alignment horizontal="center" vertical="center" wrapText="1"/>
    </xf>
    <xf numFmtId="171" fontId="18" fillId="0" borderId="8" xfId="3" applyNumberFormat="1" applyFont="1" applyFill="1" applyBorder="1" applyAlignment="1">
      <alignment horizontal="right" vertical="center"/>
    </xf>
    <xf numFmtId="2" fontId="18" fillId="0" borderId="14" xfId="3" applyNumberFormat="1" applyFont="1" applyFill="1" applyBorder="1" applyAlignment="1">
      <alignment horizontal="right" vertical="center"/>
    </xf>
    <xf numFmtId="172" fontId="6" fillId="0" borderId="0" xfId="1" applyNumberFormat="1" applyFont="1" applyFill="1" applyBorder="1" applyAlignment="1">
      <alignment horizontal="center" vertical="center"/>
    </xf>
    <xf numFmtId="167" fontId="35" fillId="0" borderId="0" xfId="3" applyFont="1" applyFill="1" applyBorder="1" applyAlignment="1">
      <alignment horizontal="left" vertical="center"/>
    </xf>
    <xf numFmtId="174" fontId="19" fillId="0" borderId="10" xfId="1" applyNumberFormat="1" applyFont="1" applyFill="1" applyBorder="1" applyAlignment="1">
      <alignment horizontal="center" vertical="center" wrapText="1"/>
    </xf>
    <xf numFmtId="167" fontId="22" fillId="9" borderId="17" xfId="3" applyFont="1" applyFill="1" applyBorder="1" applyAlignment="1">
      <alignment horizontal="left" vertical="center"/>
    </xf>
    <xf numFmtId="2" fontId="21" fillId="9" borderId="0" xfId="0" applyNumberFormat="1" applyFont="1" applyFill="1" applyAlignment="1">
      <alignment horizontal="center" vertical="center"/>
    </xf>
    <xf numFmtId="0" fontId="25" fillId="12" borderId="0" xfId="1" applyFont="1" applyFill="1" applyBorder="1" applyAlignment="1">
      <alignment vertical="center"/>
    </xf>
    <xf numFmtId="172" fontId="4" fillId="11" borderId="8" xfId="1" applyNumberFormat="1" applyFont="1" applyFill="1" applyBorder="1" applyAlignment="1">
      <alignment horizontal="center" vertical="center"/>
    </xf>
    <xf numFmtId="172" fontId="14" fillId="11" borderId="8" xfId="1" applyNumberFormat="1" applyFont="1" applyFill="1" applyBorder="1" applyAlignment="1">
      <alignment horizontal="center" vertical="center"/>
    </xf>
    <xf numFmtId="2" fontId="26" fillId="11" borderId="8" xfId="1" applyNumberFormat="1" applyFont="1" applyFill="1" applyBorder="1" applyAlignment="1">
      <alignment horizontal="right" vertical="center"/>
    </xf>
    <xf numFmtId="172" fontId="6" fillId="11" borderId="13" xfId="1" applyNumberFormat="1" applyFont="1" applyFill="1" applyBorder="1" applyAlignment="1">
      <alignment horizontal="center" vertical="center"/>
    </xf>
    <xf numFmtId="172" fontId="7" fillId="11" borderId="13" xfId="1" applyNumberFormat="1" applyFont="1" applyFill="1" applyBorder="1" applyAlignment="1">
      <alignment horizontal="center" vertical="center"/>
    </xf>
    <xf numFmtId="2" fontId="26" fillId="11" borderId="13" xfId="1" applyNumberFormat="1" applyFont="1" applyFill="1" applyBorder="1" applyAlignment="1">
      <alignment horizontal="right" vertical="center"/>
    </xf>
    <xf numFmtId="2" fontId="26" fillId="11" borderId="13" xfId="1" applyNumberFormat="1" applyFont="1" applyFill="1" applyBorder="1" applyAlignment="1">
      <alignment horizontal="center" vertical="center"/>
    </xf>
    <xf numFmtId="173" fontId="27" fillId="11" borderId="13" xfId="1" quotePrefix="1" applyNumberFormat="1" applyFont="1" applyFill="1" applyBorder="1" applyAlignment="1">
      <alignment horizontal="center" vertical="center"/>
    </xf>
    <xf numFmtId="173" fontId="14" fillId="11" borderId="13" xfId="1" quotePrefix="1" applyNumberFormat="1" applyFont="1" applyFill="1" applyBorder="1" applyAlignment="1">
      <alignment horizontal="center" vertical="center"/>
    </xf>
    <xf numFmtId="167" fontId="29" fillId="0" borderId="18" xfId="1" applyNumberFormat="1" applyFont="1" applyFill="1" applyBorder="1" applyAlignment="1">
      <alignment horizontal="right" vertical="center"/>
    </xf>
    <xf numFmtId="167" fontId="4" fillId="4" borderId="5" xfId="1" applyNumberFormat="1" applyFont="1" applyFill="1" applyBorder="1" applyAlignment="1">
      <alignment horizontal="center" vertical="center"/>
    </xf>
    <xf numFmtId="169" fontId="12" fillId="0" borderId="21" xfId="1" applyNumberFormat="1" applyFont="1" applyFill="1" applyBorder="1" applyAlignment="1">
      <alignment horizontal="center" vertical="center"/>
    </xf>
    <xf numFmtId="2" fontId="17" fillId="4" borderId="22" xfId="1" applyNumberFormat="1" applyFont="1" applyFill="1" applyBorder="1" applyAlignment="1">
      <alignment horizontal="center" vertical="center"/>
    </xf>
    <xf numFmtId="167" fontId="18" fillId="9" borderId="17" xfId="3" applyFont="1" applyFill="1" applyBorder="1" applyAlignment="1">
      <alignment horizontal="left" vertical="center"/>
    </xf>
    <xf numFmtId="173" fontId="37" fillId="11" borderId="8" xfId="1" quotePrefix="1" applyNumberFormat="1" applyFont="1" applyFill="1" applyBorder="1" applyAlignment="1">
      <alignment horizontal="center" vertical="center"/>
    </xf>
    <xf numFmtId="173" fontId="37" fillId="0" borderId="8" xfId="1" quotePrefix="1" applyNumberFormat="1" applyFont="1" applyFill="1" applyBorder="1" applyAlignment="1">
      <alignment horizontal="center" vertical="center"/>
    </xf>
    <xf numFmtId="173" fontId="37" fillId="0" borderId="14" xfId="1" quotePrefix="1" applyNumberFormat="1" applyFont="1" applyFill="1" applyBorder="1" applyAlignment="1">
      <alignment horizontal="center" vertical="center"/>
    </xf>
    <xf numFmtId="2" fontId="34" fillId="0" borderId="10" xfId="1" applyNumberFormat="1" applyFont="1" applyFill="1" applyBorder="1" applyAlignment="1">
      <alignment horizontal="center" vertical="center"/>
    </xf>
    <xf numFmtId="2" fontId="17" fillId="4" borderId="17" xfId="2" applyNumberFormat="1" applyFont="1" applyFill="1" applyBorder="1" applyAlignment="1">
      <alignment horizontal="center" vertical="center"/>
    </xf>
    <xf numFmtId="2" fontId="17" fillId="4" borderId="17" xfId="2" applyNumberFormat="1" applyFont="1" applyFill="1" applyBorder="1" applyAlignment="1">
      <alignment vertical="center"/>
    </xf>
    <xf numFmtId="171" fontId="18" fillId="0" borderId="0" xfId="3" applyNumberFormat="1" applyFont="1" applyFill="1" applyBorder="1" applyAlignment="1">
      <alignment horizontal="right" vertical="center"/>
    </xf>
    <xf numFmtId="2" fontId="18" fillId="0" borderId="0" xfId="3" applyNumberFormat="1" applyFont="1" applyFill="1" applyBorder="1" applyAlignment="1">
      <alignment horizontal="right" vertical="center"/>
    </xf>
    <xf numFmtId="0" fontId="35" fillId="0" borderId="0" xfId="1" applyFont="1" applyFill="1" applyBorder="1" applyAlignment="1">
      <alignment horizontal="left" vertical="center" wrapText="1"/>
    </xf>
    <xf numFmtId="173" fontId="38" fillId="0" borderId="14" xfId="1" quotePrefix="1" applyNumberFormat="1" applyFont="1" applyFill="1" applyBorder="1" applyAlignment="1">
      <alignment horizontal="center" vertical="center"/>
    </xf>
    <xf numFmtId="167" fontId="29" fillId="0" borderId="0" xfId="1" applyNumberFormat="1" applyFont="1" applyFill="1" applyBorder="1" applyAlignment="1">
      <alignment horizontal="right" vertical="center"/>
    </xf>
    <xf numFmtId="172" fontId="30" fillId="0" borderId="0" xfId="1" applyNumberFormat="1" applyFont="1" applyFill="1" applyBorder="1" applyAlignment="1">
      <alignment horizontal="center" vertical="center"/>
    </xf>
    <xf numFmtId="2" fontId="39" fillId="0" borderId="0" xfId="1" applyNumberFormat="1" applyFont="1" applyFill="1" applyBorder="1" applyAlignment="1">
      <alignment horizontal="center" vertical="center"/>
    </xf>
    <xf numFmtId="0" fontId="4" fillId="0" borderId="17" xfId="1" applyFont="1" applyFill="1" applyBorder="1" applyAlignment="1">
      <alignment horizontal="center" vertical="center"/>
    </xf>
    <xf numFmtId="2" fontId="4" fillId="0" borderId="17" xfId="1" applyNumberFormat="1" applyFont="1" applyFill="1" applyBorder="1" applyAlignment="1">
      <alignment vertical="center"/>
    </xf>
    <xf numFmtId="173" fontId="12" fillId="0" borderId="0" xfId="1" applyNumberFormat="1" applyFont="1" applyFill="1" applyBorder="1" applyAlignment="1">
      <alignment horizontal="left" vertical="center"/>
    </xf>
    <xf numFmtId="172" fontId="30" fillId="0" borderId="23" xfId="1" applyNumberFormat="1" applyFont="1" applyFill="1" applyBorder="1" applyAlignment="1">
      <alignment horizontal="center" vertical="center"/>
    </xf>
    <xf numFmtId="172" fontId="7" fillId="0" borderId="8" xfId="1" applyNumberFormat="1" applyFont="1" applyFill="1" applyBorder="1" applyAlignment="1">
      <alignment horizontal="center" vertical="center"/>
    </xf>
    <xf numFmtId="2" fontId="17" fillId="4" borderId="0" xfId="1" applyNumberFormat="1" applyFont="1" applyFill="1" applyBorder="1" applyAlignment="1">
      <alignment horizontal="center" vertical="center"/>
    </xf>
    <xf numFmtId="172" fontId="7" fillId="11" borderId="10" xfId="1" applyNumberFormat="1" applyFont="1" applyFill="1" applyBorder="1" applyAlignment="1">
      <alignment horizontal="center" vertical="center"/>
    </xf>
    <xf numFmtId="167" fontId="4" fillId="4" borderId="4" xfId="1" applyNumberFormat="1" applyFont="1" applyFill="1" applyBorder="1" applyAlignment="1">
      <alignment horizontal="center" vertical="center"/>
    </xf>
    <xf numFmtId="167" fontId="3" fillId="4" borderId="4" xfId="1" applyNumberFormat="1" applyFont="1" applyFill="1" applyBorder="1" applyAlignment="1">
      <alignment horizontal="right" vertical="center"/>
    </xf>
    <xf numFmtId="172" fontId="33" fillId="4" borderId="4" xfId="1" applyNumberFormat="1" applyFont="1" applyFill="1" applyBorder="1" applyAlignment="1">
      <alignment horizontal="center" vertical="center"/>
    </xf>
    <xf numFmtId="0" fontId="3" fillId="4" borderId="4" xfId="1" applyFont="1" applyFill="1" applyBorder="1" applyAlignment="1">
      <alignment horizontal="center" vertical="center"/>
    </xf>
    <xf numFmtId="2" fontId="3" fillId="0" borderId="24" xfId="1" applyNumberFormat="1" applyFont="1" applyFill="1" applyBorder="1" applyAlignment="1">
      <alignment horizontal="center" vertical="center" wrapText="1"/>
    </xf>
    <xf numFmtId="169" fontId="12" fillId="0" borderId="11" xfId="1" applyNumberFormat="1" applyFont="1" applyFill="1" applyBorder="1" applyAlignment="1">
      <alignment horizontal="center" vertical="center"/>
    </xf>
    <xf numFmtId="2" fontId="17" fillId="0" borderId="0" xfId="1" applyNumberFormat="1" applyFont="1" applyFill="1" applyBorder="1" applyAlignment="1">
      <alignment horizontal="center" vertical="center"/>
    </xf>
    <xf numFmtId="171" fontId="18" fillId="0" borderId="12" xfId="3" applyNumberFormat="1" applyFont="1" applyFill="1" applyBorder="1" applyAlignment="1">
      <alignment horizontal="right" vertical="center"/>
    </xf>
    <xf numFmtId="2" fontId="18" fillId="0" borderId="12" xfId="3" applyNumberFormat="1" applyFont="1" applyFill="1" applyBorder="1" applyAlignment="1">
      <alignment horizontal="right" vertical="center"/>
    </xf>
    <xf numFmtId="0" fontId="19" fillId="0" borderId="12" xfId="1" applyFont="1" applyFill="1" applyBorder="1" applyAlignment="1">
      <alignment horizontal="center" vertical="center" wrapText="1"/>
    </xf>
    <xf numFmtId="167" fontId="35" fillId="0" borderId="15" xfId="3" applyFont="1" applyFill="1" applyBorder="1" applyAlignment="1">
      <alignment horizontal="left" vertical="center"/>
    </xf>
    <xf numFmtId="172" fontId="41" fillId="11" borderId="8" xfId="1" applyNumberFormat="1" applyFont="1" applyFill="1" applyBorder="1" applyAlignment="1">
      <alignment horizontal="center" vertical="center"/>
    </xf>
    <xf numFmtId="172" fontId="14" fillId="0" borderId="8" xfId="1" quotePrefix="1" applyNumberFormat="1" applyFont="1" applyFill="1" applyBorder="1" applyAlignment="1">
      <alignment vertical="center" wrapText="1"/>
    </xf>
    <xf numFmtId="172" fontId="3" fillId="0" borderId="0" xfId="1" applyNumberFormat="1" applyFont="1" applyFill="1" applyAlignment="1">
      <alignment vertical="center"/>
    </xf>
    <xf numFmtId="0" fontId="8" fillId="0" borderId="0" xfId="1" applyFont="1" applyFill="1" applyAlignment="1">
      <alignment horizontal="center" vertical="center"/>
    </xf>
    <xf numFmtId="0" fontId="3" fillId="0" borderId="10" xfId="1" applyFont="1" applyFill="1" applyBorder="1" applyAlignment="1">
      <alignment horizontal="center" vertical="center" wrapText="1"/>
    </xf>
    <xf numFmtId="0" fontId="3" fillId="13" borderId="10" xfId="1" applyFont="1" applyFill="1" applyBorder="1" applyAlignment="1">
      <alignment horizontal="left" vertical="center" wrapText="1"/>
    </xf>
    <xf numFmtId="0" fontId="4" fillId="0" borderId="10" xfId="1" applyFont="1" applyFill="1" applyBorder="1" applyAlignment="1">
      <alignment horizontal="center" vertical="center"/>
    </xf>
    <xf numFmtId="0" fontId="3" fillId="0" borderId="10" xfId="1" applyFont="1" applyFill="1" applyBorder="1" applyAlignment="1">
      <alignment horizontal="center" vertical="center"/>
    </xf>
    <xf numFmtId="172" fontId="42" fillId="13" borderId="10" xfId="1" applyNumberFormat="1" applyFont="1" applyFill="1" applyBorder="1" applyAlignment="1">
      <alignment horizontal="left" vertical="center"/>
    </xf>
    <xf numFmtId="172" fontId="43" fillId="0" borderId="10" xfId="1" applyNumberFormat="1" applyFont="1" applyFill="1" applyBorder="1" applyAlignment="1">
      <alignment horizontal="center" vertical="center"/>
    </xf>
    <xf numFmtId="0" fontId="3" fillId="0" borderId="9" xfId="1" applyFont="1" applyFill="1" applyBorder="1" applyAlignment="1">
      <alignment horizontal="center" vertical="center"/>
    </xf>
    <xf numFmtId="2" fontId="6" fillId="0" borderId="10" xfId="1" applyNumberFormat="1" applyFont="1" applyFill="1" applyBorder="1" applyAlignment="1">
      <alignment horizontal="center" vertical="center"/>
    </xf>
    <xf numFmtId="2" fontId="3" fillId="0" borderId="0" xfId="1" applyNumberFormat="1" applyFont="1" applyFill="1" applyAlignment="1">
      <alignment vertical="center"/>
    </xf>
    <xf numFmtId="2" fontId="3" fillId="0" borderId="0" xfId="1" applyNumberFormat="1" applyFont="1" applyFill="1" applyAlignment="1">
      <alignment horizontal="left" vertical="center"/>
    </xf>
    <xf numFmtId="2" fontId="8" fillId="0" borderId="0" xfId="1" applyNumberFormat="1" applyFont="1" applyFill="1" applyAlignment="1">
      <alignment horizontal="center" vertical="center"/>
    </xf>
    <xf numFmtId="0" fontId="24" fillId="14" borderId="15" xfId="1" applyFont="1" applyFill="1" applyBorder="1" applyAlignment="1">
      <alignment vertical="center" wrapText="1"/>
    </xf>
    <xf numFmtId="0" fontId="3" fillId="0" borderId="9" xfId="1" applyFont="1" applyFill="1" applyBorder="1" applyAlignment="1">
      <alignment horizontal="center" vertical="center" wrapText="1"/>
    </xf>
    <xf numFmtId="0" fontId="24" fillId="15" borderId="10" xfId="1" applyFont="1" applyFill="1" applyBorder="1" applyAlignment="1">
      <alignment horizontal="center" vertical="center" wrapText="1"/>
    </xf>
    <xf numFmtId="0" fontId="24" fillId="13" borderId="10" xfId="1" applyFont="1" applyFill="1" applyBorder="1" applyAlignment="1">
      <alignment horizontal="left" vertical="center" wrapText="1"/>
    </xf>
    <xf numFmtId="0" fontId="3" fillId="0" borderId="25" xfId="1" applyFont="1" applyFill="1" applyBorder="1" applyAlignment="1">
      <alignment horizontal="left" vertical="center" wrapText="1"/>
    </xf>
    <xf numFmtId="173" fontId="6" fillId="0" borderId="10" xfId="1" applyNumberFormat="1" applyFont="1" applyFill="1" applyBorder="1" applyAlignment="1">
      <alignment horizontal="center" vertical="center"/>
    </xf>
    <xf numFmtId="173" fontId="38" fillId="13" borderId="10" xfId="1" applyNumberFormat="1" applyFont="1" applyFill="1" applyBorder="1" applyAlignment="1">
      <alignment horizontal="left" vertical="center"/>
    </xf>
    <xf numFmtId="0" fontId="24" fillId="14" borderId="14" xfId="1" applyFont="1" applyFill="1" applyBorder="1" applyAlignment="1">
      <alignment vertical="center" wrapText="1"/>
    </xf>
    <xf numFmtId="0" fontId="4" fillId="0" borderId="10" xfId="1" applyFont="1" applyFill="1" applyBorder="1" applyAlignment="1">
      <alignment vertical="center"/>
    </xf>
    <xf numFmtId="0" fontId="3" fillId="0" borderId="10" xfId="1" applyFont="1" applyFill="1" applyBorder="1" applyAlignment="1">
      <alignment vertical="center"/>
    </xf>
    <xf numFmtId="0" fontId="44" fillId="15" borderId="10" xfId="1" applyFont="1" applyFill="1" applyBorder="1" applyAlignment="1">
      <alignment horizontal="center" vertical="center" wrapText="1"/>
    </xf>
    <xf numFmtId="9" fontId="4" fillId="0" borderId="10" xfId="1" applyNumberFormat="1" applyFont="1" applyFill="1" applyBorder="1" applyAlignment="1">
      <alignment horizontal="center" vertical="center"/>
    </xf>
    <xf numFmtId="9" fontId="3" fillId="0" borderId="10" xfId="1" applyNumberFormat="1" applyFont="1" applyFill="1" applyBorder="1" applyAlignment="1">
      <alignment horizontal="center" vertical="center"/>
    </xf>
    <xf numFmtId="172" fontId="42" fillId="0" borderId="10" xfId="1" applyNumberFormat="1" applyFont="1" applyFill="1" applyBorder="1" applyAlignment="1">
      <alignment horizontal="right"/>
    </xf>
    <xf numFmtId="0" fontId="3" fillId="3" borderId="0" xfId="1" applyFont="1" applyFill="1" applyAlignment="1">
      <alignment vertical="center"/>
    </xf>
    <xf numFmtId="0" fontId="45" fillId="3" borderId="0" xfId="0" applyFont="1" applyFill="1" applyAlignment="1">
      <alignment vertical="center"/>
    </xf>
    <xf numFmtId="173" fontId="38" fillId="0" borderId="14" xfId="1" applyNumberFormat="1" applyFont="1" applyFill="1" applyBorder="1" applyAlignment="1">
      <alignment horizontal="center" vertical="center"/>
    </xf>
    <xf numFmtId="167" fontId="29" fillId="0" borderId="4" xfId="1" applyNumberFormat="1" applyFont="1" applyFill="1" applyBorder="1" applyAlignment="1">
      <alignment horizontal="right" vertical="center"/>
    </xf>
    <xf numFmtId="167" fontId="29" fillId="0" borderId="4" xfId="1" applyNumberFormat="1" applyFont="1" applyFill="1" applyBorder="1" applyAlignment="1">
      <alignment horizontal="center" vertical="center"/>
    </xf>
    <xf numFmtId="172" fontId="30" fillId="0" borderId="4" xfId="1" applyNumberFormat="1" applyFont="1" applyFill="1" applyBorder="1" applyAlignment="1">
      <alignment horizontal="center" vertical="center"/>
    </xf>
    <xf numFmtId="2" fontId="31" fillId="0" borderId="4" xfId="1" applyNumberFormat="1" applyFont="1" applyFill="1" applyBorder="1" applyAlignment="1">
      <alignment horizontal="left" vertical="center"/>
    </xf>
    <xf numFmtId="2" fontId="31" fillId="0" borderId="12" xfId="1" applyNumberFormat="1" applyFont="1" applyFill="1" applyBorder="1" applyAlignment="1">
      <alignment horizontal="center" vertical="center"/>
    </xf>
    <xf numFmtId="167" fontId="4" fillId="16" borderId="0" xfId="1" applyNumberFormat="1" applyFont="1" applyFill="1" applyBorder="1" applyAlignment="1">
      <alignment horizontal="center" vertical="center"/>
    </xf>
    <xf numFmtId="167" fontId="3" fillId="16" borderId="0" xfId="1" applyNumberFormat="1" applyFont="1" applyFill="1" applyBorder="1" applyAlignment="1">
      <alignment horizontal="right" vertical="center"/>
    </xf>
    <xf numFmtId="2" fontId="32" fillId="16" borderId="0" xfId="1" applyNumberFormat="1" applyFont="1" applyFill="1" applyBorder="1" applyAlignment="1">
      <alignment horizontal="center" vertical="center"/>
    </xf>
    <xf numFmtId="172" fontId="33" fillId="16" borderId="0" xfId="1" applyNumberFormat="1" applyFont="1" applyFill="1" applyBorder="1" applyAlignment="1">
      <alignment horizontal="center" vertical="center"/>
    </xf>
    <xf numFmtId="172" fontId="30" fillId="16" borderId="18" xfId="1" applyNumberFormat="1" applyFont="1" applyFill="1" applyBorder="1" applyAlignment="1">
      <alignment horizontal="center" vertical="center"/>
    </xf>
    <xf numFmtId="167" fontId="4" fillId="16" borderId="10" xfId="1" applyNumberFormat="1" applyFont="1" applyFill="1" applyBorder="1" applyAlignment="1">
      <alignment horizontal="center" vertical="center"/>
    </xf>
    <xf numFmtId="167" fontId="3" fillId="16" borderId="10" xfId="1" applyNumberFormat="1" applyFont="1" applyFill="1" applyBorder="1" applyAlignment="1">
      <alignment horizontal="right" vertical="center"/>
    </xf>
    <xf numFmtId="2" fontId="32" fillId="16" borderId="10" xfId="1" applyNumberFormat="1" applyFont="1" applyFill="1" applyBorder="1" applyAlignment="1">
      <alignment horizontal="center" vertical="center"/>
    </xf>
    <xf numFmtId="172" fontId="33" fillId="16" borderId="10" xfId="1" applyNumberFormat="1" applyFont="1" applyFill="1" applyBorder="1" applyAlignment="1">
      <alignment horizontal="center" vertical="center"/>
    </xf>
    <xf numFmtId="0" fontId="3" fillId="3" borderId="0" xfId="1" applyFont="1" applyFill="1" applyBorder="1" applyAlignment="1">
      <alignment horizontal="center" vertical="center"/>
    </xf>
    <xf numFmtId="175" fontId="3" fillId="3" borderId="10" xfId="1" applyNumberFormat="1" applyFont="1" applyFill="1" applyBorder="1" applyAlignment="1">
      <alignment horizontal="center" vertical="center"/>
    </xf>
    <xf numFmtId="173" fontId="46" fillId="0" borderId="8" xfId="1" applyNumberFormat="1" applyFont="1" applyFill="1" applyBorder="1" applyAlignment="1">
      <alignment horizontal="center" vertical="center"/>
    </xf>
    <xf numFmtId="0" fontId="3" fillId="8" borderId="10" xfId="1" applyFont="1" applyFill="1" applyBorder="1" applyAlignment="1">
      <alignment horizontal="center" vertical="center" wrapText="1"/>
    </xf>
    <xf numFmtId="2" fontId="3" fillId="8" borderId="10" xfId="1" applyNumberFormat="1" applyFont="1" applyFill="1" applyBorder="1" applyAlignment="1">
      <alignment horizontal="center" vertical="center"/>
    </xf>
    <xf numFmtId="0" fontId="10" fillId="4" borderId="3" xfId="1" applyFont="1" applyFill="1" applyBorder="1" applyAlignment="1">
      <alignment horizontal="left" vertical="center"/>
    </xf>
    <xf numFmtId="173" fontId="27" fillId="0" borderId="10" xfId="1" quotePrefix="1" applyNumberFormat="1" applyFont="1" applyFill="1" applyBorder="1" applyAlignment="1">
      <alignment horizontal="center" vertical="center"/>
    </xf>
    <xf numFmtId="173" fontId="38" fillId="0" borderId="10" xfId="1" quotePrefix="1" applyNumberFormat="1" applyFont="1" applyFill="1" applyBorder="1" applyAlignment="1">
      <alignment horizontal="center" vertical="center"/>
    </xf>
    <xf numFmtId="172" fontId="8" fillId="4" borderId="5" xfId="1" applyNumberFormat="1" applyFont="1" applyFill="1" applyBorder="1" applyAlignment="1">
      <alignment horizontal="center" vertical="center"/>
    </xf>
    <xf numFmtId="172" fontId="139" fillId="0" borderId="4" xfId="1" applyNumberFormat="1" applyFont="1" applyFill="1" applyBorder="1" applyAlignment="1">
      <alignment horizontal="center" vertical="center"/>
    </xf>
    <xf numFmtId="172" fontId="3" fillId="3" borderId="0" xfId="1" applyNumberFormat="1" applyFont="1" applyFill="1" applyBorder="1" applyAlignment="1">
      <alignment vertical="center"/>
    </xf>
    <xf numFmtId="173" fontId="28" fillId="0" borderId="10" xfId="1" quotePrefix="1" applyNumberFormat="1" applyFont="1" applyFill="1" applyBorder="1" applyAlignment="1">
      <alignment horizontal="left" vertical="center" wrapText="1"/>
    </xf>
    <xf numFmtId="173" fontId="27" fillId="0" borderId="8" xfId="1" quotePrefix="1" applyNumberFormat="1" applyFont="1" applyFill="1" applyBorder="1" applyAlignment="1">
      <alignment horizontal="center" vertical="center"/>
    </xf>
    <xf numFmtId="173" fontId="38" fillId="0" borderId="8" xfId="1" quotePrefix="1" applyNumberFormat="1" applyFont="1" applyFill="1" applyBorder="1" applyAlignment="1">
      <alignment horizontal="center" vertical="center"/>
    </xf>
    <xf numFmtId="173" fontId="27" fillId="0" borderId="10" xfId="1" applyNumberFormat="1" applyFont="1" applyFill="1" applyBorder="1" applyAlignment="1">
      <alignment horizontal="center" vertical="center"/>
    </xf>
    <xf numFmtId="173" fontId="38" fillId="0" borderId="10" xfId="1" applyNumberFormat="1" applyFont="1" applyFill="1" applyBorder="1" applyAlignment="1">
      <alignment horizontal="center" vertical="center"/>
    </xf>
    <xf numFmtId="172" fontId="14" fillId="0" borderId="8" xfId="1" quotePrefix="1" applyNumberFormat="1" applyFont="1" applyFill="1" applyBorder="1" applyAlignment="1">
      <alignment horizontal="left" vertical="top" wrapText="1"/>
    </xf>
    <xf numFmtId="173" fontId="28" fillId="0" borderId="10" xfId="1" quotePrefix="1" applyNumberFormat="1" applyFont="1" applyFill="1" applyBorder="1" applyAlignment="1">
      <alignment horizontal="left" vertical="top" wrapText="1"/>
    </xf>
    <xf numFmtId="168" fontId="14" fillId="0" borderId="10" xfId="1" applyNumberFormat="1" applyFont="1" applyFill="1" applyBorder="1" applyAlignment="1">
      <alignment horizontal="center" vertical="center" wrapText="1"/>
    </xf>
    <xf numFmtId="168" fontId="15" fillId="0" borderId="10" xfId="1" applyNumberFormat="1" applyFont="1" applyFill="1" applyBorder="1" applyAlignment="1">
      <alignment horizontal="center" vertical="center" wrapText="1"/>
    </xf>
    <xf numFmtId="173" fontId="27" fillId="0" borderId="8" xfId="1" applyNumberFormat="1" applyFont="1" applyFill="1" applyBorder="1" applyAlignment="1">
      <alignment horizontal="center" vertical="center"/>
    </xf>
    <xf numFmtId="173" fontId="27" fillId="7" borderId="8" xfId="1" applyNumberFormat="1" applyFont="1" applyFill="1" applyBorder="1" applyAlignment="1">
      <alignment horizontal="center" vertical="center"/>
    </xf>
    <xf numFmtId="173" fontId="38" fillId="0" borderId="8" xfId="1" applyNumberFormat="1" applyFont="1" applyFill="1" applyBorder="1" applyAlignment="1">
      <alignment horizontal="center" vertical="center"/>
    </xf>
    <xf numFmtId="173" fontId="27" fillId="0" borderId="8" xfId="1" quotePrefix="1" applyNumberFormat="1" applyFont="1" applyFill="1" applyBorder="1" applyAlignment="1">
      <alignment horizontal="left" vertical="center" wrapText="1"/>
    </xf>
    <xf numFmtId="172" fontId="30" fillId="8" borderId="18" xfId="1" applyNumberFormat="1" applyFont="1" applyFill="1" applyBorder="1" applyAlignment="1">
      <alignment horizontal="center" vertical="center"/>
    </xf>
    <xf numFmtId="0" fontId="3" fillId="0" borderId="0" xfId="1" applyFont="1" applyFill="1" applyAlignment="1">
      <alignment horizontal="center" vertical="center"/>
    </xf>
    <xf numFmtId="0" fontId="9" fillId="4" borderId="1" xfId="1" applyFont="1" applyFill="1" applyBorder="1" applyAlignment="1">
      <alignment horizontal="center" vertical="center"/>
    </xf>
    <xf numFmtId="169" fontId="10" fillId="4" borderId="20" xfId="1" applyNumberFormat="1" applyFont="1" applyFill="1" applyBorder="1" applyAlignment="1">
      <alignment horizontal="center" vertical="center"/>
    </xf>
    <xf numFmtId="169" fontId="15" fillId="0" borderId="0" xfId="1" applyNumberFormat="1" applyFont="1" applyFill="1" applyBorder="1" applyAlignment="1">
      <alignment horizontal="center" vertical="center"/>
    </xf>
    <xf numFmtId="169" fontId="10" fillId="4" borderId="3" xfId="1" applyNumberFormat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24" fillId="14" borderId="15" xfId="1" applyFont="1" applyFill="1" applyBorder="1" applyAlignment="1">
      <alignment horizontal="center" vertical="center" wrapText="1"/>
    </xf>
    <xf numFmtId="0" fontId="24" fillId="14" borderId="14" xfId="1" applyFont="1" applyFill="1" applyBorder="1" applyAlignment="1">
      <alignment horizontal="center" vertical="center" wrapText="1"/>
    </xf>
    <xf numFmtId="0" fontId="5" fillId="0" borderId="0" xfId="1" applyFont="1" applyFill="1" applyAlignment="1">
      <alignment horizontal="center" vertical="center"/>
    </xf>
    <xf numFmtId="0" fontId="12" fillId="3" borderId="12" xfId="1" applyFont="1" applyFill="1" applyBorder="1" applyAlignment="1">
      <alignment horizontal="center" vertical="center" wrapText="1"/>
    </xf>
    <xf numFmtId="0" fontId="10" fillId="4" borderId="20" xfId="1" applyFont="1" applyFill="1" applyBorder="1" applyAlignment="1">
      <alignment horizontal="center" vertical="center"/>
    </xf>
    <xf numFmtId="0" fontId="4" fillId="4" borderId="5" xfId="1" applyFont="1" applyFill="1" applyBorder="1" applyAlignment="1">
      <alignment horizontal="center" vertical="center"/>
    </xf>
    <xf numFmtId="167" fontId="22" fillId="9" borderId="24" xfId="3" applyFont="1" applyFill="1" applyBorder="1" applyAlignment="1">
      <alignment horizontal="center" vertical="center"/>
    </xf>
    <xf numFmtId="2" fontId="6" fillId="9" borderId="24" xfId="3" applyNumberFormat="1" applyFont="1" applyFill="1" applyBorder="1" applyAlignment="1">
      <alignment horizontal="center" vertical="center"/>
    </xf>
    <xf numFmtId="2" fontId="21" fillId="9" borderId="12" xfId="3" applyNumberFormat="1" applyFont="1" applyFill="1" applyBorder="1" applyAlignment="1">
      <alignment horizontal="center" vertical="center"/>
    </xf>
    <xf numFmtId="169" fontId="12" fillId="0" borderId="43" xfId="1" applyNumberFormat="1" applyFont="1" applyFill="1" applyBorder="1" applyAlignment="1">
      <alignment horizontal="center" vertical="center"/>
    </xf>
    <xf numFmtId="2" fontId="17" fillId="4" borderId="10" xfId="2" applyNumberFormat="1" applyFont="1" applyFill="1" applyBorder="1" applyAlignment="1">
      <alignment horizontal="center" vertical="center"/>
    </xf>
    <xf numFmtId="171" fontId="18" fillId="0" borderId="10" xfId="3" applyNumberFormat="1" applyFont="1" applyFill="1" applyBorder="1" applyAlignment="1">
      <alignment horizontal="center" vertical="center"/>
    </xf>
    <xf numFmtId="2" fontId="18" fillId="8" borderId="15" xfId="3" applyNumberFormat="1" applyFont="1" applyFill="1" applyBorder="1" applyAlignment="1">
      <alignment horizontal="center" vertical="center"/>
    </xf>
    <xf numFmtId="0" fontId="19" fillId="0" borderId="17" xfId="1" applyFont="1" applyFill="1" applyBorder="1" applyAlignment="1">
      <alignment horizontal="center" vertical="center" wrapText="1"/>
    </xf>
    <xf numFmtId="0" fontId="19" fillId="0" borderId="17" xfId="1" applyFont="1" applyFill="1" applyBorder="1" applyAlignment="1">
      <alignment horizontal="left" vertical="center" wrapText="1"/>
    </xf>
    <xf numFmtId="172" fontId="14" fillId="0" borderId="17" xfId="1" applyNumberFormat="1" applyFont="1" applyFill="1" applyBorder="1" applyAlignment="1">
      <alignment horizontal="left" vertical="center"/>
    </xf>
    <xf numFmtId="0" fontId="24" fillId="10" borderId="15" xfId="1" applyFont="1" applyFill="1" applyBorder="1" applyAlignment="1">
      <alignment horizontal="left" vertical="center"/>
    </xf>
    <xf numFmtId="0" fontId="24" fillId="10" borderId="9" xfId="1" applyFont="1" applyFill="1" applyBorder="1" applyAlignment="1">
      <alignment horizontal="left" vertical="center"/>
    </xf>
    <xf numFmtId="0" fontId="24" fillId="9" borderId="15" xfId="1" applyFont="1" applyFill="1" applyBorder="1" applyAlignment="1">
      <alignment horizontal="left" vertical="center"/>
    </xf>
    <xf numFmtId="0" fontId="24" fillId="9" borderId="9" xfId="1" applyFont="1" applyFill="1" applyBorder="1" applyAlignment="1">
      <alignment horizontal="left" vertical="center"/>
    </xf>
    <xf numFmtId="2" fontId="40" fillId="9" borderId="15" xfId="0" applyNumberFormat="1" applyFont="1" applyFill="1" applyBorder="1" applyAlignment="1">
      <alignment horizontal="left" vertical="center"/>
    </xf>
    <xf numFmtId="2" fontId="40" fillId="9" borderId="9" xfId="0" applyNumberFormat="1" applyFont="1" applyFill="1" applyBorder="1" applyAlignment="1">
      <alignment horizontal="left" vertical="center"/>
    </xf>
    <xf numFmtId="2" fontId="21" fillId="9" borderId="10" xfId="0" applyNumberFormat="1" applyFont="1" applyFill="1" applyBorder="1" applyAlignment="1">
      <alignment horizontal="center" vertical="center"/>
    </xf>
    <xf numFmtId="2" fontId="23" fillId="9" borderId="10" xfId="0" applyNumberFormat="1" applyFont="1" applyFill="1" applyBorder="1" applyAlignment="1">
      <alignment horizontal="center" vertical="center"/>
    </xf>
    <xf numFmtId="172" fontId="14" fillId="0" borderId="10" xfId="1" quotePrefix="1" applyNumberFormat="1" applyFont="1" applyFill="1" applyBorder="1" applyAlignment="1">
      <alignment horizontal="left" vertical="top" wrapText="1"/>
    </xf>
    <xf numFmtId="173" fontId="28" fillId="0" borderId="8" xfId="1" quotePrefix="1" applyNumberFormat="1" applyFont="1" applyFill="1" applyBorder="1" applyAlignment="1">
      <alignment horizontal="left" vertical="center" wrapText="1"/>
    </xf>
    <xf numFmtId="2" fontId="14" fillId="0" borderId="10" xfId="1" applyNumberFormat="1" applyFont="1" applyFill="1" applyBorder="1" applyAlignment="1">
      <alignment horizontal="left" vertical="center" wrapText="1"/>
    </xf>
    <xf numFmtId="169" fontId="12" fillId="16" borderId="45" xfId="1" applyNumberFormat="1" applyFont="1" applyFill="1" applyBorder="1" applyAlignment="1">
      <alignment horizontal="center" vertical="center"/>
    </xf>
    <xf numFmtId="172" fontId="3" fillId="3" borderId="0" xfId="1" applyNumberFormat="1" applyFont="1" applyFill="1" applyBorder="1" applyAlignment="1">
      <alignment horizontal="center" vertical="center"/>
    </xf>
    <xf numFmtId="172" fontId="30" fillId="16" borderId="46" xfId="1" applyNumberFormat="1" applyFont="1" applyFill="1" applyBorder="1" applyAlignment="1">
      <alignment horizontal="center" vertical="center"/>
    </xf>
    <xf numFmtId="172" fontId="3" fillId="0" borderId="0" xfId="1" applyNumberFormat="1" applyFont="1" applyFill="1" applyBorder="1" applyAlignment="1">
      <alignment horizontal="center" vertical="center"/>
    </xf>
    <xf numFmtId="0" fontId="12" fillId="3" borderId="7" xfId="1" applyFont="1" applyFill="1" applyBorder="1" applyAlignment="1">
      <alignment horizontal="center" vertical="center" wrapText="1"/>
    </xf>
    <xf numFmtId="0" fontId="12" fillId="3" borderId="11" xfId="1" applyFont="1" applyFill="1" applyBorder="1" applyAlignment="1">
      <alignment horizontal="center" vertical="center" wrapText="1"/>
    </xf>
    <xf numFmtId="2" fontId="21" fillId="9" borderId="47" xfId="3" applyNumberFormat="1" applyFont="1" applyFill="1" applyBorder="1" applyAlignment="1">
      <alignment horizontal="center" vertical="center"/>
    </xf>
    <xf numFmtId="172" fontId="30" fillId="0" borderId="46" xfId="1" applyNumberFormat="1" applyFont="1" applyFill="1" applyBorder="1" applyAlignment="1">
      <alignment horizontal="center" vertical="center"/>
    </xf>
    <xf numFmtId="2" fontId="21" fillId="9" borderId="15" xfId="3" applyNumberFormat="1" applyFont="1" applyFill="1" applyBorder="1" applyAlignment="1">
      <alignment horizontal="center" vertical="center"/>
    </xf>
    <xf numFmtId="172" fontId="30" fillId="0" borderId="48" xfId="1" applyNumberFormat="1" applyFont="1" applyFill="1" applyBorder="1" applyAlignment="1">
      <alignment horizontal="center" vertical="center"/>
    </xf>
    <xf numFmtId="175" fontId="3" fillId="3" borderId="9" xfId="1" applyNumberFormat="1" applyFont="1" applyFill="1" applyBorder="1" applyAlignment="1">
      <alignment horizontal="center" vertical="center"/>
    </xf>
    <xf numFmtId="0" fontId="8" fillId="4" borderId="51" xfId="1" applyFont="1" applyFill="1" applyBorder="1" applyAlignment="1">
      <alignment horizontal="center" vertical="center"/>
    </xf>
    <xf numFmtId="0" fontId="20" fillId="7" borderId="52" xfId="1" applyFont="1" applyFill="1" applyBorder="1" applyAlignment="1">
      <alignment horizontal="center" vertical="center" wrapText="1"/>
    </xf>
    <xf numFmtId="2" fontId="21" fillId="9" borderId="52" xfId="3" applyNumberFormat="1" applyFont="1" applyFill="1" applyBorder="1" applyAlignment="1">
      <alignment horizontal="center" vertical="center"/>
    </xf>
    <xf numFmtId="173" fontId="27" fillId="7" borderId="53" xfId="1" applyNumberFormat="1" applyFont="1" applyFill="1" applyBorder="1" applyAlignment="1">
      <alignment horizontal="center" vertical="center"/>
    </xf>
    <xf numFmtId="172" fontId="30" fillId="8" borderId="45" xfId="1" applyNumberFormat="1" applyFont="1" applyFill="1" applyBorder="1" applyAlignment="1">
      <alignment horizontal="center" vertical="center"/>
    </xf>
    <xf numFmtId="172" fontId="30" fillId="16" borderId="45" xfId="1" applyNumberFormat="1" applyFont="1" applyFill="1" applyBorder="1" applyAlignment="1">
      <alignment horizontal="center" vertical="center"/>
    </xf>
    <xf numFmtId="167" fontId="29" fillId="0" borderId="54" xfId="1" applyNumberFormat="1" applyFont="1" applyFill="1" applyBorder="1" applyAlignment="1">
      <alignment horizontal="center" vertical="center"/>
    </xf>
    <xf numFmtId="169" fontId="15" fillId="0" borderId="45" xfId="1" applyNumberFormat="1" applyFont="1" applyFill="1" applyBorder="1" applyAlignment="1">
      <alignment horizontal="center" vertical="center"/>
    </xf>
    <xf numFmtId="173" fontId="27" fillId="46" borderId="8" xfId="1" applyNumberFormat="1" applyFont="1" applyFill="1" applyBorder="1" applyAlignment="1">
      <alignment horizontal="center" vertical="center"/>
    </xf>
    <xf numFmtId="173" fontId="27" fillId="46" borderId="14" xfId="1" applyNumberFormat="1" applyFont="1" applyFill="1" applyBorder="1" applyAlignment="1">
      <alignment horizontal="center" vertical="center"/>
    </xf>
    <xf numFmtId="0" fontId="20" fillId="46" borderId="10" xfId="1" applyFont="1" applyFill="1" applyBorder="1" applyAlignment="1">
      <alignment horizontal="center" vertical="center" wrapText="1"/>
    </xf>
    <xf numFmtId="0" fontId="20" fillId="46" borderId="15" xfId="1" applyFont="1" applyFill="1" applyBorder="1" applyAlignment="1">
      <alignment horizontal="center" vertical="center" wrapText="1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0" xfId="1" applyFont="1" applyFill="1" applyAlignment="1">
      <alignment horizontal="center" vertical="center"/>
    </xf>
    <xf numFmtId="2" fontId="14" fillId="0" borderId="10" xfId="1" applyNumberFormat="1" applyFont="1" applyFill="1" applyBorder="1" applyAlignment="1">
      <alignment horizontal="left" vertical="top" wrapText="1"/>
    </xf>
    <xf numFmtId="173" fontId="28" fillId="0" borderId="8" xfId="1" quotePrefix="1" applyNumberFormat="1" applyFont="1" applyFill="1" applyBorder="1" applyAlignment="1">
      <alignment horizontal="left" vertical="top" wrapText="1"/>
    </xf>
    <xf numFmtId="172" fontId="14" fillId="0" borderId="8" xfId="1" quotePrefix="1" applyNumberFormat="1" applyFont="1" applyFill="1" applyBorder="1" applyAlignment="1">
      <alignment vertical="top" wrapText="1"/>
    </xf>
    <xf numFmtId="173" fontId="27" fillId="0" borderId="8" xfId="1" quotePrefix="1" applyNumberFormat="1" applyFont="1" applyFill="1" applyBorder="1" applyAlignment="1">
      <alignment horizontal="left" vertical="top" wrapText="1"/>
    </xf>
    <xf numFmtId="175" fontId="3" fillId="3" borderId="0" xfId="1" applyNumberFormat="1" applyFont="1" applyFill="1" applyBorder="1" applyAlignment="1">
      <alignment horizontal="center" vertical="center"/>
    </xf>
    <xf numFmtId="172" fontId="6" fillId="46" borderId="10" xfId="1" applyNumberFormat="1" applyFont="1" applyFill="1" applyBorder="1" applyAlignment="1">
      <alignment horizontal="center" vertical="center"/>
    </xf>
    <xf numFmtId="2" fontId="6" fillId="46" borderId="10" xfId="1" applyNumberFormat="1" applyFont="1" applyFill="1" applyBorder="1" applyAlignment="1">
      <alignment horizontal="center" vertical="center"/>
    </xf>
    <xf numFmtId="173" fontId="6" fillId="46" borderId="10" xfId="1" applyNumberFormat="1" applyFont="1" applyFill="1" applyBorder="1" applyAlignment="1">
      <alignment horizontal="center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0" xfId="1" applyFont="1" applyFill="1" applyBorder="1" applyAlignment="1">
      <alignment horizontal="center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vertical="center"/>
    </xf>
    <xf numFmtId="0" fontId="25" fillId="3" borderId="55" xfId="1" applyFont="1" applyFill="1" applyBorder="1" applyAlignment="1">
      <alignment vertical="center"/>
    </xf>
    <xf numFmtId="0" fontId="29" fillId="3" borderId="55" xfId="1" applyFont="1" applyFill="1" applyBorder="1" applyAlignment="1">
      <alignment vertical="center"/>
    </xf>
    <xf numFmtId="0" fontId="29" fillId="3" borderId="11" xfId="1" applyFont="1" applyFill="1" applyBorder="1" applyAlignment="1">
      <alignment vertical="center"/>
    </xf>
    <xf numFmtId="0" fontId="141" fillId="3" borderId="43" xfId="1" applyFont="1" applyFill="1" applyBorder="1" applyAlignment="1">
      <alignment horizontal="center" vertical="center"/>
    </xf>
    <xf numFmtId="0" fontId="141" fillId="3" borderId="55" xfId="1" applyFont="1" applyFill="1" applyBorder="1" applyAlignment="1">
      <alignment horizontal="center" vertical="center"/>
    </xf>
    <xf numFmtId="175" fontId="141" fillId="3" borderId="55" xfId="1" applyNumberFormat="1" applyFont="1" applyFill="1" applyBorder="1" applyAlignment="1">
      <alignment horizontal="center" vertical="center"/>
    </xf>
    <xf numFmtId="172" fontId="141" fillId="0" borderId="43" xfId="1" applyNumberFormat="1" applyFont="1" applyFill="1" applyBorder="1" applyAlignment="1">
      <alignment horizontal="center" vertical="center"/>
    </xf>
    <xf numFmtId="172" fontId="141" fillId="3" borderId="43" xfId="1" applyNumberFormat="1" applyFont="1" applyFill="1" applyBorder="1" applyAlignment="1">
      <alignment horizontal="center" vertical="center"/>
    </xf>
    <xf numFmtId="0" fontId="4" fillId="3" borderId="0" xfId="1" applyFont="1" applyFill="1" applyAlignment="1">
      <alignment vertical="center"/>
    </xf>
    <xf numFmtId="0" fontId="5" fillId="3" borderId="0" xfId="1" applyFont="1" applyFill="1" applyAlignment="1">
      <alignment vertical="center"/>
    </xf>
    <xf numFmtId="0" fontId="6" fillId="3" borderId="0" xfId="1" applyFont="1" applyFill="1" applyAlignment="1">
      <alignment horizontal="center" vertical="center"/>
    </xf>
    <xf numFmtId="0" fontId="8" fillId="3" borderId="0" xfId="1" applyFont="1" applyFill="1" applyBorder="1" applyAlignment="1">
      <alignment horizontal="center" vertical="center"/>
    </xf>
    <xf numFmtId="0" fontId="5" fillId="3" borderId="0" xfId="1" applyFont="1" applyFill="1" applyAlignment="1">
      <alignment horizontal="left" vertical="center"/>
    </xf>
    <xf numFmtId="0" fontId="4" fillId="3" borderId="10" xfId="1" applyFont="1" applyFill="1" applyBorder="1" applyAlignment="1">
      <alignment vertical="center"/>
    </xf>
    <xf numFmtId="0" fontId="3" fillId="3" borderId="10" xfId="1" applyFont="1" applyFill="1" applyBorder="1" applyAlignment="1">
      <alignment vertical="center"/>
    </xf>
    <xf numFmtId="0" fontId="24" fillId="3" borderId="10" xfId="1" applyFont="1" applyFill="1" applyBorder="1" applyAlignment="1">
      <alignment horizontal="center" vertical="center" wrapText="1"/>
    </xf>
    <xf numFmtId="0" fontId="6" fillId="3" borderId="10" xfId="1" applyFont="1" applyFill="1" applyBorder="1" applyAlignment="1">
      <alignment horizontal="center" vertical="center"/>
    </xf>
    <xf numFmtId="0" fontId="24" fillId="3" borderId="10" xfId="1" applyFont="1" applyFill="1" applyBorder="1" applyAlignment="1">
      <alignment horizontal="left" vertical="center" wrapText="1"/>
    </xf>
    <xf numFmtId="0" fontId="44" fillId="3" borderId="10" xfId="1" applyFont="1" applyFill="1" applyBorder="1" applyAlignment="1">
      <alignment horizontal="center" vertical="center" wrapText="1"/>
    </xf>
    <xf numFmtId="9" fontId="4" fillId="3" borderId="10" xfId="1" applyNumberFormat="1" applyFont="1" applyFill="1" applyBorder="1" applyAlignment="1">
      <alignment horizontal="center" vertical="center"/>
    </xf>
    <xf numFmtId="9" fontId="3" fillId="3" borderId="10" xfId="1" applyNumberFormat="1" applyFont="1" applyFill="1" applyBorder="1" applyAlignment="1">
      <alignment horizontal="center" vertical="center"/>
    </xf>
    <xf numFmtId="172" fontId="42" fillId="3" borderId="10" xfId="1" applyNumberFormat="1" applyFont="1" applyFill="1" applyBorder="1" applyAlignment="1">
      <alignment horizontal="right"/>
    </xf>
    <xf numFmtId="172" fontId="6" fillId="3" borderId="10" xfId="1" applyNumberFormat="1" applyFont="1" applyFill="1" applyBorder="1" applyAlignment="1">
      <alignment horizontal="center" vertical="center"/>
    </xf>
    <xf numFmtId="172" fontId="43" fillId="3" borderId="10" xfId="1" applyNumberFormat="1" applyFont="1" applyFill="1" applyBorder="1" applyAlignment="1">
      <alignment horizontal="center" vertical="center"/>
    </xf>
    <xf numFmtId="172" fontId="42" fillId="3" borderId="10" xfId="1" applyNumberFormat="1" applyFont="1" applyFill="1" applyBorder="1" applyAlignment="1">
      <alignment horizontal="left" vertical="center"/>
    </xf>
    <xf numFmtId="0" fontId="4" fillId="3" borderId="10" xfId="1" applyFont="1" applyFill="1" applyBorder="1" applyAlignment="1">
      <alignment horizontal="center" vertical="center"/>
    </xf>
    <xf numFmtId="0" fontId="3" fillId="3" borderId="10" xfId="1" applyFont="1" applyFill="1" applyBorder="1" applyAlignment="1">
      <alignment horizontal="center" vertical="center"/>
    </xf>
    <xf numFmtId="0" fontId="5" fillId="3" borderId="0" xfId="1" applyFont="1" applyFill="1" applyAlignment="1">
      <alignment horizontal="center" vertical="center"/>
    </xf>
    <xf numFmtId="173" fontId="27" fillId="11" borderId="10" xfId="1" quotePrefix="1" applyNumberFormat="1" applyFont="1" applyFill="1" applyBorder="1" applyAlignment="1">
      <alignment horizontal="center" vertical="center"/>
    </xf>
    <xf numFmtId="173" fontId="27" fillId="0" borderId="14" xfId="1" applyNumberFormat="1" applyFont="1" applyFill="1" applyBorder="1" applyAlignment="1">
      <alignment horizontal="center" vertical="center"/>
    </xf>
    <xf numFmtId="173" fontId="27" fillId="0" borderId="15" xfId="1" applyNumberFormat="1" applyFont="1" applyFill="1" applyBorder="1" applyAlignment="1">
      <alignment horizontal="center" vertical="center"/>
    </xf>
    <xf numFmtId="173" fontId="27" fillId="0" borderId="14" xfId="1" quotePrefix="1" applyNumberFormat="1" applyFont="1" applyFill="1" applyBorder="1" applyAlignment="1">
      <alignment horizontal="center" vertical="center"/>
    </xf>
    <xf numFmtId="173" fontId="27" fillId="0" borderId="15" xfId="1" quotePrefix="1" applyNumberFormat="1" applyFont="1" applyFill="1" applyBorder="1" applyAlignment="1">
      <alignment horizontal="center" vertical="center"/>
    </xf>
    <xf numFmtId="172" fontId="8" fillId="4" borderId="6" xfId="1" applyNumberFormat="1" applyFont="1" applyFill="1" applyBorder="1" applyAlignment="1">
      <alignment horizontal="center" vertical="center"/>
    </xf>
    <xf numFmtId="0" fontId="8" fillId="4" borderId="58" xfId="1" applyFont="1" applyFill="1" applyBorder="1" applyAlignment="1">
      <alignment horizontal="center" vertical="center"/>
    </xf>
    <xf numFmtId="0" fontId="8" fillId="4" borderId="59" xfId="1" applyFont="1" applyFill="1" applyBorder="1" applyAlignment="1">
      <alignment horizontal="center" vertical="center"/>
    </xf>
    <xf numFmtId="0" fontId="20" fillId="46" borderId="43" xfId="1" applyFont="1" applyFill="1" applyBorder="1" applyAlignment="1">
      <alignment horizontal="center" vertical="center" wrapText="1"/>
    </xf>
    <xf numFmtId="0" fontId="20" fillId="46" borderId="60" xfId="1" applyFont="1" applyFill="1" applyBorder="1" applyAlignment="1">
      <alignment horizontal="center" vertical="center" wrapText="1"/>
    </xf>
    <xf numFmtId="2" fontId="21" fillId="9" borderId="11" xfId="3" applyNumberFormat="1" applyFont="1" applyFill="1" applyBorder="1" applyAlignment="1">
      <alignment horizontal="center" vertical="center"/>
    </xf>
    <xf numFmtId="2" fontId="21" fillId="9" borderId="57" xfId="3" applyNumberFormat="1" applyFont="1" applyFill="1" applyBorder="1" applyAlignment="1">
      <alignment horizontal="center" vertical="center"/>
    </xf>
    <xf numFmtId="173" fontId="27" fillId="46" borderId="7" xfId="1" applyNumberFormat="1" applyFont="1" applyFill="1" applyBorder="1" applyAlignment="1">
      <alignment horizontal="center" vertical="center"/>
    </xf>
    <xf numFmtId="173" fontId="27" fillId="46" borderId="56" xfId="1" applyNumberFormat="1" applyFont="1" applyFill="1" applyBorder="1" applyAlignment="1">
      <alignment horizontal="center" vertical="center"/>
    </xf>
    <xf numFmtId="172" fontId="30" fillId="0" borderId="61" xfId="1" applyNumberFormat="1" applyFont="1" applyFill="1" applyBorder="1" applyAlignment="1">
      <alignment horizontal="center" vertical="center"/>
    </xf>
    <xf numFmtId="172" fontId="30" fillId="0" borderId="62" xfId="1" applyNumberFormat="1" applyFont="1" applyFill="1" applyBorder="1" applyAlignment="1">
      <alignment horizontal="center" vertical="center"/>
    </xf>
    <xf numFmtId="172" fontId="30" fillId="16" borderId="61" xfId="1" applyNumberFormat="1" applyFont="1" applyFill="1" applyBorder="1" applyAlignment="1">
      <alignment horizontal="center" vertical="center"/>
    </xf>
    <xf numFmtId="172" fontId="30" fillId="16" borderId="62" xfId="1" applyNumberFormat="1" applyFont="1" applyFill="1" applyBorder="1" applyAlignment="1">
      <alignment horizontal="center" vertical="center"/>
    </xf>
    <xf numFmtId="0" fontId="8" fillId="4" borderId="20" xfId="1" applyFont="1" applyFill="1" applyBorder="1" applyAlignment="1">
      <alignment horizontal="center" vertical="center"/>
    </xf>
    <xf numFmtId="2" fontId="21" fillId="9" borderId="43" xfId="3" applyNumberFormat="1" applyFont="1" applyFill="1" applyBorder="1" applyAlignment="1">
      <alignment horizontal="center" vertical="center"/>
    </xf>
    <xf numFmtId="2" fontId="21" fillId="9" borderId="60" xfId="3" applyNumberFormat="1" applyFont="1" applyFill="1" applyBorder="1" applyAlignment="1">
      <alignment horizontal="center" vertical="center"/>
    </xf>
    <xf numFmtId="172" fontId="30" fillId="0" borderId="3" xfId="1" applyNumberFormat="1" applyFont="1" applyFill="1" applyBorder="1" applyAlignment="1">
      <alignment horizontal="center" vertical="center"/>
    </xf>
    <xf numFmtId="172" fontId="30" fillId="0" borderId="63" xfId="1" applyNumberFormat="1" applyFont="1" applyFill="1" applyBorder="1" applyAlignment="1">
      <alignment horizontal="center" vertical="center"/>
    </xf>
    <xf numFmtId="172" fontId="6" fillId="46" borderId="43" xfId="1" applyNumberFormat="1" applyFont="1" applyFill="1" applyBorder="1" applyAlignment="1">
      <alignment horizontal="center" vertical="center"/>
    </xf>
    <xf numFmtId="2" fontId="6" fillId="46" borderId="43" xfId="1" applyNumberFormat="1" applyFont="1" applyFill="1" applyBorder="1" applyAlignment="1">
      <alignment horizontal="center" vertical="center"/>
    </xf>
    <xf numFmtId="173" fontId="6" fillId="46" borderId="43" xfId="1" applyNumberFormat="1" applyFont="1" applyFill="1" applyBorder="1" applyAlignment="1">
      <alignment horizontal="center" vertical="center"/>
    </xf>
    <xf numFmtId="172" fontId="6" fillId="0" borderId="60" xfId="1" applyNumberFormat="1" applyFont="1" applyFill="1" applyBorder="1" applyAlignment="1">
      <alignment horizontal="center" vertical="center"/>
    </xf>
    <xf numFmtId="2" fontId="6" fillId="0" borderId="60" xfId="1" applyNumberFormat="1" applyFont="1" applyFill="1" applyBorder="1" applyAlignment="1">
      <alignment horizontal="center" vertical="center"/>
    </xf>
    <xf numFmtId="0" fontId="3" fillId="3" borderId="64" xfId="1" applyFont="1" applyFill="1" applyBorder="1" applyAlignment="1">
      <alignment horizontal="center" vertical="center"/>
    </xf>
    <xf numFmtId="0" fontId="4" fillId="0" borderId="39" xfId="1" applyFont="1" applyFill="1" applyBorder="1" applyAlignment="1">
      <alignment vertical="center"/>
    </xf>
    <xf numFmtId="0" fontId="3" fillId="0" borderId="39" xfId="1" applyFont="1" applyFill="1" applyBorder="1" applyAlignment="1">
      <alignment vertical="center"/>
    </xf>
    <xf numFmtId="0" fontId="3" fillId="0" borderId="5" xfId="1" applyFont="1" applyFill="1" applyBorder="1" applyAlignment="1">
      <alignment horizontal="center" vertical="center" wrapText="1"/>
    </xf>
    <xf numFmtId="2" fontId="13" fillId="6" borderId="4" xfId="1" applyNumberFormat="1" applyFont="1" applyFill="1" applyBorder="1" applyAlignment="1">
      <alignment horizontal="center" vertical="center" wrapText="1"/>
    </xf>
    <xf numFmtId="0" fontId="24" fillId="15" borderId="5" xfId="1" applyFont="1" applyFill="1" applyBorder="1" applyAlignment="1">
      <alignment horizontal="center" vertical="center" wrapText="1"/>
    </xf>
    <xf numFmtId="0" fontId="24" fillId="13" borderId="5" xfId="1" applyFont="1" applyFill="1" applyBorder="1" applyAlignment="1">
      <alignment horizontal="left" vertical="center" wrapText="1"/>
    </xf>
    <xf numFmtId="0" fontId="24" fillId="15" borderId="59" xfId="1" applyFont="1" applyFill="1" applyBorder="1" applyAlignment="1">
      <alignment horizontal="center" vertical="center" wrapText="1"/>
    </xf>
    <xf numFmtId="0" fontId="24" fillId="15" borderId="20" xfId="1" applyFont="1" applyFill="1" applyBorder="1" applyAlignment="1">
      <alignment horizontal="center" vertical="center" wrapText="1"/>
    </xf>
    <xf numFmtId="0" fontId="4" fillId="0" borderId="43" xfId="1" applyFont="1" applyFill="1" applyBorder="1" applyAlignment="1">
      <alignment horizontal="center" vertical="center"/>
    </xf>
    <xf numFmtId="2" fontId="3" fillId="8" borderId="60" xfId="1" applyNumberFormat="1" applyFont="1" applyFill="1" applyBorder="1" applyAlignment="1">
      <alignment horizontal="center" vertical="center"/>
    </xf>
    <xf numFmtId="0" fontId="4" fillId="0" borderId="65" xfId="1" applyFont="1" applyFill="1" applyBorder="1" applyAlignment="1">
      <alignment horizontal="center" vertical="center"/>
    </xf>
    <xf numFmtId="0" fontId="4" fillId="0" borderId="66" xfId="1" applyFont="1" applyFill="1" applyBorder="1" applyAlignment="1">
      <alignment horizontal="center" vertical="center"/>
    </xf>
    <xf numFmtId="0" fontId="3" fillId="0" borderId="66" xfId="1" applyFont="1" applyFill="1" applyBorder="1" applyAlignment="1">
      <alignment horizontal="center" vertical="center"/>
    </xf>
    <xf numFmtId="172" fontId="6" fillId="0" borderId="66" xfId="1" applyNumberFormat="1" applyFont="1" applyFill="1" applyBorder="1" applyAlignment="1">
      <alignment horizontal="center" vertical="center"/>
    </xf>
    <xf numFmtId="172" fontId="6" fillId="0" borderId="67" xfId="1" applyNumberFormat="1" applyFont="1" applyFill="1" applyBorder="1" applyAlignment="1">
      <alignment horizontal="center" vertical="center"/>
    </xf>
    <xf numFmtId="172" fontId="6" fillId="46" borderId="65" xfId="1" applyNumberFormat="1" applyFont="1" applyFill="1" applyBorder="1" applyAlignment="1">
      <alignment horizontal="center" vertical="center"/>
    </xf>
    <xf numFmtId="172" fontId="6" fillId="46" borderId="66" xfId="1" applyNumberFormat="1" applyFont="1" applyFill="1" applyBorder="1" applyAlignment="1">
      <alignment horizontal="center" vertical="center"/>
    </xf>
    <xf numFmtId="2" fontId="3" fillId="8" borderId="67" xfId="1" applyNumberFormat="1" applyFont="1" applyFill="1" applyBorder="1" applyAlignment="1">
      <alignment horizontal="center" vertical="center"/>
    </xf>
    <xf numFmtId="0" fontId="24" fillId="14" borderId="6" xfId="1" applyFont="1" applyFill="1" applyBorder="1" applyAlignment="1">
      <alignment vertical="center" wrapText="1"/>
    </xf>
    <xf numFmtId="0" fontId="3" fillId="0" borderId="68" xfId="1" applyFont="1" applyFill="1" applyBorder="1" applyAlignment="1">
      <alignment horizontal="center" vertical="center" wrapText="1"/>
    </xf>
    <xf numFmtId="0" fontId="24" fillId="14" borderId="16" xfId="1" applyFont="1" applyFill="1" applyBorder="1" applyAlignment="1">
      <alignment horizontal="center" vertical="center" wrapText="1"/>
    </xf>
    <xf numFmtId="0" fontId="24" fillId="14" borderId="69" xfId="1" applyFont="1" applyFill="1" applyBorder="1" applyAlignment="1">
      <alignment horizontal="center" vertical="center" wrapText="1"/>
    </xf>
    <xf numFmtId="0" fontId="24" fillId="14" borderId="70" xfId="1" applyFont="1" applyFill="1" applyBorder="1" applyAlignment="1">
      <alignment vertical="center" wrapText="1"/>
    </xf>
    <xf numFmtId="0" fontId="3" fillId="0" borderId="71" xfId="1" applyFont="1" applyFill="1" applyBorder="1" applyAlignment="1">
      <alignment horizontal="left" vertical="center" wrapText="1"/>
    </xf>
    <xf numFmtId="173" fontId="6" fillId="0" borderId="66" xfId="1" applyNumberFormat="1" applyFont="1" applyFill="1" applyBorder="1" applyAlignment="1">
      <alignment horizontal="center" vertical="center"/>
    </xf>
    <xf numFmtId="173" fontId="38" fillId="13" borderId="66" xfId="1" applyNumberFormat="1" applyFont="1" applyFill="1" applyBorder="1" applyAlignment="1">
      <alignment horizontal="left" vertical="center"/>
    </xf>
    <xf numFmtId="173" fontId="6" fillId="46" borderId="65" xfId="1" applyNumberFormat="1" applyFont="1" applyFill="1" applyBorder="1" applyAlignment="1">
      <alignment horizontal="center" vertical="center"/>
    </xf>
    <xf numFmtId="173" fontId="6" fillId="46" borderId="66" xfId="1" applyNumberFormat="1" applyFont="1" applyFill="1" applyBorder="1" applyAlignment="1">
      <alignment horizontal="center" vertical="center"/>
    </xf>
    <xf numFmtId="173" fontId="6" fillId="0" borderId="60" xfId="1" applyNumberFormat="1" applyFont="1" applyFill="1" applyBorder="1" applyAlignment="1">
      <alignment horizontal="center" vertical="center"/>
    </xf>
    <xf numFmtId="173" fontId="6" fillId="0" borderId="67" xfId="1" applyNumberFormat="1" applyFont="1" applyFill="1" applyBorder="1" applyAlignment="1">
      <alignment horizontal="center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173" fontId="6" fillId="46" borderId="15" xfId="1" applyNumberFormat="1" applyFont="1" applyFill="1" applyBorder="1" applyAlignment="1">
      <alignment horizontal="center" vertical="center"/>
    </xf>
    <xf numFmtId="2" fontId="3" fillId="8" borderId="52" xfId="1" applyNumberFormat="1" applyFont="1" applyFill="1" applyBorder="1" applyAlignment="1">
      <alignment horizontal="center" vertical="center"/>
    </xf>
    <xf numFmtId="0" fontId="19" fillId="0" borderId="15" xfId="1" applyFont="1" applyFill="1" applyBorder="1" applyAlignment="1">
      <alignment horizontal="left" vertical="center" wrapText="1"/>
    </xf>
    <xf numFmtId="173" fontId="38" fillId="0" borderId="10" xfId="1" applyNumberFormat="1" applyFont="1" applyFill="1" applyBorder="1" applyAlignment="1">
      <alignment horizontal="left" vertical="center"/>
    </xf>
    <xf numFmtId="173" fontId="38" fillId="0" borderId="66" xfId="1" applyNumberFormat="1" applyFont="1" applyFill="1" applyBorder="1" applyAlignment="1">
      <alignment horizontal="left" vertical="center"/>
    </xf>
    <xf numFmtId="0" fontId="4" fillId="0" borderId="11" xfId="1" applyFont="1" applyFill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/>
    </xf>
    <xf numFmtId="173" fontId="6" fillId="46" borderId="9" xfId="1" applyNumberFormat="1" applyFont="1" applyFill="1" applyBorder="1" applyAlignment="1">
      <alignment horizontal="center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2" fontId="31" fillId="0" borderId="18" xfId="1" applyNumberFormat="1" applyFont="1" applyFill="1" applyBorder="1" applyAlignment="1">
      <alignment horizontal="left" vertical="top"/>
    </xf>
    <xf numFmtId="172" fontId="30" fillId="16" borderId="18" xfId="1" applyNumberFormat="1" applyFont="1" applyFill="1" applyBorder="1" applyAlignment="1">
      <alignment horizontal="center" vertical="top"/>
    </xf>
    <xf numFmtId="2" fontId="32" fillId="4" borderId="6" xfId="1" applyNumberFormat="1" applyFont="1" applyFill="1" applyBorder="1" applyAlignment="1">
      <alignment horizontal="left" vertical="top"/>
    </xf>
    <xf numFmtId="167" fontId="35" fillId="0" borderId="0" xfId="3" applyFont="1" applyFill="1" applyBorder="1" applyAlignment="1">
      <alignment horizontal="left" vertical="top"/>
    </xf>
    <xf numFmtId="0" fontId="24" fillId="10" borderId="15" xfId="1" applyFont="1" applyFill="1" applyBorder="1" applyAlignment="1">
      <alignment horizontal="left" vertical="top"/>
    </xf>
    <xf numFmtId="0" fontId="24" fillId="10" borderId="9" xfId="1" applyFont="1" applyFill="1" applyBorder="1" applyAlignment="1">
      <alignment horizontal="left" vertical="top"/>
    </xf>
    <xf numFmtId="172" fontId="30" fillId="0" borderId="18" xfId="1" applyNumberFormat="1" applyFont="1" applyFill="1" applyBorder="1" applyAlignment="1">
      <alignment horizontal="center" vertical="top"/>
    </xf>
    <xf numFmtId="0" fontId="24" fillId="9" borderId="15" xfId="1" applyFont="1" applyFill="1" applyBorder="1" applyAlignment="1">
      <alignment horizontal="left" vertical="top"/>
    </xf>
    <xf numFmtId="0" fontId="24" fillId="9" borderId="9" xfId="1" applyFont="1" applyFill="1" applyBorder="1" applyAlignment="1">
      <alignment horizontal="left" vertical="top"/>
    </xf>
    <xf numFmtId="0" fontId="35" fillId="0" borderId="0" xfId="1" applyFont="1" applyFill="1" applyBorder="1" applyAlignment="1">
      <alignment horizontal="left" vertical="top" wrapText="1"/>
    </xf>
    <xf numFmtId="2" fontId="31" fillId="0" borderId="4" xfId="1" applyNumberFormat="1" applyFont="1" applyFill="1" applyBorder="1" applyAlignment="1">
      <alignment horizontal="left" vertical="top"/>
    </xf>
    <xf numFmtId="2" fontId="31" fillId="0" borderId="12" xfId="1" applyNumberFormat="1" applyFont="1" applyFill="1" applyBorder="1" applyAlignment="1">
      <alignment horizontal="center" vertical="top"/>
    </xf>
    <xf numFmtId="173" fontId="12" fillId="0" borderId="0" xfId="1" applyNumberFormat="1" applyFont="1" applyFill="1" applyBorder="1" applyAlignment="1">
      <alignment horizontal="left" vertical="top"/>
    </xf>
    <xf numFmtId="2" fontId="40" fillId="9" borderId="15" xfId="0" applyNumberFormat="1" applyFont="1" applyFill="1" applyBorder="1" applyAlignment="1">
      <alignment horizontal="left" vertical="top"/>
    </xf>
    <xf numFmtId="2" fontId="40" fillId="9" borderId="9" xfId="0" applyNumberFormat="1" applyFont="1" applyFill="1" applyBorder="1" applyAlignment="1">
      <alignment horizontal="left" vertical="top"/>
    </xf>
    <xf numFmtId="167" fontId="35" fillId="0" borderId="15" xfId="3" applyFont="1" applyFill="1" applyBorder="1" applyAlignment="1">
      <alignment horizontal="left" vertical="top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173" fontId="27" fillId="47" borderId="8" xfId="1" applyNumberFormat="1" applyFont="1" applyFill="1" applyBorder="1" applyAlignment="1">
      <alignment horizontal="center" vertical="center"/>
    </xf>
    <xf numFmtId="173" fontId="27" fillId="47" borderId="10" xfId="1" applyNumberFormat="1" applyFont="1" applyFill="1" applyBorder="1" applyAlignment="1">
      <alignment horizontal="center" vertical="center"/>
    </xf>
    <xf numFmtId="173" fontId="27" fillId="47" borderId="8" xfId="1" quotePrefix="1" applyNumberFormat="1" applyFont="1" applyFill="1" applyBorder="1" applyAlignment="1">
      <alignment horizontal="center" vertical="center"/>
    </xf>
    <xf numFmtId="173" fontId="27" fillId="47" borderId="10" xfId="1" quotePrefix="1" applyNumberFormat="1" applyFont="1" applyFill="1" applyBorder="1" applyAlignment="1">
      <alignment horizontal="center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0" fontId="27" fillId="0" borderId="15" xfId="1" applyFont="1" applyFill="1" applyBorder="1" applyAlignment="1">
      <alignment horizontal="center" vertical="center" wrapText="1"/>
    </xf>
    <xf numFmtId="2" fontId="27" fillId="0" borderId="15" xfId="1" applyNumberFormat="1" applyFont="1" applyFill="1" applyBorder="1" applyAlignment="1">
      <alignment horizontal="center" vertical="center" wrapText="1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2" fontId="3" fillId="3" borderId="0" xfId="1" applyNumberFormat="1" applyFont="1" applyFill="1" applyAlignment="1">
      <alignment vertical="center"/>
    </xf>
    <xf numFmtId="2" fontId="8" fillId="3" borderId="0" xfId="1" applyNumberFormat="1" applyFont="1" applyFill="1" applyAlignment="1">
      <alignment horizontal="center" vertical="center"/>
    </xf>
    <xf numFmtId="2" fontId="3" fillId="3" borderId="0" xfId="1" applyNumberFormat="1" applyFont="1" applyFill="1" applyAlignment="1">
      <alignment horizontal="left" vertical="center"/>
    </xf>
    <xf numFmtId="0" fontId="8" fillId="3" borderId="0" xfId="1" applyFont="1" applyFill="1" applyAlignment="1">
      <alignment horizontal="center" vertical="center"/>
    </xf>
    <xf numFmtId="172" fontId="3" fillId="3" borderId="0" xfId="1" applyNumberFormat="1" applyFont="1" applyFill="1" applyAlignment="1">
      <alignment vertical="center"/>
    </xf>
    <xf numFmtId="172" fontId="3" fillId="4" borderId="5" xfId="1" applyNumberFormat="1" applyFont="1" applyFill="1" applyBorder="1" applyAlignment="1">
      <alignment horizontal="center" vertical="center"/>
    </xf>
    <xf numFmtId="2" fontId="142" fillId="4" borderId="6" xfId="1" applyNumberFormat="1" applyFont="1" applyFill="1" applyBorder="1" applyAlignment="1">
      <alignment horizontal="left" vertical="top"/>
    </xf>
    <xf numFmtId="172" fontId="3" fillId="4" borderId="6" xfId="1" applyNumberFormat="1" applyFont="1" applyFill="1" applyBorder="1" applyAlignment="1">
      <alignment horizontal="center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172" fontId="30" fillId="47" borderId="18" xfId="1" applyNumberFormat="1" applyFont="1" applyFill="1" applyBorder="1" applyAlignment="1">
      <alignment horizontal="center" vertical="center"/>
    </xf>
    <xf numFmtId="172" fontId="30" fillId="47" borderId="4" xfId="1" applyNumberFormat="1" applyFont="1" applyFill="1" applyBorder="1" applyAlignment="1">
      <alignment horizontal="center" vertical="center"/>
    </xf>
    <xf numFmtId="169" fontId="12" fillId="0" borderId="64" xfId="1" applyNumberFormat="1" applyFont="1" applyFill="1" applyBorder="1" applyAlignment="1">
      <alignment horizontal="center" vertical="center"/>
    </xf>
    <xf numFmtId="172" fontId="30" fillId="0" borderId="49" xfId="1" applyNumberFormat="1" applyFont="1" applyFill="1" applyBorder="1" applyAlignment="1">
      <alignment horizontal="center" vertical="center"/>
    </xf>
    <xf numFmtId="0" fontId="4" fillId="0" borderId="11" xfId="1" applyFont="1" applyFill="1" applyBorder="1" applyAlignment="1">
      <alignment horizontal="left" vertical="center"/>
    </xf>
    <xf numFmtId="0" fontId="4" fillId="0" borderId="43" xfId="1" applyFont="1" applyFill="1" applyBorder="1" applyAlignment="1">
      <alignment horizontal="left" vertical="center"/>
    </xf>
    <xf numFmtId="0" fontId="4" fillId="0" borderId="65" xfId="1" applyFont="1" applyFill="1" applyBorder="1" applyAlignment="1">
      <alignment horizontal="left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2" fontId="141" fillId="3" borderId="43" xfId="1" applyNumberFormat="1" applyFont="1" applyFill="1" applyBorder="1" applyAlignment="1">
      <alignment horizontal="center" vertical="center"/>
    </xf>
    <xf numFmtId="0" fontId="12" fillId="0" borderId="8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0" fontId="145" fillId="0" borderId="0" xfId="0" applyFont="1" applyFill="1" applyBorder="1" applyAlignment="1">
      <alignment horizontal="left"/>
    </xf>
    <xf numFmtId="175" fontId="146" fillId="0" borderId="0" xfId="6156" applyNumberFormat="1" applyFont="1" applyFill="1" applyBorder="1" applyAlignment="1">
      <alignment horizontal="center" vertical="center"/>
    </xf>
    <xf numFmtId="2" fontId="146" fillId="0" borderId="0" xfId="6156" applyNumberFormat="1" applyFont="1" applyFill="1" applyBorder="1" applyAlignment="1">
      <alignment horizontal="center" vertical="center"/>
    </xf>
    <xf numFmtId="9" fontId="146" fillId="0" borderId="0" xfId="6156" applyFont="1" applyFill="1" applyBorder="1" applyAlignment="1">
      <alignment horizontal="center" vertical="center"/>
    </xf>
    <xf numFmtId="0" fontId="147" fillId="0" borderId="0" xfId="0" applyFont="1" applyFill="1" applyBorder="1"/>
    <xf numFmtId="168" fontId="149" fillId="50" borderId="61" xfId="0" applyNumberFormat="1" applyFont="1" applyFill="1" applyBorder="1" applyAlignment="1">
      <alignment horizontal="center" vertical="center"/>
    </xf>
    <xf numFmtId="168" fontId="149" fillId="50" borderId="18" xfId="0" applyNumberFormat="1" applyFont="1" applyFill="1" applyBorder="1" applyAlignment="1">
      <alignment horizontal="center" vertical="center"/>
    </xf>
    <xf numFmtId="168" fontId="149" fillId="50" borderId="46" xfId="0" applyNumberFormat="1" applyFont="1" applyFill="1" applyBorder="1" applyAlignment="1">
      <alignment horizontal="center" vertical="center"/>
    </xf>
    <xf numFmtId="168" fontId="149" fillId="50" borderId="62" xfId="0" applyNumberFormat="1" applyFont="1" applyFill="1" applyBorder="1" applyAlignment="1">
      <alignment horizontal="center" vertical="center"/>
    </xf>
    <xf numFmtId="0" fontId="149" fillId="50" borderId="61" xfId="0" applyFont="1" applyFill="1" applyBorder="1" applyAlignment="1">
      <alignment horizontal="center" vertical="center"/>
    </xf>
    <xf numFmtId="0" fontId="149" fillId="50" borderId="18" xfId="0" applyFont="1" applyFill="1" applyBorder="1" applyAlignment="1">
      <alignment horizontal="center" vertical="center"/>
    </xf>
    <xf numFmtId="0" fontId="149" fillId="50" borderId="62" xfId="0" applyFont="1" applyFill="1" applyBorder="1" applyAlignment="1">
      <alignment horizontal="center" vertical="center"/>
    </xf>
    <xf numFmtId="168" fontId="149" fillId="51" borderId="61" xfId="0" applyNumberFormat="1" applyFont="1" applyFill="1" applyBorder="1" applyAlignment="1">
      <alignment horizontal="center" vertical="center"/>
    </xf>
    <xf numFmtId="168" fontId="149" fillId="51" borderId="18" xfId="0" applyNumberFormat="1" applyFont="1" applyFill="1" applyBorder="1" applyAlignment="1">
      <alignment horizontal="center" vertical="center"/>
    </xf>
    <xf numFmtId="0" fontId="151" fillId="51" borderId="61" xfId="0" applyFont="1" applyFill="1" applyBorder="1" applyAlignment="1">
      <alignment horizontal="center" vertical="center"/>
    </xf>
    <xf numFmtId="0" fontId="151" fillId="51" borderId="18" xfId="0" applyFont="1" applyFill="1" applyBorder="1" applyAlignment="1">
      <alignment horizontal="center" vertical="center"/>
    </xf>
    <xf numFmtId="175" fontId="149" fillId="50" borderId="11" xfId="0" applyNumberFormat="1" applyFont="1" applyFill="1" applyBorder="1" applyAlignment="1">
      <alignment horizontal="center" vertical="center"/>
    </xf>
    <xf numFmtId="175" fontId="149" fillId="50" borderId="12" xfId="0" applyNumberFormat="1" applyFont="1" applyFill="1" applyBorder="1" applyAlignment="1">
      <alignment horizontal="center" vertical="center"/>
    </xf>
    <xf numFmtId="175" fontId="149" fillId="50" borderId="47" xfId="0" applyNumberFormat="1" applyFont="1" applyFill="1" applyBorder="1" applyAlignment="1">
      <alignment horizontal="center" vertical="center"/>
    </xf>
    <xf numFmtId="175" fontId="149" fillId="50" borderId="57" xfId="0" applyNumberFormat="1" applyFont="1" applyFill="1" applyBorder="1" applyAlignment="1">
      <alignment horizontal="center" vertical="center"/>
    </xf>
    <xf numFmtId="175" fontId="149" fillId="51" borderId="20" xfId="0" applyNumberFormat="1" applyFont="1" applyFill="1" applyBorder="1" applyAlignment="1">
      <alignment horizontal="center"/>
    </xf>
    <xf numFmtId="175" fontId="149" fillId="51" borderId="5" xfId="0" applyNumberFormat="1" applyFont="1" applyFill="1" applyBorder="1" applyAlignment="1">
      <alignment horizontal="center"/>
    </xf>
    <xf numFmtId="175" fontId="147" fillId="51" borderId="20" xfId="0" applyNumberFormat="1" applyFont="1" applyFill="1" applyBorder="1" applyAlignment="1">
      <alignment horizontal="center"/>
    </xf>
    <xf numFmtId="175" fontId="147" fillId="51" borderId="5" xfId="0" applyNumberFormat="1" applyFont="1" applyFill="1" applyBorder="1" applyAlignment="1">
      <alignment horizontal="center"/>
    </xf>
    <xf numFmtId="175" fontId="149" fillId="0" borderId="43" xfId="0" applyNumberFormat="1" applyFont="1" applyFill="1" applyBorder="1" applyAlignment="1">
      <alignment horizontal="center" vertical="center"/>
    </xf>
    <xf numFmtId="175" fontId="149" fillId="0" borderId="10" xfId="0" applyNumberFormat="1" applyFont="1" applyFill="1" applyBorder="1" applyAlignment="1">
      <alignment horizontal="center" vertical="center"/>
    </xf>
    <xf numFmtId="175" fontId="149" fillId="0" borderId="15" xfId="0" applyNumberFormat="1" applyFont="1" applyFill="1" applyBorder="1" applyAlignment="1">
      <alignment horizontal="center" vertical="center"/>
    </xf>
    <xf numFmtId="175" fontId="149" fillId="0" borderId="60" xfId="0" applyNumberFormat="1" applyFont="1" applyFill="1" applyBorder="1" applyAlignment="1">
      <alignment horizontal="center" vertical="center"/>
    </xf>
    <xf numFmtId="175" fontId="149" fillId="0" borderId="43" xfId="0" applyNumberFormat="1" applyFont="1" applyFill="1" applyBorder="1" applyAlignment="1">
      <alignment horizontal="center"/>
    </xf>
    <xf numFmtId="175" fontId="149" fillId="0" borderId="10" xfId="0" applyNumberFormat="1" applyFont="1" applyFill="1" applyBorder="1" applyAlignment="1">
      <alignment horizontal="center"/>
    </xf>
    <xf numFmtId="175" fontId="147" fillId="0" borderId="10" xfId="0" applyNumberFormat="1" applyFont="1" applyFill="1" applyBorder="1" applyAlignment="1">
      <alignment horizontal="center"/>
    </xf>
    <xf numFmtId="175" fontId="147" fillId="0" borderId="43" xfId="0" applyNumberFormat="1" applyFont="1" applyFill="1" applyBorder="1" applyAlignment="1">
      <alignment horizontal="center"/>
    </xf>
    <xf numFmtId="175" fontId="149" fillId="50" borderId="43" xfId="0" applyNumberFormat="1" applyFont="1" applyFill="1" applyBorder="1" applyAlignment="1">
      <alignment horizontal="center" vertical="center"/>
    </xf>
    <xf numFmtId="175" fontId="149" fillId="50" borderId="10" xfId="0" applyNumberFormat="1" applyFont="1" applyFill="1" applyBorder="1" applyAlignment="1">
      <alignment horizontal="center" vertical="center"/>
    </xf>
    <xf numFmtId="175" fontId="149" fillId="50" borderId="15" xfId="0" applyNumberFormat="1" applyFont="1" applyFill="1" applyBorder="1" applyAlignment="1">
      <alignment horizontal="center" vertical="center"/>
    </xf>
    <xf numFmtId="0" fontId="149" fillId="0" borderId="0" xfId="0" applyFont="1" applyFill="1" applyBorder="1" applyAlignment="1">
      <alignment horizontal="center" vertical="center"/>
    </xf>
    <xf numFmtId="175" fontId="149" fillId="0" borderId="0" xfId="0" applyNumberFormat="1" applyFont="1" applyFill="1" applyBorder="1" applyAlignment="1">
      <alignment horizontal="center" vertical="center"/>
    </xf>
    <xf numFmtId="175" fontId="146" fillId="0" borderId="0" xfId="0" applyNumberFormat="1" applyFont="1" applyFill="1" applyBorder="1" applyAlignment="1">
      <alignment horizontal="center" vertical="center"/>
    </xf>
    <xf numFmtId="0" fontId="146" fillId="0" borderId="0" xfId="0" applyFont="1" applyFill="1" applyBorder="1" applyAlignment="1">
      <alignment horizontal="center" vertical="center"/>
    </xf>
    <xf numFmtId="0" fontId="149" fillId="0" borderId="0" xfId="0" applyFont="1" applyFill="1" applyBorder="1"/>
    <xf numFmtId="175" fontId="145" fillId="0" borderId="0" xfId="0" applyNumberFormat="1" applyFont="1" applyFill="1" applyBorder="1" applyAlignment="1">
      <alignment horizontal="center" vertical="center"/>
    </xf>
    <xf numFmtId="9" fontId="154" fillId="0" borderId="0" xfId="6156" applyFont="1"/>
    <xf numFmtId="9" fontId="155" fillId="0" borderId="0" xfId="6156" applyFont="1"/>
    <xf numFmtId="198" fontId="156" fillId="0" borderId="0" xfId="6157" applyNumberFormat="1" applyFont="1"/>
    <xf numFmtId="2" fontId="156" fillId="0" borderId="0" xfId="6157" applyNumberFormat="1" applyFont="1"/>
    <xf numFmtId="2" fontId="154" fillId="0" borderId="0" xfId="6157" applyNumberFormat="1" applyFont="1"/>
    <xf numFmtId="198" fontId="154" fillId="0" borderId="0" xfId="6157" applyNumberFormat="1" applyFont="1"/>
    <xf numFmtId="0" fontId="150" fillId="9" borderId="1" xfId="0" applyFont="1" applyFill="1" applyBorder="1" applyAlignment="1">
      <alignment vertical="center"/>
    </xf>
    <xf numFmtId="168" fontId="151" fillId="50" borderId="45" xfId="0" applyNumberFormat="1" applyFont="1" applyFill="1" applyBorder="1" applyAlignment="1">
      <alignment horizontal="center" vertical="center"/>
    </xf>
    <xf numFmtId="168" fontId="151" fillId="50" borderId="62" xfId="0" applyNumberFormat="1" applyFont="1" applyFill="1" applyBorder="1" applyAlignment="1">
      <alignment horizontal="center" vertical="center"/>
    </xf>
    <xf numFmtId="0" fontId="151" fillId="50" borderId="72" xfId="0" applyFont="1" applyFill="1" applyBorder="1" applyAlignment="1">
      <alignment horizontal="center" vertical="center"/>
    </xf>
    <xf numFmtId="168" fontId="149" fillId="52" borderId="61" xfId="0" applyNumberFormat="1" applyFont="1" applyFill="1" applyBorder="1" applyAlignment="1">
      <alignment horizontal="center" vertical="center"/>
    </xf>
    <xf numFmtId="168" fontId="149" fillId="52" borderId="18" xfId="0" applyNumberFormat="1" applyFont="1" applyFill="1" applyBorder="1" applyAlignment="1">
      <alignment horizontal="center" vertical="center"/>
    </xf>
    <xf numFmtId="168" fontId="149" fillId="52" borderId="2" xfId="0" applyNumberFormat="1" applyFont="1" applyFill="1" applyBorder="1" applyAlignment="1">
      <alignment horizontal="center" vertical="center"/>
    </xf>
    <xf numFmtId="0" fontId="151" fillId="52" borderId="45" xfId="0" applyFont="1" applyFill="1" applyBorder="1" applyAlignment="1">
      <alignment horizontal="center" vertical="center"/>
    </xf>
    <xf numFmtId="0" fontId="151" fillId="52" borderId="5" xfId="0" applyFont="1" applyFill="1" applyBorder="1" applyAlignment="1">
      <alignment horizontal="center" vertical="center"/>
    </xf>
    <xf numFmtId="0" fontId="147" fillId="0" borderId="16" xfId="0" applyFont="1" applyFill="1" applyBorder="1" applyAlignment="1">
      <alignment vertical="center"/>
    </xf>
    <xf numFmtId="175" fontId="152" fillId="0" borderId="52" xfId="0" applyNumberFormat="1" applyFont="1" applyFill="1" applyBorder="1" applyAlignment="1">
      <alignment horizontal="center" vertical="center"/>
    </xf>
    <xf numFmtId="175" fontId="152" fillId="0" borderId="60" xfId="0" applyNumberFormat="1" applyFont="1" applyFill="1" applyBorder="1" applyAlignment="1">
      <alignment horizontal="center" vertical="center"/>
    </xf>
    <xf numFmtId="175" fontId="152" fillId="0" borderId="74" xfId="0" applyNumberFormat="1" applyFont="1" applyFill="1" applyBorder="1" applyAlignment="1">
      <alignment horizontal="center" vertical="center"/>
    </xf>
    <xf numFmtId="175" fontId="149" fillId="0" borderId="17" xfId="0" applyNumberFormat="1" applyFont="1" applyFill="1" applyBorder="1" applyAlignment="1">
      <alignment horizontal="center"/>
    </xf>
    <xf numFmtId="0" fontId="147" fillId="51" borderId="21" xfId="0" applyFont="1" applyFill="1" applyBorder="1" applyAlignment="1">
      <alignment vertical="center"/>
    </xf>
    <xf numFmtId="175" fontId="149" fillId="50" borderId="42" xfId="0" applyNumberFormat="1" applyFont="1" applyFill="1" applyBorder="1" applyAlignment="1">
      <alignment horizontal="center" vertical="center"/>
    </xf>
    <xf numFmtId="175" fontId="149" fillId="50" borderId="76" xfId="0" applyNumberFormat="1" applyFont="1" applyFill="1" applyBorder="1" applyAlignment="1">
      <alignment horizontal="center" vertical="center"/>
    </xf>
    <xf numFmtId="175" fontId="152" fillId="50" borderId="77" xfId="0" applyNumberFormat="1" applyFont="1" applyFill="1" applyBorder="1" applyAlignment="1">
      <alignment horizontal="center" vertical="center"/>
    </xf>
    <xf numFmtId="175" fontId="149" fillId="50" borderId="55" xfId="0" applyNumberFormat="1" applyFont="1" applyFill="1" applyBorder="1" applyAlignment="1">
      <alignment horizontal="center" vertical="center"/>
    </xf>
    <xf numFmtId="175" fontId="149" fillId="50" borderId="13" xfId="0" applyNumberFormat="1" applyFont="1" applyFill="1" applyBorder="1" applyAlignment="1">
      <alignment horizontal="center" vertical="center"/>
    </xf>
    <xf numFmtId="175" fontId="152" fillId="50" borderId="76" xfId="0" applyNumberFormat="1" applyFont="1" applyFill="1" applyBorder="1" applyAlignment="1">
      <alignment horizontal="center" vertical="center"/>
    </xf>
    <xf numFmtId="175" fontId="152" fillId="50" borderId="78" xfId="0" applyNumberFormat="1" applyFont="1" applyFill="1" applyBorder="1" applyAlignment="1">
      <alignment horizontal="center" vertical="center"/>
    </xf>
    <xf numFmtId="175" fontId="149" fillId="0" borderId="43" xfId="2742" applyNumberFormat="1" applyFont="1" applyFill="1" applyBorder="1" applyAlignment="1">
      <alignment horizontal="center"/>
    </xf>
    <xf numFmtId="175" fontId="149" fillId="0" borderId="10" xfId="2742" applyNumberFormat="1" applyFont="1" applyFill="1" applyBorder="1" applyAlignment="1">
      <alignment horizontal="center"/>
    </xf>
    <xf numFmtId="175" fontId="149" fillId="0" borderId="17" xfId="2742" applyNumberFormat="1" applyFont="1" applyFill="1" applyBorder="1" applyAlignment="1">
      <alignment horizontal="center"/>
    </xf>
    <xf numFmtId="175" fontId="147" fillId="0" borderId="10" xfId="2742" applyNumberFormat="1" applyFont="1" applyFill="1" applyBorder="1" applyAlignment="1">
      <alignment horizontal="center"/>
    </xf>
    <xf numFmtId="175" fontId="147" fillId="0" borderId="43" xfId="2742" applyNumberFormat="1" applyFont="1" applyFill="1" applyBorder="1" applyAlignment="1">
      <alignment horizontal="center"/>
    </xf>
    <xf numFmtId="175" fontId="147" fillId="0" borderId="60" xfId="2742" applyNumberFormat="1" applyFont="1" applyFill="1" applyBorder="1" applyAlignment="1">
      <alignment horizontal="center"/>
    </xf>
    <xf numFmtId="0" fontId="147" fillId="0" borderId="0" xfId="2742" applyFont="1" applyFill="1"/>
    <xf numFmtId="2" fontId="151" fillId="8" borderId="0" xfId="0" applyNumberFormat="1" applyFont="1" applyFill="1" applyBorder="1" applyAlignment="1" applyProtection="1">
      <alignment horizontal="left" vertical="center"/>
    </xf>
    <xf numFmtId="0" fontId="146" fillId="0" borderId="0" xfId="0" applyFont="1" applyFill="1" applyBorder="1" applyAlignment="1">
      <alignment vertical="center"/>
    </xf>
    <xf numFmtId="0" fontId="152" fillId="0" borderId="0" xfId="0" applyFont="1" applyFill="1" applyBorder="1" applyAlignment="1">
      <alignment vertical="center"/>
    </xf>
    <xf numFmtId="0" fontId="147" fillId="0" borderId="0" xfId="0" applyFont="1" applyFill="1" applyBorder="1" applyAlignment="1">
      <alignment vertical="center"/>
    </xf>
    <xf numFmtId="0" fontId="146" fillId="0" borderId="0" xfId="0" applyFont="1" applyFill="1" applyBorder="1"/>
    <xf numFmtId="175" fontId="146" fillId="0" borderId="0" xfId="0" applyNumberFormat="1" applyFont="1" applyFill="1" applyBorder="1"/>
    <xf numFmtId="0" fontId="152" fillId="0" borderId="0" xfId="0" applyFont="1" applyFill="1" applyBorder="1"/>
    <xf numFmtId="168" fontId="149" fillId="52" borderId="46" xfId="0" applyNumberFormat="1" applyFont="1" applyFill="1" applyBorder="1" applyAlignment="1">
      <alignment horizontal="center" vertical="center"/>
    </xf>
    <xf numFmtId="175" fontId="149" fillId="0" borderId="15" xfId="0" applyNumberFormat="1" applyFont="1" applyFill="1" applyBorder="1" applyAlignment="1">
      <alignment horizontal="center"/>
    </xf>
    <xf numFmtId="175" fontId="149" fillId="0" borderId="15" xfId="2742" applyNumberFormat="1" applyFont="1" applyFill="1" applyBorder="1" applyAlignment="1">
      <alignment horizontal="center"/>
    </xf>
    <xf numFmtId="168" fontId="149" fillId="51" borderId="54" xfId="0" applyNumberFormat="1" applyFont="1" applyFill="1" applyBorder="1" applyAlignment="1">
      <alignment horizontal="center" vertical="center"/>
    </xf>
    <xf numFmtId="175" fontId="149" fillId="51" borderId="68" xfId="0" applyNumberFormat="1" applyFont="1" applyFill="1" applyBorder="1" applyAlignment="1">
      <alignment horizontal="center"/>
    </xf>
    <xf numFmtId="0" fontId="147" fillId="0" borderId="19" xfId="0" applyFont="1" applyFill="1" applyBorder="1"/>
    <xf numFmtId="168" fontId="149" fillId="51" borderId="62" xfId="0" applyNumberFormat="1" applyFont="1" applyFill="1" applyBorder="1" applyAlignment="1">
      <alignment horizontal="center" vertical="center"/>
    </xf>
    <xf numFmtId="0" fontId="150" fillId="0" borderId="0" xfId="0" applyFont="1" applyFill="1" applyBorder="1"/>
    <xf numFmtId="175" fontId="149" fillId="51" borderId="59" xfId="0" applyNumberFormat="1" applyFont="1" applyFill="1" applyBorder="1" applyAlignment="1">
      <alignment horizontal="center"/>
    </xf>
    <xf numFmtId="175" fontId="149" fillId="0" borderId="60" xfId="0" applyNumberFormat="1" applyFont="1" applyFill="1" applyBorder="1" applyAlignment="1">
      <alignment horizontal="center"/>
    </xf>
    <xf numFmtId="0" fontId="150" fillId="0" borderId="0" xfId="0" applyFont="1" applyFill="1" applyBorder="1" applyAlignment="1">
      <alignment vertical="center"/>
    </xf>
    <xf numFmtId="168" fontId="149" fillId="51" borderId="2" xfId="0" applyNumberFormat="1" applyFont="1" applyFill="1" applyBorder="1" applyAlignment="1">
      <alignment horizontal="center" vertical="center"/>
    </xf>
    <xf numFmtId="175" fontId="149" fillId="51" borderId="75" xfId="0" applyNumberFormat="1" applyFont="1" applyFill="1" applyBorder="1" applyAlignment="1">
      <alignment horizontal="center"/>
    </xf>
    <xf numFmtId="168" fontId="149" fillId="52" borderId="62" xfId="0" applyNumberFormat="1" applyFont="1" applyFill="1" applyBorder="1" applyAlignment="1">
      <alignment horizontal="center" vertical="center"/>
    </xf>
    <xf numFmtId="175" fontId="149" fillId="0" borderId="60" xfId="2742" applyNumberFormat="1" applyFont="1" applyFill="1" applyBorder="1" applyAlignment="1">
      <alignment horizontal="center"/>
    </xf>
    <xf numFmtId="168" fontId="159" fillId="9" borderId="18" xfId="0" applyNumberFormat="1" applyFont="1" applyFill="1" applyBorder="1" applyAlignment="1">
      <alignment horizontal="center" vertical="center"/>
    </xf>
    <xf numFmtId="168" fontId="149" fillId="9" borderId="18" xfId="0" applyNumberFormat="1" applyFont="1" applyFill="1" applyBorder="1" applyAlignment="1">
      <alignment horizontal="center" vertical="center"/>
    </xf>
    <xf numFmtId="168" fontId="149" fillId="9" borderId="62" xfId="0" applyNumberFormat="1" applyFont="1" applyFill="1" applyBorder="1" applyAlignment="1">
      <alignment horizontal="center" vertical="center"/>
    </xf>
    <xf numFmtId="0" fontId="151" fillId="51" borderId="46" xfId="0" applyFont="1" applyFill="1" applyBorder="1" applyAlignment="1">
      <alignment horizontal="center" vertical="center"/>
    </xf>
    <xf numFmtId="175" fontId="147" fillId="51" borderId="6" xfId="0" applyNumberFormat="1" applyFont="1" applyFill="1" applyBorder="1" applyAlignment="1">
      <alignment horizontal="center"/>
    </xf>
    <xf numFmtId="175" fontId="147" fillId="0" borderId="15" xfId="0" applyNumberFormat="1" applyFont="1" applyFill="1" applyBorder="1" applyAlignment="1">
      <alignment horizontal="center"/>
    </xf>
    <xf numFmtId="175" fontId="149" fillId="54" borderId="12" xfId="0" applyNumberFormat="1" applyFont="1" applyFill="1" applyBorder="1" applyAlignment="1">
      <alignment horizontal="center"/>
    </xf>
    <xf numFmtId="0" fontId="148" fillId="48" borderId="45" xfId="0" applyFont="1" applyFill="1" applyBorder="1" applyAlignment="1">
      <alignment vertical="center"/>
    </xf>
    <xf numFmtId="49" fontId="147" fillId="51" borderId="51" xfId="0" applyNumberFormat="1" applyFont="1" applyFill="1" applyBorder="1" applyAlignment="1">
      <alignment vertical="center"/>
    </xf>
    <xf numFmtId="49" fontId="147" fillId="51" borderId="79" xfId="0" applyNumberFormat="1" applyFont="1" applyFill="1" applyBorder="1" applyAlignment="1">
      <alignment vertical="center"/>
    </xf>
    <xf numFmtId="0" fontId="151" fillId="52" borderId="6" xfId="0" applyFont="1" applyFill="1" applyBorder="1" applyAlignment="1">
      <alignment horizontal="center" vertical="center"/>
    </xf>
    <xf numFmtId="175" fontId="158" fillId="0" borderId="11" xfId="2742" applyNumberFormat="1" applyFont="1" applyFill="1" applyBorder="1" applyAlignment="1">
      <alignment horizontal="center"/>
    </xf>
    <xf numFmtId="175" fontId="159" fillId="0" borderId="12" xfId="2742" applyNumberFormat="1" applyFont="1" applyFill="1" applyBorder="1" applyAlignment="1">
      <alignment horizontal="center"/>
    </xf>
    <xf numFmtId="175" fontId="149" fillId="0" borderId="12" xfId="2742" applyNumberFormat="1" applyFont="1" applyFill="1" applyBorder="1" applyAlignment="1">
      <alignment horizontal="center"/>
    </xf>
    <xf numFmtId="175" fontId="149" fillId="0" borderId="47" xfId="2742" applyNumberFormat="1" applyFont="1" applyFill="1" applyBorder="1" applyAlignment="1">
      <alignment horizontal="center"/>
    </xf>
    <xf numFmtId="175" fontId="149" fillId="0" borderId="57" xfId="2742" applyNumberFormat="1" applyFont="1" applyFill="1" applyBorder="1" applyAlignment="1">
      <alignment horizontal="center"/>
    </xf>
    <xf numFmtId="175" fontId="147" fillId="0" borderId="80" xfId="2742" applyNumberFormat="1" applyFont="1" applyFill="1" applyBorder="1" applyAlignment="1">
      <alignment horizontal="center"/>
    </xf>
    <xf numFmtId="175" fontId="147" fillId="0" borderId="12" xfId="2742" applyNumberFormat="1" applyFont="1" applyFill="1" applyBorder="1" applyAlignment="1">
      <alignment horizontal="center"/>
    </xf>
    <xf numFmtId="175" fontId="147" fillId="0" borderId="57" xfId="2742" applyNumberFormat="1" applyFont="1" applyFill="1" applyBorder="1" applyAlignment="1">
      <alignment horizontal="center"/>
    </xf>
    <xf numFmtId="175" fontId="159" fillId="0" borderId="23" xfId="0" applyNumberFormat="1" applyFont="1" applyFill="1" applyBorder="1" applyAlignment="1">
      <alignment horizontal="center"/>
    </xf>
    <xf numFmtId="175" fontId="149" fillId="0" borderId="23" xfId="0" applyNumberFormat="1" applyFont="1" applyFill="1" applyBorder="1" applyAlignment="1">
      <alignment horizontal="center"/>
    </xf>
    <xf numFmtId="0" fontId="0" fillId="0" borderId="0" xfId="0" applyFill="1" applyBorder="1"/>
    <xf numFmtId="175" fontId="149" fillId="50" borderId="60" xfId="0" applyNumberFormat="1" applyFont="1" applyFill="1" applyBorder="1" applyAlignment="1">
      <alignment horizontal="center" vertical="center"/>
    </xf>
    <xf numFmtId="175" fontId="149" fillId="51" borderId="43" xfId="0" applyNumberFormat="1" applyFont="1" applyFill="1" applyBorder="1" applyAlignment="1">
      <alignment horizontal="center"/>
    </xf>
    <xf numFmtId="175" fontId="149" fillId="51" borderId="10" xfId="0" applyNumberFormat="1" applyFont="1" applyFill="1" applyBorder="1" applyAlignment="1">
      <alignment horizontal="center"/>
    </xf>
    <xf numFmtId="175" fontId="149" fillId="51" borderId="9" xfId="0" applyNumberFormat="1" applyFont="1" applyFill="1" applyBorder="1" applyAlignment="1">
      <alignment horizontal="center"/>
    </xf>
    <xf numFmtId="175" fontId="149" fillId="51" borderId="17" xfId="0" applyNumberFormat="1" applyFont="1" applyFill="1" applyBorder="1" applyAlignment="1">
      <alignment horizontal="center"/>
    </xf>
    <xf numFmtId="175" fontId="149" fillId="51" borderId="60" xfId="0" applyNumberFormat="1" applyFont="1" applyFill="1" applyBorder="1" applyAlignment="1">
      <alignment horizontal="center"/>
    </xf>
    <xf numFmtId="175" fontId="147" fillId="51" borderId="43" xfId="0" applyNumberFormat="1" applyFont="1" applyFill="1" applyBorder="1" applyAlignment="1">
      <alignment horizontal="center"/>
    </xf>
    <xf numFmtId="175" fontId="147" fillId="51" borderId="10" xfId="0" applyNumberFormat="1" applyFont="1" applyFill="1" applyBorder="1" applyAlignment="1">
      <alignment horizontal="center"/>
    </xf>
    <xf numFmtId="175" fontId="159" fillId="54" borderId="10" xfId="0" applyNumberFormat="1" applyFont="1" applyFill="1" applyBorder="1" applyAlignment="1">
      <alignment horizontal="center"/>
    </xf>
    <xf numFmtId="175" fontId="149" fillId="54" borderId="10" xfId="0" applyNumberFormat="1" applyFont="1" applyFill="1" applyBorder="1" applyAlignment="1">
      <alignment horizontal="center"/>
    </xf>
    <xf numFmtId="175" fontId="149" fillId="54" borderId="15" xfId="0" applyNumberFormat="1" applyFont="1" applyFill="1" applyBorder="1" applyAlignment="1">
      <alignment horizontal="center"/>
    </xf>
    <xf numFmtId="175" fontId="152" fillId="54" borderId="60" xfId="0" applyNumberFormat="1" applyFont="1" applyFill="1" applyBorder="1" applyAlignment="1">
      <alignment horizontal="center"/>
    </xf>
    <xf numFmtId="175" fontId="149" fillId="0" borderId="61" xfId="0" applyNumberFormat="1" applyFont="1" applyFill="1" applyBorder="1" applyAlignment="1">
      <alignment horizontal="center"/>
    </xf>
    <xf numFmtId="175" fontId="149" fillId="0" borderId="18" xfId="0" applyNumberFormat="1" applyFont="1" applyFill="1" applyBorder="1" applyAlignment="1">
      <alignment horizontal="center"/>
    </xf>
    <xf numFmtId="168" fontId="149" fillId="9" borderId="46" xfId="0" applyNumberFormat="1" applyFont="1" applyFill="1" applyBorder="1" applyAlignment="1">
      <alignment horizontal="center" vertical="center"/>
    </xf>
    <xf numFmtId="175" fontId="149" fillId="54" borderId="47" xfId="0" applyNumberFormat="1" applyFont="1" applyFill="1" applyBorder="1" applyAlignment="1">
      <alignment horizontal="center"/>
    </xf>
    <xf numFmtId="168" fontId="149" fillId="9" borderId="61" xfId="0" applyNumberFormat="1" applyFont="1" applyFill="1" applyBorder="1" applyAlignment="1">
      <alignment horizontal="center" vertical="center"/>
    </xf>
    <xf numFmtId="175" fontId="159" fillId="0" borderId="83" xfId="0" applyNumberFormat="1" applyFont="1" applyFill="1" applyBorder="1" applyAlignment="1">
      <alignment horizontal="center"/>
    </xf>
    <xf numFmtId="175" fontId="149" fillId="0" borderId="84" xfId="0" applyNumberFormat="1" applyFont="1" applyFill="1" applyBorder="1" applyAlignment="1">
      <alignment horizontal="center"/>
    </xf>
    <xf numFmtId="175" fontId="159" fillId="0" borderId="81" xfId="0" applyNumberFormat="1" applyFont="1" applyFill="1" applyBorder="1" applyAlignment="1">
      <alignment horizontal="center"/>
    </xf>
    <xf numFmtId="168" fontId="159" fillId="9" borderId="61" xfId="0" applyNumberFormat="1" applyFont="1" applyFill="1" applyBorder="1" applyAlignment="1">
      <alignment horizontal="center" vertical="center"/>
    </xf>
    <xf numFmtId="175" fontId="147" fillId="51" borderId="15" xfId="0" applyNumberFormat="1" applyFont="1" applyFill="1" applyBorder="1" applyAlignment="1">
      <alignment horizontal="center"/>
    </xf>
    <xf numFmtId="1" fontId="149" fillId="50" borderId="0" xfId="0" applyNumberFormat="1" applyFont="1" applyFill="1" applyBorder="1" applyAlignment="1">
      <alignment horizontal="center" vertical="center"/>
    </xf>
    <xf numFmtId="1" fontId="153" fillId="50" borderId="0" xfId="0" applyNumberFormat="1" applyFont="1" applyFill="1" applyBorder="1" applyAlignment="1">
      <alignment horizontal="center" vertical="center"/>
    </xf>
    <xf numFmtId="1" fontId="149" fillId="51" borderId="0" xfId="0" applyNumberFormat="1" applyFont="1" applyFill="1" applyBorder="1" applyAlignment="1">
      <alignment horizontal="center"/>
    </xf>
    <xf numFmtId="1" fontId="149" fillId="51" borderId="19" xfId="0" applyNumberFormat="1" applyFont="1" applyFill="1" applyBorder="1" applyAlignment="1">
      <alignment horizontal="center"/>
    </xf>
    <xf numFmtId="1" fontId="147" fillId="51" borderId="0" xfId="0" applyNumberFormat="1" applyFont="1" applyFill="1" applyBorder="1" applyAlignment="1">
      <alignment horizontal="center"/>
    </xf>
    <xf numFmtId="175" fontId="149" fillId="50" borderId="80" xfId="0" applyNumberFormat="1" applyFont="1" applyFill="1" applyBorder="1" applyAlignment="1">
      <alignment horizontal="center" vertical="center"/>
    </xf>
    <xf numFmtId="175" fontId="149" fillId="50" borderId="9" xfId="0" applyNumberFormat="1" applyFont="1" applyFill="1" applyBorder="1" applyAlignment="1">
      <alignment horizontal="center" vertical="center"/>
    </xf>
    <xf numFmtId="0" fontId="151" fillId="50" borderId="49" xfId="0" applyFont="1" applyFill="1" applyBorder="1" applyAlignment="1">
      <alignment vertical="center"/>
    </xf>
    <xf numFmtId="49" fontId="147" fillId="51" borderId="52" xfId="0" applyNumberFormat="1" applyFont="1" applyFill="1" applyBorder="1" applyAlignment="1">
      <alignment vertical="center"/>
    </xf>
    <xf numFmtId="0" fontId="160" fillId="54" borderId="10" xfId="0" applyFont="1" applyFill="1" applyBorder="1" applyAlignment="1">
      <alignment horizontal="center"/>
    </xf>
    <xf numFmtId="175" fontId="149" fillId="54" borderId="43" xfId="0" applyNumberFormat="1" applyFont="1" applyFill="1" applyBorder="1" applyAlignment="1">
      <alignment horizontal="center"/>
    </xf>
    <xf numFmtId="0" fontId="160" fillId="54" borderId="43" xfId="0" applyFont="1" applyFill="1" applyBorder="1" applyAlignment="1">
      <alignment horizontal="center"/>
    </xf>
    <xf numFmtId="0" fontId="160" fillId="54" borderId="65" xfId="0" applyFont="1" applyFill="1" applyBorder="1" applyAlignment="1">
      <alignment horizontal="center"/>
    </xf>
    <xf numFmtId="0" fontId="160" fillId="54" borderId="66" xfId="0" applyFont="1" applyFill="1" applyBorder="1" applyAlignment="1">
      <alignment horizontal="center"/>
    </xf>
    <xf numFmtId="175" fontId="149" fillId="56" borderId="7" xfId="0" applyNumberFormat="1" applyFont="1" applyFill="1" applyBorder="1" applyAlignment="1">
      <alignment horizontal="center"/>
    </xf>
    <xf numFmtId="175" fontId="149" fillId="56" borderId="8" xfId="0" applyNumberFormat="1" applyFont="1" applyFill="1" applyBorder="1" applyAlignment="1">
      <alignment horizontal="center"/>
    </xf>
    <xf numFmtId="175" fontId="149" fillId="54" borderId="11" xfId="0" applyNumberFormat="1" applyFont="1" applyFill="1" applyBorder="1" applyAlignment="1">
      <alignment horizontal="center"/>
    </xf>
    <xf numFmtId="175" fontId="149" fillId="56" borderId="14" xfId="0" applyNumberFormat="1" applyFont="1" applyFill="1" applyBorder="1" applyAlignment="1">
      <alignment horizontal="center"/>
    </xf>
    <xf numFmtId="1" fontId="160" fillId="54" borderId="15" xfId="0" applyNumberFormat="1" applyFont="1" applyFill="1" applyBorder="1" applyAlignment="1">
      <alignment horizontal="center"/>
    </xf>
    <xf numFmtId="1" fontId="160" fillId="54" borderId="70" xfId="0" applyNumberFormat="1" applyFont="1" applyFill="1" applyBorder="1" applyAlignment="1">
      <alignment horizontal="center"/>
    </xf>
    <xf numFmtId="168" fontId="159" fillId="9" borderId="46" xfId="0" applyNumberFormat="1" applyFont="1" applyFill="1" applyBorder="1" applyAlignment="1">
      <alignment horizontal="center" vertical="center"/>
    </xf>
    <xf numFmtId="0" fontId="160" fillId="57" borderId="1" xfId="0" applyFont="1" applyFill="1" applyBorder="1" applyAlignment="1">
      <alignment horizontal="center"/>
    </xf>
    <xf numFmtId="0" fontId="160" fillId="57" borderId="2" xfId="0" applyFont="1" applyFill="1" applyBorder="1" applyAlignment="1">
      <alignment horizontal="center"/>
    </xf>
    <xf numFmtId="49" fontId="147" fillId="4" borderId="45" xfId="0" applyNumberFormat="1" applyFont="1" applyFill="1" applyBorder="1" applyAlignment="1">
      <alignment vertical="center"/>
    </xf>
    <xf numFmtId="1" fontId="160" fillId="57" borderId="2" xfId="0" applyNumberFormat="1" applyFont="1" applyFill="1" applyBorder="1" applyAlignment="1">
      <alignment horizontal="center"/>
    </xf>
    <xf numFmtId="175" fontId="149" fillId="4" borderId="10" xfId="0" applyNumberFormat="1" applyFont="1" applyFill="1" applyBorder="1" applyAlignment="1">
      <alignment horizontal="center"/>
    </xf>
    <xf numFmtId="175" fontId="147" fillId="4" borderId="10" xfId="0" applyNumberFormat="1" applyFont="1" applyFill="1" applyBorder="1" applyAlignment="1">
      <alignment horizontal="center"/>
    </xf>
    <xf numFmtId="175" fontId="149" fillId="4" borderId="61" xfId="0" applyNumberFormat="1" applyFont="1" applyFill="1" applyBorder="1" applyAlignment="1">
      <alignment horizontal="center"/>
    </xf>
    <xf numFmtId="49" fontId="147" fillId="4" borderId="52" xfId="0" applyNumberFormat="1" applyFont="1" applyFill="1" applyBorder="1" applyAlignment="1">
      <alignment vertical="center"/>
    </xf>
    <xf numFmtId="175" fontId="149" fillId="4" borderId="43" xfId="0" applyNumberFormat="1" applyFont="1" applyFill="1" applyBorder="1" applyAlignment="1">
      <alignment horizontal="center"/>
    </xf>
    <xf numFmtId="1" fontId="149" fillId="4" borderId="9" xfId="0" applyNumberFormat="1" applyFont="1" applyFill="1" applyBorder="1" applyAlignment="1">
      <alignment horizontal="center" vertical="center"/>
    </xf>
    <xf numFmtId="1" fontId="149" fillId="4" borderId="10" xfId="0" applyNumberFormat="1" applyFont="1" applyFill="1" applyBorder="1" applyAlignment="1">
      <alignment horizontal="center" vertical="center"/>
    </xf>
    <xf numFmtId="1" fontId="153" fillId="4" borderId="15" xfId="0" applyNumberFormat="1" applyFont="1" applyFill="1" applyBorder="1" applyAlignment="1">
      <alignment horizontal="center" vertical="center"/>
    </xf>
    <xf numFmtId="1" fontId="149" fillId="4" borderId="15" xfId="0" applyNumberFormat="1" applyFont="1" applyFill="1" applyBorder="1" applyAlignment="1">
      <alignment horizontal="center" vertical="center"/>
    </xf>
    <xf numFmtId="1" fontId="149" fillId="4" borderId="60" xfId="0" applyNumberFormat="1" applyFont="1" applyFill="1" applyBorder="1" applyAlignment="1">
      <alignment horizontal="center" vertical="center"/>
    </xf>
    <xf numFmtId="1" fontId="149" fillId="4" borderId="43" xfId="0" applyNumberFormat="1" applyFont="1" applyFill="1" applyBorder="1" applyAlignment="1">
      <alignment horizontal="center" vertical="center"/>
    </xf>
    <xf numFmtId="1" fontId="149" fillId="4" borderId="43" xfId="0" applyNumberFormat="1" applyFont="1" applyFill="1" applyBorder="1" applyAlignment="1">
      <alignment horizontal="center"/>
    </xf>
    <xf numFmtId="1" fontId="149" fillId="4" borderId="10" xfId="0" applyNumberFormat="1" applyFont="1" applyFill="1" applyBorder="1" applyAlignment="1">
      <alignment horizontal="center"/>
    </xf>
    <xf numFmtId="1" fontId="149" fillId="4" borderId="9" xfId="0" applyNumberFormat="1" applyFont="1" applyFill="1" applyBorder="1" applyAlignment="1">
      <alignment horizontal="center"/>
    </xf>
    <xf numFmtId="1" fontId="149" fillId="4" borderId="17" xfId="0" applyNumberFormat="1" applyFont="1" applyFill="1" applyBorder="1" applyAlignment="1">
      <alignment horizontal="center"/>
    </xf>
    <xf numFmtId="1" fontId="149" fillId="4" borderId="60" xfId="0" applyNumberFormat="1" applyFont="1" applyFill="1" applyBorder="1" applyAlignment="1">
      <alignment horizontal="center"/>
    </xf>
    <xf numFmtId="1" fontId="147" fillId="4" borderId="43" xfId="0" applyNumberFormat="1" applyFont="1" applyFill="1" applyBorder="1" applyAlignment="1">
      <alignment horizontal="center"/>
    </xf>
    <xf numFmtId="1" fontId="147" fillId="4" borderId="10" xfId="0" applyNumberFormat="1" applyFont="1" applyFill="1" applyBorder="1" applyAlignment="1">
      <alignment horizontal="center"/>
    </xf>
    <xf numFmtId="1" fontId="147" fillId="4" borderId="15" xfId="0" applyNumberFormat="1" applyFont="1" applyFill="1" applyBorder="1" applyAlignment="1">
      <alignment horizontal="center"/>
    </xf>
    <xf numFmtId="1" fontId="149" fillId="4" borderId="20" xfId="0" applyNumberFormat="1" applyFont="1" applyFill="1" applyBorder="1" applyAlignment="1">
      <alignment horizontal="center"/>
    </xf>
    <xf numFmtId="1" fontId="149" fillId="4" borderId="5" xfId="0" applyNumberFormat="1" applyFont="1" applyFill="1" applyBorder="1" applyAlignment="1">
      <alignment horizontal="center"/>
    </xf>
    <xf numFmtId="1" fontId="149" fillId="4" borderId="6" xfId="0" applyNumberFormat="1" applyFont="1" applyFill="1" applyBorder="1" applyAlignment="1">
      <alignment horizontal="center"/>
    </xf>
    <xf numFmtId="175" fontId="159" fillId="4" borderId="10" xfId="0" applyNumberFormat="1" applyFont="1" applyFill="1" applyBorder="1" applyAlignment="1">
      <alignment horizontal="center"/>
    </xf>
    <xf numFmtId="175" fontId="159" fillId="4" borderId="18" xfId="0" applyNumberFormat="1" applyFont="1" applyFill="1" applyBorder="1" applyAlignment="1">
      <alignment horizontal="center"/>
    </xf>
    <xf numFmtId="0" fontId="147" fillId="0" borderId="0" xfId="0" quotePrefix="1" applyFont="1" applyFill="1" applyBorder="1"/>
    <xf numFmtId="0" fontId="150" fillId="0" borderId="0" xfId="0" quotePrefix="1" applyFont="1" applyFill="1" applyBorder="1"/>
    <xf numFmtId="168" fontId="149" fillId="7" borderId="61" xfId="0" applyNumberFormat="1" applyFont="1" applyFill="1" applyBorder="1" applyAlignment="1">
      <alignment horizontal="center" vertical="center"/>
    </xf>
    <xf numFmtId="168" fontId="149" fillId="7" borderId="18" xfId="0" applyNumberFormat="1" applyFont="1" applyFill="1" applyBorder="1" applyAlignment="1">
      <alignment horizontal="center" vertical="center"/>
    </xf>
    <xf numFmtId="168" fontId="149" fillId="7" borderId="62" xfId="0" applyNumberFormat="1" applyFont="1" applyFill="1" applyBorder="1" applyAlignment="1">
      <alignment horizontal="center" vertical="center"/>
    </xf>
    <xf numFmtId="175" fontId="152" fillId="0" borderId="46" xfId="0" applyNumberFormat="1" applyFont="1" applyFill="1" applyBorder="1" applyAlignment="1">
      <alignment horizontal="center"/>
    </xf>
    <xf numFmtId="168" fontId="149" fillId="7" borderId="54" xfId="0" applyNumberFormat="1" applyFont="1" applyFill="1" applyBorder="1" applyAlignment="1">
      <alignment horizontal="center" vertical="center"/>
    </xf>
    <xf numFmtId="175" fontId="152" fillId="0" borderId="1" xfId="0" applyNumberFormat="1" applyFont="1" applyFill="1" applyBorder="1" applyAlignment="1">
      <alignment horizontal="center"/>
    </xf>
    <xf numFmtId="175" fontId="147" fillId="4" borderId="61" xfId="0" applyNumberFormat="1" applyFont="1" applyFill="1" applyBorder="1" applyAlignment="1">
      <alignment horizontal="center"/>
    </xf>
    <xf numFmtId="175" fontId="147" fillId="4" borderId="9" xfId="0" applyNumberFormat="1" applyFont="1" applyFill="1" applyBorder="1" applyAlignment="1">
      <alignment horizontal="center"/>
    </xf>
    <xf numFmtId="175" fontId="152" fillId="54" borderId="76" xfId="0" applyNumberFormat="1" applyFont="1" applyFill="1" applyBorder="1" applyAlignment="1">
      <alignment horizontal="center"/>
    </xf>
    <xf numFmtId="175" fontId="159" fillId="54" borderId="60" xfId="0" applyNumberFormat="1" applyFont="1" applyFill="1" applyBorder="1" applyAlignment="1">
      <alignment horizontal="center"/>
    </xf>
    <xf numFmtId="175" fontId="149" fillId="54" borderId="65" xfId="0" applyNumberFormat="1" applyFont="1" applyFill="1" applyBorder="1" applyAlignment="1">
      <alignment horizontal="center"/>
    </xf>
    <xf numFmtId="175" fontId="159" fillId="54" borderId="66" xfId="0" applyNumberFormat="1" applyFont="1" applyFill="1" applyBorder="1" applyAlignment="1">
      <alignment horizontal="center"/>
    </xf>
    <xf numFmtId="175" fontId="159" fillId="54" borderId="67" xfId="0" applyNumberFormat="1" applyFont="1" applyFill="1" applyBorder="1" applyAlignment="1">
      <alignment horizontal="center"/>
    </xf>
    <xf numFmtId="175" fontId="147" fillId="4" borderId="54" xfId="0" applyNumberFormat="1" applyFont="1" applyFill="1" applyBorder="1" applyAlignment="1">
      <alignment horizontal="center"/>
    </xf>
    <xf numFmtId="175" fontId="159" fillId="4" borderId="60" xfId="0" applyNumberFormat="1" applyFont="1" applyFill="1" applyBorder="1" applyAlignment="1">
      <alignment horizontal="center"/>
    </xf>
    <xf numFmtId="175" fontId="147" fillId="4" borderId="62" xfId="0" applyNumberFormat="1" applyFont="1" applyFill="1" applyBorder="1" applyAlignment="1">
      <alignment horizontal="center"/>
    </xf>
    <xf numFmtId="175" fontId="149" fillId="54" borderId="60" xfId="0" applyNumberFormat="1" applyFont="1" applyFill="1" applyBorder="1" applyAlignment="1">
      <alignment horizontal="center"/>
    </xf>
    <xf numFmtId="1" fontId="149" fillId="54" borderId="9" xfId="0" applyNumberFormat="1" applyFont="1" applyFill="1" applyBorder="1" applyAlignment="1">
      <alignment horizontal="center"/>
    </xf>
    <xf numFmtId="1" fontId="149" fillId="54" borderId="82" xfId="0" applyNumberFormat="1" applyFont="1" applyFill="1" applyBorder="1" applyAlignment="1">
      <alignment horizontal="center"/>
    </xf>
    <xf numFmtId="175" fontId="159" fillId="54" borderId="80" xfId="0" applyNumberFormat="1" applyFont="1" applyFill="1" applyBorder="1" applyAlignment="1">
      <alignment horizontal="center"/>
    </xf>
    <xf numFmtId="1" fontId="159" fillId="54" borderId="8" xfId="0" applyNumberFormat="1" applyFont="1" applyFill="1" applyBorder="1" applyAlignment="1">
      <alignment horizontal="center"/>
    </xf>
    <xf numFmtId="1" fontId="159" fillId="54" borderId="66" xfId="0" applyNumberFormat="1" applyFont="1" applyFill="1" applyBorder="1" applyAlignment="1">
      <alignment horizontal="center"/>
    </xf>
    <xf numFmtId="0" fontId="0" fillId="0" borderId="0" xfId="0" applyFill="1"/>
    <xf numFmtId="175" fontId="152" fillId="54" borderId="24" xfId="0" applyNumberFormat="1" applyFont="1" applyFill="1" applyBorder="1" applyAlignment="1">
      <alignment horizontal="center"/>
    </xf>
    <xf numFmtId="175" fontId="152" fillId="54" borderId="52" xfId="0" applyNumberFormat="1" applyFont="1" applyFill="1" applyBorder="1" applyAlignment="1">
      <alignment horizontal="center"/>
    </xf>
    <xf numFmtId="175" fontId="152" fillId="54" borderId="17" xfId="0" applyNumberFormat="1" applyFont="1" applyFill="1" applyBorder="1" applyAlignment="1">
      <alignment horizontal="center"/>
    </xf>
    <xf numFmtId="1" fontId="150" fillId="54" borderId="52" xfId="0" applyNumberFormat="1" applyFont="1" applyFill="1" applyBorder="1" applyAlignment="1">
      <alignment horizontal="center"/>
    </xf>
    <xf numFmtId="1" fontId="159" fillId="54" borderId="14" xfId="0" applyNumberFormat="1" applyFont="1" applyFill="1" applyBorder="1" applyAlignment="1">
      <alignment horizontal="center"/>
    </xf>
    <xf numFmtId="1" fontId="159" fillId="54" borderId="52" xfId="0" applyNumberFormat="1" applyFont="1" applyFill="1" applyBorder="1" applyAlignment="1">
      <alignment horizontal="center"/>
    </xf>
    <xf numFmtId="175" fontId="152" fillId="0" borderId="45" xfId="0" applyNumberFormat="1" applyFont="1" applyFill="1" applyBorder="1" applyAlignment="1">
      <alignment horizontal="center"/>
    </xf>
    <xf numFmtId="175" fontId="147" fillId="4" borderId="45" xfId="0" applyNumberFormat="1" applyFont="1" applyFill="1" applyBorder="1" applyAlignment="1">
      <alignment horizontal="center"/>
    </xf>
    <xf numFmtId="175" fontId="159" fillId="54" borderId="24" xfId="0" applyNumberFormat="1" applyFont="1" applyFill="1" applyBorder="1" applyAlignment="1">
      <alignment horizontal="center"/>
    </xf>
    <xf numFmtId="175" fontId="159" fillId="54" borderId="17" xfId="0" applyNumberFormat="1" applyFont="1" applyFill="1" applyBorder="1" applyAlignment="1">
      <alignment horizontal="center"/>
    </xf>
    <xf numFmtId="2" fontId="161" fillId="8" borderId="0" xfId="0" applyNumberFormat="1" applyFont="1" applyFill="1" applyBorder="1" applyAlignment="1" applyProtection="1">
      <alignment horizontal="left" vertical="center"/>
    </xf>
    <xf numFmtId="175" fontId="159" fillId="54" borderId="52" xfId="0" applyNumberFormat="1" applyFont="1" applyFill="1" applyBorder="1" applyAlignment="1">
      <alignment horizontal="center"/>
    </xf>
    <xf numFmtId="175" fontId="149" fillId="0" borderId="1" xfId="0" applyNumberFormat="1" applyFont="1" applyFill="1" applyBorder="1" applyAlignment="1">
      <alignment horizontal="center"/>
    </xf>
    <xf numFmtId="1" fontId="151" fillId="54" borderId="52" xfId="0" applyNumberFormat="1" applyFont="1" applyFill="1" applyBorder="1" applyAlignment="1">
      <alignment horizontal="center"/>
    </xf>
    <xf numFmtId="0" fontId="162" fillId="0" borderId="0" xfId="0" applyFont="1" applyFill="1" applyBorder="1"/>
    <xf numFmtId="0" fontId="163" fillId="0" borderId="0" xfId="0" applyFont="1" applyFill="1" applyBorder="1"/>
    <xf numFmtId="0" fontId="147" fillId="0" borderId="0" xfId="0" quotePrefix="1" applyFont="1" applyFill="1" applyBorder="1" applyAlignment="1">
      <alignment horizontal="left" vertical="center" wrapText="1"/>
    </xf>
    <xf numFmtId="0" fontId="147" fillId="0" borderId="0" xfId="0" quotePrefix="1" applyFont="1" applyFill="1" applyBorder="1" applyAlignment="1">
      <alignment horizontal="left" vertical="center" wrapText="1"/>
    </xf>
    <xf numFmtId="0" fontId="147" fillId="0" borderId="0" xfId="0" quotePrefix="1" applyFont="1" applyFill="1" applyBorder="1" applyAlignment="1">
      <alignment horizontal="left" vertical="center" wrapText="1"/>
    </xf>
    <xf numFmtId="0" fontId="147" fillId="0" borderId="0" xfId="0" quotePrefix="1" applyFont="1" applyFill="1" applyBorder="1" applyAlignment="1">
      <alignment horizontal="left" vertical="center" wrapText="1"/>
    </xf>
    <xf numFmtId="175" fontId="152" fillId="59" borderId="52" xfId="0" applyNumberFormat="1" applyFont="1" applyFill="1" applyBorder="1" applyAlignment="1">
      <alignment horizontal="center"/>
    </xf>
    <xf numFmtId="0" fontId="150" fillId="60" borderId="0" xfId="0" applyFont="1" applyFill="1" applyBorder="1" applyAlignment="1">
      <alignment horizontal="center"/>
    </xf>
    <xf numFmtId="1" fontId="151" fillId="59" borderId="52" xfId="0" applyNumberFormat="1" applyFont="1" applyFill="1" applyBorder="1" applyAlignment="1">
      <alignment horizontal="center"/>
    </xf>
    <xf numFmtId="1" fontId="159" fillId="59" borderId="52" xfId="0" applyNumberFormat="1" applyFont="1" applyFill="1" applyBorder="1" applyAlignment="1">
      <alignment horizontal="center"/>
    </xf>
    <xf numFmtId="0" fontId="152" fillId="0" borderId="0" xfId="0" quotePrefix="1" applyFont="1" applyFill="1" applyBorder="1"/>
    <xf numFmtId="175" fontId="150" fillId="4" borderId="10" xfId="0" applyNumberFormat="1" applyFont="1" applyFill="1" applyBorder="1" applyAlignment="1">
      <alignment horizontal="center"/>
    </xf>
    <xf numFmtId="175" fontId="151" fillId="4" borderId="10" xfId="0" applyNumberFormat="1" applyFont="1" applyFill="1" applyBorder="1" applyAlignment="1">
      <alignment horizontal="center"/>
    </xf>
    <xf numFmtId="0" fontId="12" fillId="7" borderId="8" xfId="1" applyFont="1" applyFill="1" applyBorder="1" applyAlignment="1">
      <alignment horizontal="center" vertical="center" wrapText="1"/>
    </xf>
    <xf numFmtId="0" fontId="12" fillId="7" borderId="12" xfId="1" applyFont="1" applyFill="1" applyBorder="1" applyAlignment="1">
      <alignment horizontal="center" vertical="center" wrapText="1"/>
    </xf>
    <xf numFmtId="0" fontId="12" fillId="0" borderId="8" xfId="1" applyFont="1" applyFill="1" applyBorder="1" applyAlignment="1">
      <alignment horizontal="center" vertical="center" wrapText="1"/>
    </xf>
    <xf numFmtId="0" fontId="12" fillId="0" borderId="12" xfId="1" applyFont="1" applyFill="1" applyBorder="1" applyAlignment="1">
      <alignment horizontal="center" vertical="center" wrapText="1"/>
    </xf>
    <xf numFmtId="169" fontId="21" fillId="9" borderId="16" xfId="1" applyNumberFormat="1" applyFont="1" applyFill="1" applyBorder="1" applyAlignment="1">
      <alignment horizontal="center" vertical="center" wrapText="1"/>
    </xf>
    <xf numFmtId="169" fontId="21" fillId="9" borderId="17" xfId="1" applyNumberFormat="1" applyFont="1" applyFill="1" applyBorder="1" applyAlignment="1">
      <alignment horizontal="center" vertical="center" wrapText="1"/>
    </xf>
    <xf numFmtId="0" fontId="3" fillId="3" borderId="42" xfId="1" applyFont="1" applyFill="1" applyBorder="1" applyAlignment="1">
      <alignment horizontal="center" vertical="center"/>
    </xf>
    <xf numFmtId="2" fontId="3" fillId="0" borderId="8" xfId="1" applyNumberFormat="1" applyFont="1" applyFill="1" applyBorder="1" applyAlignment="1">
      <alignment horizontal="center" vertical="center" wrapText="1"/>
    </xf>
    <xf numFmtId="2" fontId="3" fillId="0" borderId="12" xfId="1" applyNumberFormat="1" applyFont="1" applyFill="1" applyBorder="1" applyAlignment="1">
      <alignment horizontal="center" vertical="center" wrapText="1"/>
    </xf>
    <xf numFmtId="17" fontId="12" fillId="0" borderId="8" xfId="1" applyNumberFormat="1" applyFont="1" applyFill="1" applyBorder="1" applyAlignment="1">
      <alignment horizontal="center" vertical="center" wrapText="1"/>
    </xf>
    <xf numFmtId="169" fontId="21" fillId="9" borderId="44" xfId="1" applyNumberFormat="1" applyFont="1" applyFill="1" applyBorder="1" applyAlignment="1">
      <alignment horizontal="center" vertical="center" wrapText="1"/>
    </xf>
    <xf numFmtId="169" fontId="21" fillId="9" borderId="24" xfId="1" applyNumberFormat="1" applyFont="1" applyFill="1" applyBorder="1" applyAlignment="1">
      <alignment horizontal="center" vertical="center" wrapText="1"/>
    </xf>
    <xf numFmtId="169" fontId="36" fillId="9" borderId="16" xfId="1" applyNumberFormat="1" applyFont="1" applyFill="1" applyBorder="1" applyAlignment="1">
      <alignment horizontal="center" vertical="center" wrapText="1"/>
    </xf>
    <xf numFmtId="169" fontId="36" fillId="9" borderId="17" xfId="1" applyNumberFormat="1" applyFont="1" applyFill="1" applyBorder="1" applyAlignment="1">
      <alignment horizontal="center" vertical="center" wrapText="1"/>
    </xf>
    <xf numFmtId="0" fontId="12" fillId="7" borderId="49" xfId="1" applyFont="1" applyFill="1" applyBorder="1" applyAlignment="1">
      <alignment horizontal="center" vertical="center" wrapText="1"/>
    </xf>
    <xf numFmtId="0" fontId="12" fillId="7" borderId="50" xfId="1" applyFont="1" applyFill="1" applyBorder="1" applyAlignment="1">
      <alignment horizontal="center" vertical="center" wrapText="1"/>
    </xf>
    <xf numFmtId="0" fontId="3" fillId="3" borderId="0" xfId="1" applyFont="1" applyFill="1" applyBorder="1" applyAlignment="1">
      <alignment horizontal="center" vertical="center"/>
    </xf>
    <xf numFmtId="0" fontId="12" fillId="46" borderId="8" xfId="1" applyFont="1" applyFill="1" applyBorder="1" applyAlignment="1">
      <alignment horizontal="center" vertical="center" wrapText="1"/>
    </xf>
    <xf numFmtId="0" fontId="12" fillId="46" borderId="12" xfId="1" applyFont="1" applyFill="1" applyBorder="1" applyAlignment="1">
      <alignment horizontal="center" vertical="center" wrapText="1"/>
    </xf>
    <xf numFmtId="0" fontId="12" fillId="46" borderId="14" xfId="1" applyFont="1" applyFill="1" applyBorder="1" applyAlignment="1">
      <alignment horizontal="center" vertical="center" wrapText="1"/>
    </xf>
    <xf numFmtId="0" fontId="12" fillId="46" borderId="47" xfId="1" applyFont="1" applyFill="1" applyBorder="1" applyAlignment="1">
      <alignment horizontal="center" vertical="center" wrapText="1"/>
    </xf>
    <xf numFmtId="0" fontId="12" fillId="7" borderId="53" xfId="1" applyFont="1" applyFill="1" applyBorder="1" applyAlignment="1">
      <alignment horizontal="center" vertical="center" wrapText="1"/>
    </xf>
    <xf numFmtId="0" fontId="3" fillId="3" borderId="7" xfId="1" applyFont="1" applyFill="1" applyBorder="1" applyAlignment="1">
      <alignment horizontal="center" vertical="center"/>
    </xf>
    <xf numFmtId="0" fontId="3" fillId="3" borderId="55" xfId="1" applyFont="1" applyFill="1" applyBorder="1" applyAlignment="1">
      <alignment horizontal="center" vertical="center"/>
    </xf>
    <xf numFmtId="0" fontId="12" fillId="46" borderId="56" xfId="1" applyFont="1" applyFill="1" applyBorder="1" applyAlignment="1">
      <alignment horizontal="center" vertical="center" wrapText="1"/>
    </xf>
    <xf numFmtId="0" fontId="12" fillId="46" borderId="57" xfId="1" applyFont="1" applyFill="1" applyBorder="1" applyAlignment="1">
      <alignment horizontal="center" vertical="center" wrapText="1"/>
    </xf>
    <xf numFmtId="0" fontId="12" fillId="0" borderId="14" xfId="1" applyFont="1" applyFill="1" applyBorder="1" applyAlignment="1">
      <alignment horizontal="center" vertical="center" wrapText="1"/>
    </xf>
    <xf numFmtId="0" fontId="12" fillId="0" borderId="47" xfId="1" applyFont="1" applyFill="1" applyBorder="1" applyAlignment="1">
      <alignment horizontal="center" vertical="center" wrapText="1"/>
    </xf>
    <xf numFmtId="0" fontId="12" fillId="46" borderId="7" xfId="1" applyFont="1" applyFill="1" applyBorder="1" applyAlignment="1">
      <alignment horizontal="center" vertical="center" wrapText="1"/>
    </xf>
    <xf numFmtId="0" fontId="12" fillId="46" borderId="11" xfId="1" applyFont="1" applyFill="1" applyBorder="1" applyAlignment="1">
      <alignment horizontal="center" vertical="center" wrapText="1"/>
    </xf>
    <xf numFmtId="0" fontId="150" fillId="53" borderId="1" xfId="0" applyFont="1" applyFill="1" applyBorder="1" applyAlignment="1">
      <alignment horizontal="center" vertical="center"/>
    </xf>
    <xf numFmtId="0" fontId="150" fillId="53" borderId="2" xfId="0" applyFont="1" applyFill="1" applyBorder="1" applyAlignment="1">
      <alignment horizontal="center" vertical="center"/>
    </xf>
    <xf numFmtId="0" fontId="149" fillId="48" borderId="1" xfId="0" applyFont="1" applyFill="1" applyBorder="1" applyAlignment="1">
      <alignment horizontal="center" vertical="center"/>
    </xf>
    <xf numFmtId="0" fontId="149" fillId="48" borderId="2" xfId="0" applyFont="1" applyFill="1" applyBorder="1" applyAlignment="1">
      <alignment horizontal="center" vertical="center"/>
    </xf>
    <xf numFmtId="0" fontId="149" fillId="48" borderId="72" xfId="0" applyFont="1" applyFill="1" applyBorder="1" applyAlignment="1">
      <alignment horizontal="center" vertical="center"/>
    </xf>
    <xf numFmtId="0" fontId="150" fillId="48" borderId="39" xfId="0" applyFont="1" applyFill="1" applyBorder="1" applyAlignment="1">
      <alignment horizontal="center" vertical="center"/>
    </xf>
    <xf numFmtId="0" fontId="150" fillId="48" borderId="73" xfId="0" applyFont="1" applyFill="1" applyBorder="1" applyAlignment="1">
      <alignment horizontal="center" vertical="center"/>
    </xf>
    <xf numFmtId="0" fontId="149" fillId="49" borderId="1" xfId="0" applyFont="1" applyFill="1" applyBorder="1" applyAlignment="1">
      <alignment horizontal="center" vertical="center"/>
    </xf>
    <xf numFmtId="0" fontId="149" fillId="49" borderId="2" xfId="0" applyFont="1" applyFill="1" applyBorder="1" applyAlignment="1">
      <alignment horizontal="center" vertical="center"/>
    </xf>
    <xf numFmtId="0" fontId="149" fillId="49" borderId="72" xfId="0" applyFont="1" applyFill="1" applyBorder="1" applyAlignment="1">
      <alignment horizontal="center" vertical="center"/>
    </xf>
    <xf numFmtId="0" fontId="150" fillId="49" borderId="1" xfId="0" applyFont="1" applyFill="1" applyBorder="1" applyAlignment="1">
      <alignment horizontal="center" vertical="center"/>
    </xf>
    <xf numFmtId="0" fontId="150" fillId="49" borderId="2" xfId="0" applyFont="1" applyFill="1" applyBorder="1" applyAlignment="1">
      <alignment horizontal="center" vertical="center"/>
    </xf>
    <xf numFmtId="0" fontId="159" fillId="53" borderId="1" xfId="0" applyFont="1" applyFill="1" applyBorder="1" applyAlignment="1">
      <alignment horizontal="center" vertical="center"/>
    </xf>
    <xf numFmtId="0" fontId="159" fillId="53" borderId="2" xfId="0" applyFont="1" applyFill="1" applyBorder="1" applyAlignment="1">
      <alignment horizontal="center" vertical="center"/>
    </xf>
    <xf numFmtId="0" fontId="159" fillId="53" borderId="72" xfId="0" applyFont="1" applyFill="1" applyBorder="1" applyAlignment="1">
      <alignment horizontal="center" vertical="center"/>
    </xf>
    <xf numFmtId="0" fontId="150" fillId="58" borderId="85" xfId="0" applyFont="1" applyFill="1" applyBorder="1" applyAlignment="1">
      <alignment horizontal="center" vertical="center"/>
    </xf>
    <xf numFmtId="0" fontId="150" fillId="58" borderId="86" xfId="0" applyFont="1" applyFill="1" applyBorder="1" applyAlignment="1">
      <alignment horizontal="center" vertical="center"/>
    </xf>
    <xf numFmtId="0" fontId="147" fillId="0" borderId="15" xfId="0" quotePrefix="1" applyFont="1" applyFill="1" applyBorder="1" applyAlignment="1">
      <alignment horizontal="left" vertical="center" wrapText="1"/>
    </xf>
    <xf numFmtId="0" fontId="147" fillId="0" borderId="17" xfId="0" quotePrefix="1" applyFont="1" applyFill="1" applyBorder="1" applyAlignment="1">
      <alignment horizontal="left" vertical="center" wrapText="1"/>
    </xf>
    <xf numFmtId="0" fontId="147" fillId="0" borderId="9" xfId="0" quotePrefix="1" applyFont="1" applyFill="1" applyBorder="1" applyAlignment="1">
      <alignment horizontal="left" vertical="center" wrapText="1"/>
    </xf>
    <xf numFmtId="0" fontId="150" fillId="58" borderId="64" xfId="0" applyFont="1" applyFill="1" applyBorder="1" applyAlignment="1">
      <alignment horizontal="center" vertical="center"/>
    </xf>
    <xf numFmtId="0" fontId="150" fillId="58" borderId="39" xfId="0" applyFont="1" applyFill="1" applyBorder="1" applyAlignment="1">
      <alignment horizontal="center" vertical="center"/>
    </xf>
    <xf numFmtId="0" fontId="150" fillId="58" borderId="73" xfId="0" applyFont="1" applyFill="1" applyBorder="1" applyAlignment="1">
      <alignment horizontal="center" vertical="center"/>
    </xf>
    <xf numFmtId="0" fontId="150" fillId="55" borderId="64" xfId="0" applyFont="1" applyFill="1" applyBorder="1" applyAlignment="1">
      <alignment horizontal="center"/>
    </xf>
    <xf numFmtId="0" fontId="150" fillId="55" borderId="39" xfId="0" applyFont="1" applyFill="1" applyBorder="1" applyAlignment="1">
      <alignment horizontal="center"/>
    </xf>
    <xf numFmtId="0" fontId="150" fillId="55" borderId="73" xfId="0" applyFont="1" applyFill="1" applyBorder="1" applyAlignment="1">
      <alignment horizontal="center"/>
    </xf>
    <xf numFmtId="0" fontId="147" fillId="0" borderId="10" xfId="0" quotePrefix="1" applyFont="1" applyFill="1" applyBorder="1" applyAlignment="1">
      <alignment horizontal="left" vertical="center" wrapText="1"/>
    </xf>
    <xf numFmtId="0" fontId="150" fillId="0" borderId="10" xfId="0" applyFont="1" applyFill="1" applyBorder="1" applyAlignment="1">
      <alignment horizontal="left" vertical="center" wrapText="1"/>
    </xf>
    <xf numFmtId="0" fontId="147" fillId="0" borderId="42" xfId="0" quotePrefix="1" applyFont="1" applyFill="1" applyBorder="1" applyAlignment="1">
      <alignment horizontal="left" vertical="center" wrapText="1"/>
    </xf>
    <xf numFmtId="0" fontId="147" fillId="0" borderId="0" xfId="0" quotePrefix="1" applyFont="1" applyFill="1" applyBorder="1" applyAlignment="1">
      <alignment horizontal="left" vertical="center" wrapText="1"/>
    </xf>
    <xf numFmtId="0" fontId="147" fillId="0" borderId="0" xfId="0" applyFont="1" applyFill="1" applyBorder="1" applyAlignment="1">
      <alignment horizontal="left" wrapText="1"/>
    </xf>
    <xf numFmtId="0" fontId="150" fillId="58" borderId="21" xfId="0" applyFont="1" applyFill="1" applyBorder="1" applyAlignment="1">
      <alignment horizontal="center" vertical="center"/>
    </xf>
    <xf numFmtId="0" fontId="150" fillId="58" borderId="0" xfId="0" applyFont="1" applyFill="1" applyBorder="1" applyAlignment="1">
      <alignment horizontal="center" vertical="center"/>
    </xf>
    <xf numFmtId="0" fontId="147" fillId="0" borderId="17" xfId="0" applyFont="1" applyFill="1" applyBorder="1" applyAlignment="1">
      <alignment horizontal="center"/>
    </xf>
    <xf numFmtId="0" fontId="147" fillId="0" borderId="9" xfId="0" applyFont="1" applyFill="1" applyBorder="1" applyAlignment="1">
      <alignment horizontal="center"/>
    </xf>
    <xf numFmtId="0" fontId="150" fillId="60" borderId="86" xfId="0" applyFont="1" applyFill="1" applyBorder="1" applyAlignment="1">
      <alignment horizontal="center"/>
    </xf>
    <xf numFmtId="0" fontId="150" fillId="0" borderId="17" xfId="0" applyFont="1" applyFill="1" applyBorder="1" applyAlignment="1">
      <alignment horizontal="left" vertical="center" wrapText="1"/>
    </xf>
    <xf numFmtId="0" fontId="150" fillId="0" borderId="9" xfId="0" applyFont="1" applyFill="1" applyBorder="1" applyAlignment="1">
      <alignment horizontal="left" vertical="center" wrapText="1"/>
    </xf>
    <xf numFmtId="0" fontId="164" fillId="0" borderId="15" xfId="0" quotePrefix="1" applyFont="1" applyFill="1" applyBorder="1" applyAlignment="1">
      <alignment horizontal="left" vertical="center" wrapText="1"/>
    </xf>
    <xf numFmtId="0" fontId="164" fillId="0" borderId="17" xfId="0" quotePrefix="1" applyFont="1" applyFill="1" applyBorder="1" applyAlignment="1">
      <alignment horizontal="left" vertical="center" wrapText="1"/>
    </xf>
    <xf numFmtId="0" fontId="164" fillId="0" borderId="9" xfId="0" quotePrefix="1" applyFont="1" applyFill="1" applyBorder="1" applyAlignment="1">
      <alignment horizontal="left" vertical="center" wrapText="1"/>
    </xf>
    <xf numFmtId="0" fontId="150" fillId="60" borderId="0" xfId="0" applyFont="1" applyFill="1" applyBorder="1" applyAlignment="1">
      <alignment horizontal="center"/>
    </xf>
    <xf numFmtId="0" fontId="164" fillId="0" borderId="15" xfId="0" quotePrefix="1" applyFont="1" applyFill="1" applyBorder="1" applyAlignment="1">
      <alignment horizontal="center" vertical="center" wrapText="1"/>
    </xf>
    <xf numFmtId="0" fontId="164" fillId="0" borderId="17" xfId="0" quotePrefix="1" applyFont="1" applyFill="1" applyBorder="1" applyAlignment="1">
      <alignment horizontal="center" vertical="center" wrapText="1"/>
    </xf>
    <xf numFmtId="0" fontId="164" fillId="0" borderId="9" xfId="0" quotePrefix="1" applyFont="1" applyFill="1" applyBorder="1" applyAlignment="1">
      <alignment horizontal="center" vertical="center" wrapText="1"/>
    </xf>
    <xf numFmtId="0" fontId="152" fillId="0" borderId="15" xfId="0" quotePrefix="1" applyFont="1" applyFill="1" applyBorder="1" applyAlignment="1">
      <alignment horizontal="left" vertical="center" wrapText="1"/>
    </xf>
    <xf numFmtId="0" fontId="152" fillId="0" borderId="17" xfId="0" quotePrefix="1" applyFont="1" applyFill="1" applyBorder="1" applyAlignment="1">
      <alignment horizontal="left" vertical="center" wrapText="1"/>
    </xf>
    <xf numFmtId="0" fontId="152" fillId="0" borderId="9" xfId="0" quotePrefix="1" applyFont="1" applyFill="1" applyBorder="1" applyAlignment="1">
      <alignment horizontal="left" vertical="center" wrapText="1"/>
    </xf>
    <xf numFmtId="0" fontId="151" fillId="0" borderId="17" xfId="0" applyFont="1" applyFill="1" applyBorder="1" applyAlignment="1">
      <alignment horizontal="left" vertical="center" wrapText="1"/>
    </xf>
    <xf numFmtId="0" fontId="151" fillId="0" borderId="9" xfId="0" applyFont="1" applyFill="1" applyBorder="1" applyAlignment="1">
      <alignment horizontal="left" vertical="center" wrapText="1"/>
    </xf>
    <xf numFmtId="0" fontId="146" fillId="0" borderId="15" xfId="0" quotePrefix="1" applyFont="1" applyFill="1" applyBorder="1" applyAlignment="1">
      <alignment horizontal="left" vertical="center" wrapText="1"/>
    </xf>
    <xf numFmtId="0" fontId="146" fillId="0" borderId="17" xfId="0" quotePrefix="1" applyFont="1" applyFill="1" applyBorder="1" applyAlignment="1">
      <alignment horizontal="left" vertical="center" wrapText="1"/>
    </xf>
    <xf numFmtId="0" fontId="146" fillId="0" borderId="9" xfId="0" quotePrefix="1" applyFont="1" applyFill="1" applyBorder="1" applyAlignment="1">
      <alignment horizontal="left" vertical="center" wrapText="1"/>
    </xf>
    <xf numFmtId="0" fontId="146" fillId="0" borderId="15" xfId="0" quotePrefix="1" applyFont="1" applyFill="1" applyBorder="1" applyAlignment="1">
      <alignment horizontal="center" vertical="center" wrapText="1"/>
    </xf>
    <xf numFmtId="0" fontId="146" fillId="0" borderId="17" xfId="0" quotePrefix="1" applyFont="1" applyFill="1" applyBorder="1" applyAlignment="1">
      <alignment horizontal="center" vertical="center" wrapText="1"/>
    </xf>
    <xf numFmtId="0" fontId="146" fillId="0" borderId="9" xfId="0" quotePrefix="1" applyFont="1" applyFill="1" applyBorder="1" applyAlignment="1">
      <alignment horizontal="center" vertical="center" wrapText="1"/>
    </xf>
    <xf numFmtId="0" fontId="152" fillId="0" borderId="15" xfId="0" quotePrefix="1" applyFont="1" applyFill="1" applyBorder="1" applyAlignment="1">
      <alignment horizontal="center" vertical="center" wrapText="1"/>
    </xf>
    <xf numFmtId="0" fontId="152" fillId="0" borderId="17" xfId="0" quotePrefix="1" applyFont="1" applyFill="1" applyBorder="1" applyAlignment="1">
      <alignment horizontal="center" vertical="center" wrapText="1"/>
    </xf>
    <xf numFmtId="0" fontId="152" fillId="0" borderId="9" xfId="0" quotePrefix="1" applyFont="1" applyFill="1" applyBorder="1" applyAlignment="1">
      <alignment horizontal="center" vertical="center" wrapText="1"/>
    </xf>
    <xf numFmtId="0" fontId="152" fillId="0" borderId="15" xfId="0" quotePrefix="1" applyFont="1" applyFill="1" applyBorder="1" applyAlignment="1">
      <alignment horizontal="left" vertical="top" wrapText="1"/>
    </xf>
    <xf numFmtId="0" fontId="152" fillId="0" borderId="17" xfId="0" quotePrefix="1" applyFont="1" applyFill="1" applyBorder="1" applyAlignment="1">
      <alignment horizontal="left" vertical="top" wrapText="1"/>
    </xf>
    <xf numFmtId="0" fontId="152" fillId="0" borderId="9" xfId="0" quotePrefix="1" applyFont="1" applyFill="1" applyBorder="1" applyAlignment="1">
      <alignment horizontal="left" vertical="top" wrapText="1"/>
    </xf>
    <xf numFmtId="0" fontId="151" fillId="0" borderId="17" xfId="0" applyFont="1" applyFill="1" applyBorder="1" applyAlignment="1">
      <alignment horizontal="left" vertical="top" wrapText="1"/>
    </xf>
    <xf numFmtId="0" fontId="151" fillId="0" borderId="9" xfId="0" applyFont="1" applyFill="1" applyBorder="1" applyAlignment="1">
      <alignment horizontal="left" vertical="top" wrapText="1"/>
    </xf>
    <xf numFmtId="0" fontId="166" fillId="8" borderId="10" xfId="0" applyFont="1" applyFill="1" applyBorder="1" applyAlignment="1">
      <alignment vertical="center"/>
    </xf>
  </cellXfs>
  <cellStyles count="6166">
    <cellStyle name="??" xfId="5" xr:uid="{00000000-0005-0000-0000-000000000000}"/>
    <cellStyle name="?? [0.00]_ADMAG" xfId="6" xr:uid="{00000000-0005-0000-0000-000001000000}"/>
    <cellStyle name="?? 10" xfId="7" xr:uid="{00000000-0005-0000-0000-000002000000}"/>
    <cellStyle name="?? 11" xfId="8" xr:uid="{00000000-0005-0000-0000-000003000000}"/>
    <cellStyle name="?? 12" xfId="9" xr:uid="{00000000-0005-0000-0000-000004000000}"/>
    <cellStyle name="?? 13" xfId="10" xr:uid="{00000000-0005-0000-0000-000005000000}"/>
    <cellStyle name="?? 14" xfId="11" xr:uid="{00000000-0005-0000-0000-000006000000}"/>
    <cellStyle name="?? 15" xfId="12" xr:uid="{00000000-0005-0000-0000-000007000000}"/>
    <cellStyle name="?? 16" xfId="13" xr:uid="{00000000-0005-0000-0000-000008000000}"/>
    <cellStyle name="?? 17" xfId="14" xr:uid="{00000000-0005-0000-0000-000009000000}"/>
    <cellStyle name="?? 18" xfId="15" xr:uid="{00000000-0005-0000-0000-00000A000000}"/>
    <cellStyle name="?? 19" xfId="16" xr:uid="{00000000-0005-0000-0000-00000B000000}"/>
    <cellStyle name="?? 2" xfId="17" xr:uid="{00000000-0005-0000-0000-00000C000000}"/>
    <cellStyle name="?? 20" xfId="18" xr:uid="{00000000-0005-0000-0000-00000D000000}"/>
    <cellStyle name="?? 21" xfId="19" xr:uid="{00000000-0005-0000-0000-00000E000000}"/>
    <cellStyle name="?? 22" xfId="20" xr:uid="{00000000-0005-0000-0000-00000F000000}"/>
    <cellStyle name="?? 23" xfId="21" xr:uid="{00000000-0005-0000-0000-000010000000}"/>
    <cellStyle name="?? 24" xfId="22" xr:uid="{00000000-0005-0000-0000-000011000000}"/>
    <cellStyle name="?? 25" xfId="23" xr:uid="{00000000-0005-0000-0000-000012000000}"/>
    <cellStyle name="?? 26" xfId="24" xr:uid="{00000000-0005-0000-0000-000013000000}"/>
    <cellStyle name="?? 27" xfId="25" xr:uid="{00000000-0005-0000-0000-000014000000}"/>
    <cellStyle name="?? 28" xfId="26" xr:uid="{00000000-0005-0000-0000-000015000000}"/>
    <cellStyle name="?? 29" xfId="27" xr:uid="{00000000-0005-0000-0000-000016000000}"/>
    <cellStyle name="?? 3" xfId="28" xr:uid="{00000000-0005-0000-0000-000017000000}"/>
    <cellStyle name="?? 30" xfId="29" xr:uid="{00000000-0005-0000-0000-000018000000}"/>
    <cellStyle name="?? 31" xfId="30" xr:uid="{00000000-0005-0000-0000-000019000000}"/>
    <cellStyle name="?? 32" xfId="31" xr:uid="{00000000-0005-0000-0000-00001A000000}"/>
    <cellStyle name="?? 33" xfId="32" xr:uid="{00000000-0005-0000-0000-00001B000000}"/>
    <cellStyle name="?? 34" xfId="33" xr:uid="{00000000-0005-0000-0000-00001C000000}"/>
    <cellStyle name="?? 35" xfId="34" xr:uid="{00000000-0005-0000-0000-00001D000000}"/>
    <cellStyle name="?? 36" xfId="35" xr:uid="{00000000-0005-0000-0000-00001E000000}"/>
    <cellStyle name="?? 37" xfId="36" xr:uid="{00000000-0005-0000-0000-00001F000000}"/>
    <cellStyle name="?? 38" xfId="37" xr:uid="{00000000-0005-0000-0000-000020000000}"/>
    <cellStyle name="?? 39" xfId="38" xr:uid="{00000000-0005-0000-0000-000021000000}"/>
    <cellStyle name="?? 4" xfId="39" xr:uid="{00000000-0005-0000-0000-000022000000}"/>
    <cellStyle name="?? 40" xfId="40" xr:uid="{00000000-0005-0000-0000-000023000000}"/>
    <cellStyle name="?? 41" xfId="41" xr:uid="{00000000-0005-0000-0000-000024000000}"/>
    <cellStyle name="?? 42" xfId="42" xr:uid="{00000000-0005-0000-0000-000025000000}"/>
    <cellStyle name="?? 43" xfId="43" xr:uid="{00000000-0005-0000-0000-000026000000}"/>
    <cellStyle name="?? 44" xfId="44" xr:uid="{00000000-0005-0000-0000-000027000000}"/>
    <cellStyle name="?? 45" xfId="45" xr:uid="{00000000-0005-0000-0000-000028000000}"/>
    <cellStyle name="?? 5" xfId="46" xr:uid="{00000000-0005-0000-0000-000029000000}"/>
    <cellStyle name="?? 6" xfId="47" xr:uid="{00000000-0005-0000-0000-00002A000000}"/>
    <cellStyle name="?? 7" xfId="48" xr:uid="{00000000-0005-0000-0000-00002B000000}"/>
    <cellStyle name="?? 8" xfId="49" xr:uid="{00000000-0005-0000-0000-00002C000000}"/>
    <cellStyle name="?? 9" xfId="50" xr:uid="{00000000-0005-0000-0000-00002D000000}"/>
    <cellStyle name="???? [0.00]_ADMAG" xfId="51" xr:uid="{00000000-0005-0000-0000-00002E000000}"/>
    <cellStyle name="????_ADMAG" xfId="52" xr:uid="{00000000-0005-0000-0000-00002F000000}"/>
    <cellStyle name="??_ADMAG" xfId="53" xr:uid="{00000000-0005-0000-0000-000030000000}"/>
    <cellStyle name="_jun" xfId="54" xr:uid="{00000000-0005-0000-0000-000031000000}"/>
    <cellStyle name="_Stocks (2)" xfId="55" xr:uid="{00000000-0005-0000-0000-000032000000}"/>
    <cellStyle name="_Stocks (2) 2" xfId="56" xr:uid="{00000000-0005-0000-0000-000033000000}"/>
    <cellStyle name="_VB_(Un)ProtectSheets" xfId="57" xr:uid="{00000000-0005-0000-0000-000034000000}"/>
    <cellStyle name="_VB_(Un)ProtectSheets 2" xfId="58" xr:uid="{00000000-0005-0000-0000-000035000000}"/>
    <cellStyle name="_VB_CreateSheetList" xfId="59" xr:uid="{00000000-0005-0000-0000-000036000000}"/>
    <cellStyle name="_VB_CreateSheetList 2" xfId="60" xr:uid="{00000000-0005-0000-0000-000037000000}"/>
    <cellStyle name="_VB_GetStocks" xfId="61" xr:uid="{00000000-0005-0000-0000-000038000000}"/>
    <cellStyle name="_VB_GetStocks 2" xfId="62" xr:uid="{00000000-0005-0000-0000-000039000000}"/>
    <cellStyle name="_VB_HideShowSheets" xfId="63" xr:uid="{00000000-0005-0000-0000-00003A000000}"/>
    <cellStyle name="_VB_HideShowSheets 2" xfId="64" xr:uid="{00000000-0005-0000-0000-00003B000000}"/>
    <cellStyle name="_VB_MoveStocks" xfId="65" xr:uid="{00000000-0005-0000-0000-00003C000000}"/>
    <cellStyle name="_VB_MoveStocks 2" xfId="66" xr:uid="{00000000-0005-0000-0000-00003D000000}"/>
    <cellStyle name="_VB_SaveRestoreStatus" xfId="67" xr:uid="{00000000-0005-0000-0000-00003E000000}"/>
    <cellStyle name="_VB_SaveRestoreStatus 2" xfId="68" xr:uid="{00000000-0005-0000-0000-00003F000000}"/>
    <cellStyle name="_VB_Scroll" xfId="69" xr:uid="{00000000-0005-0000-0000-000040000000}"/>
    <cellStyle name="_VB_Scroll 2" xfId="70" xr:uid="{00000000-0005-0000-0000-000041000000}"/>
    <cellStyle name="’??? [0.00]_TMCA Spreadsheet(body)" xfId="71" xr:uid="{00000000-0005-0000-0000-000042000000}"/>
    <cellStyle name="’???_TMCA Spreadsheet(body)" xfId="72" xr:uid="{00000000-0005-0000-0000-000043000000}"/>
    <cellStyle name="£ BP" xfId="73" xr:uid="{00000000-0005-0000-0000-000044000000}"/>
    <cellStyle name="£ BP 2" xfId="74" xr:uid="{00000000-0005-0000-0000-000045000000}"/>
    <cellStyle name="£ BP 2 2" xfId="75" xr:uid="{00000000-0005-0000-0000-000046000000}"/>
    <cellStyle name="¥ JY" xfId="76" xr:uid="{00000000-0005-0000-0000-000047000000}"/>
    <cellStyle name="¥ JY 2" xfId="77" xr:uid="{00000000-0005-0000-0000-000048000000}"/>
    <cellStyle name="¥ JY 2 2" xfId="78" xr:uid="{00000000-0005-0000-0000-000049000000}"/>
    <cellStyle name="•W_TMCA Spreadsheet(body)" xfId="79" xr:uid="{00000000-0005-0000-0000-00004A000000}"/>
    <cellStyle name="20% - Accent1 10" xfId="80" xr:uid="{00000000-0005-0000-0000-00004B000000}"/>
    <cellStyle name="20% - Accent1 10 2" xfId="81" xr:uid="{00000000-0005-0000-0000-00004C000000}"/>
    <cellStyle name="20% - Accent1 10 3" xfId="82" xr:uid="{00000000-0005-0000-0000-00004D000000}"/>
    <cellStyle name="20% - Accent1 11" xfId="83" xr:uid="{00000000-0005-0000-0000-00004E000000}"/>
    <cellStyle name="20% - Accent1 11 2" xfId="84" xr:uid="{00000000-0005-0000-0000-00004F000000}"/>
    <cellStyle name="20% - Accent1 11 3" xfId="85" xr:uid="{00000000-0005-0000-0000-000050000000}"/>
    <cellStyle name="20% - Accent1 12" xfId="86" xr:uid="{00000000-0005-0000-0000-000051000000}"/>
    <cellStyle name="20% - Accent1 12 2" xfId="87" xr:uid="{00000000-0005-0000-0000-000052000000}"/>
    <cellStyle name="20% - Accent1 13" xfId="88" xr:uid="{00000000-0005-0000-0000-000053000000}"/>
    <cellStyle name="20% - Accent1 13 2" xfId="89" xr:uid="{00000000-0005-0000-0000-000054000000}"/>
    <cellStyle name="20% - Accent1 14" xfId="90" xr:uid="{00000000-0005-0000-0000-000055000000}"/>
    <cellStyle name="20% - Accent1 15" xfId="91" xr:uid="{00000000-0005-0000-0000-000056000000}"/>
    <cellStyle name="20% - Accent1 2" xfId="92" xr:uid="{00000000-0005-0000-0000-000057000000}"/>
    <cellStyle name="20% - Accent1 2 10" xfId="93" xr:uid="{00000000-0005-0000-0000-000058000000}"/>
    <cellStyle name="20% - Accent1 2 11" xfId="94" xr:uid="{00000000-0005-0000-0000-000059000000}"/>
    <cellStyle name="20% - Accent1 2 12" xfId="95" xr:uid="{00000000-0005-0000-0000-00005A000000}"/>
    <cellStyle name="20% - Accent1 2 13" xfId="96" xr:uid="{00000000-0005-0000-0000-00005B000000}"/>
    <cellStyle name="20% - Accent1 2 14" xfId="97" xr:uid="{00000000-0005-0000-0000-00005C000000}"/>
    <cellStyle name="20% - Accent1 2 2" xfId="98" xr:uid="{00000000-0005-0000-0000-00005D000000}"/>
    <cellStyle name="20% - Accent1 2 2 2" xfId="99" xr:uid="{00000000-0005-0000-0000-00005E000000}"/>
    <cellStyle name="20% - Accent1 2 2 3" xfId="100" xr:uid="{00000000-0005-0000-0000-00005F000000}"/>
    <cellStyle name="20% - Accent1 2 3" xfId="101" xr:uid="{00000000-0005-0000-0000-000060000000}"/>
    <cellStyle name="20% - Accent1 2 3 2" xfId="102" xr:uid="{00000000-0005-0000-0000-000061000000}"/>
    <cellStyle name="20% - Accent1 2 4" xfId="103" xr:uid="{00000000-0005-0000-0000-000062000000}"/>
    <cellStyle name="20% - Accent1 2 5" xfId="104" xr:uid="{00000000-0005-0000-0000-000063000000}"/>
    <cellStyle name="20% - Accent1 2 6" xfId="105" xr:uid="{00000000-0005-0000-0000-000064000000}"/>
    <cellStyle name="20% - Accent1 2 7" xfId="106" xr:uid="{00000000-0005-0000-0000-000065000000}"/>
    <cellStyle name="20% - Accent1 2 8" xfId="107" xr:uid="{00000000-0005-0000-0000-000066000000}"/>
    <cellStyle name="20% - Accent1 2 9" xfId="108" xr:uid="{00000000-0005-0000-0000-000067000000}"/>
    <cellStyle name="20% - Accent1 3" xfId="109" xr:uid="{00000000-0005-0000-0000-000068000000}"/>
    <cellStyle name="20% - Accent1 3 2" xfId="110" xr:uid="{00000000-0005-0000-0000-000069000000}"/>
    <cellStyle name="20% - Accent1 3 3" xfId="111" xr:uid="{00000000-0005-0000-0000-00006A000000}"/>
    <cellStyle name="20% - Accent1 3 4" xfId="112" xr:uid="{00000000-0005-0000-0000-00006B000000}"/>
    <cellStyle name="20% - Accent1 3 5" xfId="113" xr:uid="{00000000-0005-0000-0000-00006C000000}"/>
    <cellStyle name="20% - Accent1 3 6" xfId="114" xr:uid="{00000000-0005-0000-0000-00006D000000}"/>
    <cellStyle name="20% - Accent1 3 7" xfId="115" xr:uid="{00000000-0005-0000-0000-00006E000000}"/>
    <cellStyle name="20% - Accent1 3 8" xfId="116" xr:uid="{00000000-0005-0000-0000-00006F000000}"/>
    <cellStyle name="20% - Accent1 4" xfId="117" xr:uid="{00000000-0005-0000-0000-000070000000}"/>
    <cellStyle name="20% - Accent1 4 2" xfId="118" xr:uid="{00000000-0005-0000-0000-000071000000}"/>
    <cellStyle name="20% - Accent1 4 3" xfId="119" xr:uid="{00000000-0005-0000-0000-000072000000}"/>
    <cellStyle name="20% - Accent1 4 4" xfId="120" xr:uid="{00000000-0005-0000-0000-000073000000}"/>
    <cellStyle name="20% - Accent1 4 5" xfId="121" xr:uid="{00000000-0005-0000-0000-000074000000}"/>
    <cellStyle name="20% - Accent1 4 6" xfId="122" xr:uid="{00000000-0005-0000-0000-000075000000}"/>
    <cellStyle name="20% - Accent1 5" xfId="123" xr:uid="{00000000-0005-0000-0000-000076000000}"/>
    <cellStyle name="20% - Accent1 5 2" xfId="124" xr:uid="{00000000-0005-0000-0000-000077000000}"/>
    <cellStyle name="20% - Accent1 5 3" xfId="125" xr:uid="{00000000-0005-0000-0000-000078000000}"/>
    <cellStyle name="20% - Accent1 5 4" xfId="126" xr:uid="{00000000-0005-0000-0000-000079000000}"/>
    <cellStyle name="20% - Accent1 5 5" xfId="127" xr:uid="{00000000-0005-0000-0000-00007A000000}"/>
    <cellStyle name="20% - Accent1 6" xfId="128" xr:uid="{00000000-0005-0000-0000-00007B000000}"/>
    <cellStyle name="20% - Accent1 6 2" xfId="129" xr:uid="{00000000-0005-0000-0000-00007C000000}"/>
    <cellStyle name="20% - Accent1 6 3" xfId="130" xr:uid="{00000000-0005-0000-0000-00007D000000}"/>
    <cellStyle name="20% - Accent1 6 4" xfId="131" xr:uid="{00000000-0005-0000-0000-00007E000000}"/>
    <cellStyle name="20% - Accent1 7" xfId="132" xr:uid="{00000000-0005-0000-0000-00007F000000}"/>
    <cellStyle name="20% - Accent1 7 2" xfId="133" xr:uid="{00000000-0005-0000-0000-000080000000}"/>
    <cellStyle name="20% - Accent1 7 3" xfId="134" xr:uid="{00000000-0005-0000-0000-000081000000}"/>
    <cellStyle name="20% - Accent1 7 4" xfId="135" xr:uid="{00000000-0005-0000-0000-000082000000}"/>
    <cellStyle name="20% - Accent1 8" xfId="136" xr:uid="{00000000-0005-0000-0000-000083000000}"/>
    <cellStyle name="20% - Accent1 8 2" xfId="137" xr:uid="{00000000-0005-0000-0000-000084000000}"/>
    <cellStyle name="20% - Accent1 8 3" xfId="138" xr:uid="{00000000-0005-0000-0000-000085000000}"/>
    <cellStyle name="20% - Accent1 9" xfId="139" xr:uid="{00000000-0005-0000-0000-000086000000}"/>
    <cellStyle name="20% - Accent1 9 2" xfId="140" xr:uid="{00000000-0005-0000-0000-000087000000}"/>
    <cellStyle name="20% - Accent1 9 3" xfId="141" xr:uid="{00000000-0005-0000-0000-000088000000}"/>
    <cellStyle name="20% - Accent2 10" xfId="142" xr:uid="{00000000-0005-0000-0000-000089000000}"/>
    <cellStyle name="20% - Accent2 10 2" xfId="143" xr:uid="{00000000-0005-0000-0000-00008A000000}"/>
    <cellStyle name="20% - Accent2 10 3" xfId="144" xr:uid="{00000000-0005-0000-0000-00008B000000}"/>
    <cellStyle name="20% - Accent2 11" xfId="145" xr:uid="{00000000-0005-0000-0000-00008C000000}"/>
    <cellStyle name="20% - Accent2 11 2" xfId="146" xr:uid="{00000000-0005-0000-0000-00008D000000}"/>
    <cellStyle name="20% - Accent2 11 3" xfId="147" xr:uid="{00000000-0005-0000-0000-00008E000000}"/>
    <cellStyle name="20% - Accent2 12" xfId="148" xr:uid="{00000000-0005-0000-0000-00008F000000}"/>
    <cellStyle name="20% - Accent2 12 2" xfId="149" xr:uid="{00000000-0005-0000-0000-000090000000}"/>
    <cellStyle name="20% - Accent2 13" xfId="150" xr:uid="{00000000-0005-0000-0000-000091000000}"/>
    <cellStyle name="20% - Accent2 13 2" xfId="151" xr:uid="{00000000-0005-0000-0000-000092000000}"/>
    <cellStyle name="20% - Accent2 14" xfId="152" xr:uid="{00000000-0005-0000-0000-000093000000}"/>
    <cellStyle name="20% - Accent2 15" xfId="153" xr:uid="{00000000-0005-0000-0000-000094000000}"/>
    <cellStyle name="20% - Accent2 2" xfId="154" xr:uid="{00000000-0005-0000-0000-000095000000}"/>
    <cellStyle name="20% - Accent2 2 10" xfId="155" xr:uid="{00000000-0005-0000-0000-000096000000}"/>
    <cellStyle name="20% - Accent2 2 11" xfId="156" xr:uid="{00000000-0005-0000-0000-000097000000}"/>
    <cellStyle name="20% - Accent2 2 12" xfId="157" xr:uid="{00000000-0005-0000-0000-000098000000}"/>
    <cellStyle name="20% - Accent2 2 13" xfId="158" xr:uid="{00000000-0005-0000-0000-000099000000}"/>
    <cellStyle name="20% - Accent2 2 14" xfId="159" xr:uid="{00000000-0005-0000-0000-00009A000000}"/>
    <cellStyle name="20% - Accent2 2 2" xfId="160" xr:uid="{00000000-0005-0000-0000-00009B000000}"/>
    <cellStyle name="20% - Accent2 2 2 2" xfId="161" xr:uid="{00000000-0005-0000-0000-00009C000000}"/>
    <cellStyle name="20% - Accent2 2 2 3" xfId="162" xr:uid="{00000000-0005-0000-0000-00009D000000}"/>
    <cellStyle name="20% - Accent2 2 3" xfId="163" xr:uid="{00000000-0005-0000-0000-00009E000000}"/>
    <cellStyle name="20% - Accent2 2 3 2" xfId="164" xr:uid="{00000000-0005-0000-0000-00009F000000}"/>
    <cellStyle name="20% - Accent2 2 4" xfId="165" xr:uid="{00000000-0005-0000-0000-0000A0000000}"/>
    <cellStyle name="20% - Accent2 2 5" xfId="166" xr:uid="{00000000-0005-0000-0000-0000A1000000}"/>
    <cellStyle name="20% - Accent2 2 6" xfId="167" xr:uid="{00000000-0005-0000-0000-0000A2000000}"/>
    <cellStyle name="20% - Accent2 2 7" xfId="168" xr:uid="{00000000-0005-0000-0000-0000A3000000}"/>
    <cellStyle name="20% - Accent2 2 8" xfId="169" xr:uid="{00000000-0005-0000-0000-0000A4000000}"/>
    <cellStyle name="20% - Accent2 2 9" xfId="170" xr:uid="{00000000-0005-0000-0000-0000A5000000}"/>
    <cellStyle name="20% - Accent2 3" xfId="171" xr:uid="{00000000-0005-0000-0000-0000A6000000}"/>
    <cellStyle name="20% - Accent2 3 2" xfId="172" xr:uid="{00000000-0005-0000-0000-0000A7000000}"/>
    <cellStyle name="20% - Accent2 3 3" xfId="173" xr:uid="{00000000-0005-0000-0000-0000A8000000}"/>
    <cellStyle name="20% - Accent2 3 4" xfId="174" xr:uid="{00000000-0005-0000-0000-0000A9000000}"/>
    <cellStyle name="20% - Accent2 3 5" xfId="175" xr:uid="{00000000-0005-0000-0000-0000AA000000}"/>
    <cellStyle name="20% - Accent2 3 6" xfId="176" xr:uid="{00000000-0005-0000-0000-0000AB000000}"/>
    <cellStyle name="20% - Accent2 3 7" xfId="177" xr:uid="{00000000-0005-0000-0000-0000AC000000}"/>
    <cellStyle name="20% - Accent2 3 8" xfId="178" xr:uid="{00000000-0005-0000-0000-0000AD000000}"/>
    <cellStyle name="20% - Accent2 4" xfId="179" xr:uid="{00000000-0005-0000-0000-0000AE000000}"/>
    <cellStyle name="20% - Accent2 4 2" xfId="180" xr:uid="{00000000-0005-0000-0000-0000AF000000}"/>
    <cellStyle name="20% - Accent2 4 3" xfId="181" xr:uid="{00000000-0005-0000-0000-0000B0000000}"/>
    <cellStyle name="20% - Accent2 4 4" xfId="182" xr:uid="{00000000-0005-0000-0000-0000B1000000}"/>
    <cellStyle name="20% - Accent2 4 5" xfId="183" xr:uid="{00000000-0005-0000-0000-0000B2000000}"/>
    <cellStyle name="20% - Accent2 4 6" xfId="184" xr:uid="{00000000-0005-0000-0000-0000B3000000}"/>
    <cellStyle name="20% - Accent2 5" xfId="185" xr:uid="{00000000-0005-0000-0000-0000B4000000}"/>
    <cellStyle name="20% - Accent2 5 2" xfId="186" xr:uid="{00000000-0005-0000-0000-0000B5000000}"/>
    <cellStyle name="20% - Accent2 5 3" xfId="187" xr:uid="{00000000-0005-0000-0000-0000B6000000}"/>
    <cellStyle name="20% - Accent2 5 4" xfId="188" xr:uid="{00000000-0005-0000-0000-0000B7000000}"/>
    <cellStyle name="20% - Accent2 5 5" xfId="189" xr:uid="{00000000-0005-0000-0000-0000B8000000}"/>
    <cellStyle name="20% - Accent2 6" xfId="190" xr:uid="{00000000-0005-0000-0000-0000B9000000}"/>
    <cellStyle name="20% - Accent2 6 2" xfId="191" xr:uid="{00000000-0005-0000-0000-0000BA000000}"/>
    <cellStyle name="20% - Accent2 6 3" xfId="192" xr:uid="{00000000-0005-0000-0000-0000BB000000}"/>
    <cellStyle name="20% - Accent2 6 4" xfId="193" xr:uid="{00000000-0005-0000-0000-0000BC000000}"/>
    <cellStyle name="20% - Accent2 7" xfId="194" xr:uid="{00000000-0005-0000-0000-0000BD000000}"/>
    <cellStyle name="20% - Accent2 7 2" xfId="195" xr:uid="{00000000-0005-0000-0000-0000BE000000}"/>
    <cellStyle name="20% - Accent2 7 3" xfId="196" xr:uid="{00000000-0005-0000-0000-0000BF000000}"/>
    <cellStyle name="20% - Accent2 7 4" xfId="197" xr:uid="{00000000-0005-0000-0000-0000C0000000}"/>
    <cellStyle name="20% - Accent2 8" xfId="198" xr:uid="{00000000-0005-0000-0000-0000C1000000}"/>
    <cellStyle name="20% - Accent2 8 2" xfId="199" xr:uid="{00000000-0005-0000-0000-0000C2000000}"/>
    <cellStyle name="20% - Accent2 8 3" xfId="200" xr:uid="{00000000-0005-0000-0000-0000C3000000}"/>
    <cellStyle name="20% - Accent2 9" xfId="201" xr:uid="{00000000-0005-0000-0000-0000C4000000}"/>
    <cellStyle name="20% - Accent2 9 2" xfId="202" xr:uid="{00000000-0005-0000-0000-0000C5000000}"/>
    <cellStyle name="20% - Accent2 9 3" xfId="203" xr:uid="{00000000-0005-0000-0000-0000C6000000}"/>
    <cellStyle name="20% - Accent3 10" xfId="204" xr:uid="{00000000-0005-0000-0000-0000C7000000}"/>
    <cellStyle name="20% - Accent3 10 2" xfId="205" xr:uid="{00000000-0005-0000-0000-0000C8000000}"/>
    <cellStyle name="20% - Accent3 10 3" xfId="206" xr:uid="{00000000-0005-0000-0000-0000C9000000}"/>
    <cellStyle name="20% - Accent3 11" xfId="207" xr:uid="{00000000-0005-0000-0000-0000CA000000}"/>
    <cellStyle name="20% - Accent3 11 2" xfId="208" xr:uid="{00000000-0005-0000-0000-0000CB000000}"/>
    <cellStyle name="20% - Accent3 11 3" xfId="209" xr:uid="{00000000-0005-0000-0000-0000CC000000}"/>
    <cellStyle name="20% - Accent3 12" xfId="210" xr:uid="{00000000-0005-0000-0000-0000CD000000}"/>
    <cellStyle name="20% - Accent3 12 2" xfId="211" xr:uid="{00000000-0005-0000-0000-0000CE000000}"/>
    <cellStyle name="20% - Accent3 13" xfId="212" xr:uid="{00000000-0005-0000-0000-0000CF000000}"/>
    <cellStyle name="20% - Accent3 13 2" xfId="213" xr:uid="{00000000-0005-0000-0000-0000D0000000}"/>
    <cellStyle name="20% - Accent3 14" xfId="214" xr:uid="{00000000-0005-0000-0000-0000D1000000}"/>
    <cellStyle name="20% - Accent3 15" xfId="215" xr:uid="{00000000-0005-0000-0000-0000D2000000}"/>
    <cellStyle name="20% - Accent3 2" xfId="216" xr:uid="{00000000-0005-0000-0000-0000D3000000}"/>
    <cellStyle name="20% - Accent3 2 10" xfId="217" xr:uid="{00000000-0005-0000-0000-0000D4000000}"/>
    <cellStyle name="20% - Accent3 2 11" xfId="218" xr:uid="{00000000-0005-0000-0000-0000D5000000}"/>
    <cellStyle name="20% - Accent3 2 12" xfId="219" xr:uid="{00000000-0005-0000-0000-0000D6000000}"/>
    <cellStyle name="20% - Accent3 2 13" xfId="220" xr:uid="{00000000-0005-0000-0000-0000D7000000}"/>
    <cellStyle name="20% - Accent3 2 14" xfId="221" xr:uid="{00000000-0005-0000-0000-0000D8000000}"/>
    <cellStyle name="20% - Accent3 2 2" xfId="222" xr:uid="{00000000-0005-0000-0000-0000D9000000}"/>
    <cellStyle name="20% - Accent3 2 2 2" xfId="223" xr:uid="{00000000-0005-0000-0000-0000DA000000}"/>
    <cellStyle name="20% - Accent3 2 2 3" xfId="224" xr:uid="{00000000-0005-0000-0000-0000DB000000}"/>
    <cellStyle name="20% - Accent3 2 3" xfId="225" xr:uid="{00000000-0005-0000-0000-0000DC000000}"/>
    <cellStyle name="20% - Accent3 2 3 2" xfId="226" xr:uid="{00000000-0005-0000-0000-0000DD000000}"/>
    <cellStyle name="20% - Accent3 2 4" xfId="227" xr:uid="{00000000-0005-0000-0000-0000DE000000}"/>
    <cellStyle name="20% - Accent3 2 5" xfId="228" xr:uid="{00000000-0005-0000-0000-0000DF000000}"/>
    <cellStyle name="20% - Accent3 2 6" xfId="229" xr:uid="{00000000-0005-0000-0000-0000E0000000}"/>
    <cellStyle name="20% - Accent3 2 7" xfId="230" xr:uid="{00000000-0005-0000-0000-0000E1000000}"/>
    <cellStyle name="20% - Accent3 2 8" xfId="231" xr:uid="{00000000-0005-0000-0000-0000E2000000}"/>
    <cellStyle name="20% - Accent3 2 9" xfId="232" xr:uid="{00000000-0005-0000-0000-0000E3000000}"/>
    <cellStyle name="20% - Accent3 3" xfId="233" xr:uid="{00000000-0005-0000-0000-0000E4000000}"/>
    <cellStyle name="20% - Accent3 3 2" xfId="234" xr:uid="{00000000-0005-0000-0000-0000E5000000}"/>
    <cellStyle name="20% - Accent3 3 3" xfId="235" xr:uid="{00000000-0005-0000-0000-0000E6000000}"/>
    <cellStyle name="20% - Accent3 3 4" xfId="236" xr:uid="{00000000-0005-0000-0000-0000E7000000}"/>
    <cellStyle name="20% - Accent3 3 5" xfId="237" xr:uid="{00000000-0005-0000-0000-0000E8000000}"/>
    <cellStyle name="20% - Accent3 3 6" xfId="238" xr:uid="{00000000-0005-0000-0000-0000E9000000}"/>
    <cellStyle name="20% - Accent3 3 7" xfId="239" xr:uid="{00000000-0005-0000-0000-0000EA000000}"/>
    <cellStyle name="20% - Accent3 3 8" xfId="240" xr:uid="{00000000-0005-0000-0000-0000EB000000}"/>
    <cellStyle name="20% - Accent3 4" xfId="241" xr:uid="{00000000-0005-0000-0000-0000EC000000}"/>
    <cellStyle name="20% - Accent3 4 2" xfId="242" xr:uid="{00000000-0005-0000-0000-0000ED000000}"/>
    <cellStyle name="20% - Accent3 4 3" xfId="243" xr:uid="{00000000-0005-0000-0000-0000EE000000}"/>
    <cellStyle name="20% - Accent3 4 4" xfId="244" xr:uid="{00000000-0005-0000-0000-0000EF000000}"/>
    <cellStyle name="20% - Accent3 4 5" xfId="245" xr:uid="{00000000-0005-0000-0000-0000F0000000}"/>
    <cellStyle name="20% - Accent3 4 6" xfId="246" xr:uid="{00000000-0005-0000-0000-0000F1000000}"/>
    <cellStyle name="20% - Accent3 5" xfId="247" xr:uid="{00000000-0005-0000-0000-0000F2000000}"/>
    <cellStyle name="20% - Accent3 5 2" xfId="248" xr:uid="{00000000-0005-0000-0000-0000F3000000}"/>
    <cellStyle name="20% - Accent3 5 3" xfId="249" xr:uid="{00000000-0005-0000-0000-0000F4000000}"/>
    <cellStyle name="20% - Accent3 5 4" xfId="250" xr:uid="{00000000-0005-0000-0000-0000F5000000}"/>
    <cellStyle name="20% - Accent3 5 5" xfId="251" xr:uid="{00000000-0005-0000-0000-0000F6000000}"/>
    <cellStyle name="20% - Accent3 6" xfId="252" xr:uid="{00000000-0005-0000-0000-0000F7000000}"/>
    <cellStyle name="20% - Accent3 6 2" xfId="253" xr:uid="{00000000-0005-0000-0000-0000F8000000}"/>
    <cellStyle name="20% - Accent3 6 3" xfId="254" xr:uid="{00000000-0005-0000-0000-0000F9000000}"/>
    <cellStyle name="20% - Accent3 6 4" xfId="255" xr:uid="{00000000-0005-0000-0000-0000FA000000}"/>
    <cellStyle name="20% - Accent3 7" xfId="256" xr:uid="{00000000-0005-0000-0000-0000FB000000}"/>
    <cellStyle name="20% - Accent3 7 2" xfId="257" xr:uid="{00000000-0005-0000-0000-0000FC000000}"/>
    <cellStyle name="20% - Accent3 7 3" xfId="258" xr:uid="{00000000-0005-0000-0000-0000FD000000}"/>
    <cellStyle name="20% - Accent3 7 4" xfId="259" xr:uid="{00000000-0005-0000-0000-0000FE000000}"/>
    <cellStyle name="20% - Accent3 8" xfId="260" xr:uid="{00000000-0005-0000-0000-0000FF000000}"/>
    <cellStyle name="20% - Accent3 8 2" xfId="261" xr:uid="{00000000-0005-0000-0000-000000010000}"/>
    <cellStyle name="20% - Accent3 8 3" xfId="262" xr:uid="{00000000-0005-0000-0000-000001010000}"/>
    <cellStyle name="20% - Accent3 9" xfId="263" xr:uid="{00000000-0005-0000-0000-000002010000}"/>
    <cellStyle name="20% - Accent3 9 2" xfId="264" xr:uid="{00000000-0005-0000-0000-000003010000}"/>
    <cellStyle name="20% - Accent3 9 3" xfId="265" xr:uid="{00000000-0005-0000-0000-000004010000}"/>
    <cellStyle name="20% - Accent4 10" xfId="266" xr:uid="{00000000-0005-0000-0000-000005010000}"/>
    <cellStyle name="20% - Accent4 10 2" xfId="267" xr:uid="{00000000-0005-0000-0000-000006010000}"/>
    <cellStyle name="20% - Accent4 10 3" xfId="268" xr:uid="{00000000-0005-0000-0000-000007010000}"/>
    <cellStyle name="20% - Accent4 11" xfId="269" xr:uid="{00000000-0005-0000-0000-000008010000}"/>
    <cellStyle name="20% - Accent4 11 2" xfId="270" xr:uid="{00000000-0005-0000-0000-000009010000}"/>
    <cellStyle name="20% - Accent4 11 3" xfId="271" xr:uid="{00000000-0005-0000-0000-00000A010000}"/>
    <cellStyle name="20% - Accent4 12" xfId="272" xr:uid="{00000000-0005-0000-0000-00000B010000}"/>
    <cellStyle name="20% - Accent4 12 2" xfId="273" xr:uid="{00000000-0005-0000-0000-00000C010000}"/>
    <cellStyle name="20% - Accent4 13" xfId="274" xr:uid="{00000000-0005-0000-0000-00000D010000}"/>
    <cellStyle name="20% - Accent4 13 2" xfId="275" xr:uid="{00000000-0005-0000-0000-00000E010000}"/>
    <cellStyle name="20% - Accent4 14" xfId="276" xr:uid="{00000000-0005-0000-0000-00000F010000}"/>
    <cellStyle name="20% - Accent4 15" xfId="277" xr:uid="{00000000-0005-0000-0000-000010010000}"/>
    <cellStyle name="20% - Accent4 2" xfId="278" xr:uid="{00000000-0005-0000-0000-000011010000}"/>
    <cellStyle name="20% - Accent4 2 10" xfId="279" xr:uid="{00000000-0005-0000-0000-000012010000}"/>
    <cellStyle name="20% - Accent4 2 11" xfId="280" xr:uid="{00000000-0005-0000-0000-000013010000}"/>
    <cellStyle name="20% - Accent4 2 12" xfId="281" xr:uid="{00000000-0005-0000-0000-000014010000}"/>
    <cellStyle name="20% - Accent4 2 13" xfId="282" xr:uid="{00000000-0005-0000-0000-000015010000}"/>
    <cellStyle name="20% - Accent4 2 14" xfId="283" xr:uid="{00000000-0005-0000-0000-000016010000}"/>
    <cellStyle name="20% - Accent4 2 2" xfId="284" xr:uid="{00000000-0005-0000-0000-000017010000}"/>
    <cellStyle name="20% - Accent4 2 2 2" xfId="285" xr:uid="{00000000-0005-0000-0000-000018010000}"/>
    <cellStyle name="20% - Accent4 2 2 3" xfId="286" xr:uid="{00000000-0005-0000-0000-000019010000}"/>
    <cellStyle name="20% - Accent4 2 3" xfId="287" xr:uid="{00000000-0005-0000-0000-00001A010000}"/>
    <cellStyle name="20% - Accent4 2 3 2" xfId="288" xr:uid="{00000000-0005-0000-0000-00001B010000}"/>
    <cellStyle name="20% - Accent4 2 4" xfId="289" xr:uid="{00000000-0005-0000-0000-00001C010000}"/>
    <cellStyle name="20% - Accent4 2 5" xfId="290" xr:uid="{00000000-0005-0000-0000-00001D010000}"/>
    <cellStyle name="20% - Accent4 2 6" xfId="291" xr:uid="{00000000-0005-0000-0000-00001E010000}"/>
    <cellStyle name="20% - Accent4 2 7" xfId="292" xr:uid="{00000000-0005-0000-0000-00001F010000}"/>
    <cellStyle name="20% - Accent4 2 8" xfId="293" xr:uid="{00000000-0005-0000-0000-000020010000}"/>
    <cellStyle name="20% - Accent4 2 9" xfId="294" xr:uid="{00000000-0005-0000-0000-000021010000}"/>
    <cellStyle name="20% - Accent4 3" xfId="295" xr:uid="{00000000-0005-0000-0000-000022010000}"/>
    <cellStyle name="20% - Accent4 3 2" xfId="296" xr:uid="{00000000-0005-0000-0000-000023010000}"/>
    <cellStyle name="20% - Accent4 3 3" xfId="297" xr:uid="{00000000-0005-0000-0000-000024010000}"/>
    <cellStyle name="20% - Accent4 3 4" xfId="298" xr:uid="{00000000-0005-0000-0000-000025010000}"/>
    <cellStyle name="20% - Accent4 3 5" xfId="299" xr:uid="{00000000-0005-0000-0000-000026010000}"/>
    <cellStyle name="20% - Accent4 3 6" xfId="300" xr:uid="{00000000-0005-0000-0000-000027010000}"/>
    <cellStyle name="20% - Accent4 3 7" xfId="301" xr:uid="{00000000-0005-0000-0000-000028010000}"/>
    <cellStyle name="20% - Accent4 3 8" xfId="302" xr:uid="{00000000-0005-0000-0000-000029010000}"/>
    <cellStyle name="20% - Accent4 4" xfId="303" xr:uid="{00000000-0005-0000-0000-00002A010000}"/>
    <cellStyle name="20% - Accent4 4 2" xfId="304" xr:uid="{00000000-0005-0000-0000-00002B010000}"/>
    <cellStyle name="20% - Accent4 4 3" xfId="305" xr:uid="{00000000-0005-0000-0000-00002C010000}"/>
    <cellStyle name="20% - Accent4 4 4" xfId="306" xr:uid="{00000000-0005-0000-0000-00002D010000}"/>
    <cellStyle name="20% - Accent4 4 5" xfId="307" xr:uid="{00000000-0005-0000-0000-00002E010000}"/>
    <cellStyle name="20% - Accent4 4 6" xfId="308" xr:uid="{00000000-0005-0000-0000-00002F010000}"/>
    <cellStyle name="20% - Accent4 5" xfId="309" xr:uid="{00000000-0005-0000-0000-000030010000}"/>
    <cellStyle name="20% - Accent4 5 2" xfId="310" xr:uid="{00000000-0005-0000-0000-000031010000}"/>
    <cellStyle name="20% - Accent4 5 3" xfId="311" xr:uid="{00000000-0005-0000-0000-000032010000}"/>
    <cellStyle name="20% - Accent4 5 4" xfId="312" xr:uid="{00000000-0005-0000-0000-000033010000}"/>
    <cellStyle name="20% - Accent4 5 5" xfId="313" xr:uid="{00000000-0005-0000-0000-000034010000}"/>
    <cellStyle name="20% - Accent4 6" xfId="314" xr:uid="{00000000-0005-0000-0000-000035010000}"/>
    <cellStyle name="20% - Accent4 6 2" xfId="315" xr:uid="{00000000-0005-0000-0000-000036010000}"/>
    <cellStyle name="20% - Accent4 6 3" xfId="316" xr:uid="{00000000-0005-0000-0000-000037010000}"/>
    <cellStyle name="20% - Accent4 6 4" xfId="317" xr:uid="{00000000-0005-0000-0000-000038010000}"/>
    <cellStyle name="20% - Accent4 7" xfId="318" xr:uid="{00000000-0005-0000-0000-000039010000}"/>
    <cellStyle name="20% - Accent4 7 2" xfId="319" xr:uid="{00000000-0005-0000-0000-00003A010000}"/>
    <cellStyle name="20% - Accent4 7 3" xfId="320" xr:uid="{00000000-0005-0000-0000-00003B010000}"/>
    <cellStyle name="20% - Accent4 7 4" xfId="321" xr:uid="{00000000-0005-0000-0000-00003C010000}"/>
    <cellStyle name="20% - Accent4 8" xfId="322" xr:uid="{00000000-0005-0000-0000-00003D010000}"/>
    <cellStyle name="20% - Accent4 8 2" xfId="323" xr:uid="{00000000-0005-0000-0000-00003E010000}"/>
    <cellStyle name="20% - Accent4 8 3" xfId="324" xr:uid="{00000000-0005-0000-0000-00003F010000}"/>
    <cellStyle name="20% - Accent4 9" xfId="325" xr:uid="{00000000-0005-0000-0000-000040010000}"/>
    <cellStyle name="20% - Accent4 9 2" xfId="326" xr:uid="{00000000-0005-0000-0000-000041010000}"/>
    <cellStyle name="20% - Accent4 9 3" xfId="327" xr:uid="{00000000-0005-0000-0000-000042010000}"/>
    <cellStyle name="20% - Accent5 10" xfId="328" xr:uid="{00000000-0005-0000-0000-000043010000}"/>
    <cellStyle name="20% - Accent5 10 2" xfId="329" xr:uid="{00000000-0005-0000-0000-000044010000}"/>
    <cellStyle name="20% - Accent5 10 3" xfId="330" xr:uid="{00000000-0005-0000-0000-000045010000}"/>
    <cellStyle name="20% - Accent5 11" xfId="331" xr:uid="{00000000-0005-0000-0000-000046010000}"/>
    <cellStyle name="20% - Accent5 11 2" xfId="332" xr:uid="{00000000-0005-0000-0000-000047010000}"/>
    <cellStyle name="20% - Accent5 11 3" xfId="333" xr:uid="{00000000-0005-0000-0000-000048010000}"/>
    <cellStyle name="20% - Accent5 12" xfId="334" xr:uid="{00000000-0005-0000-0000-000049010000}"/>
    <cellStyle name="20% - Accent5 12 2" xfId="335" xr:uid="{00000000-0005-0000-0000-00004A010000}"/>
    <cellStyle name="20% - Accent5 13" xfId="336" xr:uid="{00000000-0005-0000-0000-00004B010000}"/>
    <cellStyle name="20% - Accent5 13 2" xfId="337" xr:uid="{00000000-0005-0000-0000-00004C010000}"/>
    <cellStyle name="20% - Accent5 14" xfId="338" xr:uid="{00000000-0005-0000-0000-00004D010000}"/>
    <cellStyle name="20% - Accent5 15" xfId="339" xr:uid="{00000000-0005-0000-0000-00004E010000}"/>
    <cellStyle name="20% - Accent5 2" xfId="340" xr:uid="{00000000-0005-0000-0000-00004F010000}"/>
    <cellStyle name="20% - Accent5 2 10" xfId="341" xr:uid="{00000000-0005-0000-0000-000050010000}"/>
    <cellStyle name="20% - Accent5 2 11" xfId="342" xr:uid="{00000000-0005-0000-0000-000051010000}"/>
    <cellStyle name="20% - Accent5 2 12" xfId="343" xr:uid="{00000000-0005-0000-0000-000052010000}"/>
    <cellStyle name="20% - Accent5 2 13" xfId="344" xr:uid="{00000000-0005-0000-0000-000053010000}"/>
    <cellStyle name="20% - Accent5 2 14" xfId="345" xr:uid="{00000000-0005-0000-0000-000054010000}"/>
    <cellStyle name="20% - Accent5 2 15" xfId="346" xr:uid="{00000000-0005-0000-0000-000055010000}"/>
    <cellStyle name="20% - Accent5 2 2" xfId="347" xr:uid="{00000000-0005-0000-0000-000056010000}"/>
    <cellStyle name="20% - Accent5 2 2 2" xfId="348" xr:uid="{00000000-0005-0000-0000-000057010000}"/>
    <cellStyle name="20% - Accent5 2 2 3" xfId="349" xr:uid="{00000000-0005-0000-0000-000058010000}"/>
    <cellStyle name="20% - Accent5 2 2 4" xfId="350" xr:uid="{00000000-0005-0000-0000-000059010000}"/>
    <cellStyle name="20% - Accent5 2 3" xfId="351" xr:uid="{00000000-0005-0000-0000-00005A010000}"/>
    <cellStyle name="20% - Accent5 2 3 2" xfId="352" xr:uid="{00000000-0005-0000-0000-00005B010000}"/>
    <cellStyle name="20% - Accent5 2 3 3" xfId="353" xr:uid="{00000000-0005-0000-0000-00005C010000}"/>
    <cellStyle name="20% - Accent5 2 3 4" xfId="354" xr:uid="{00000000-0005-0000-0000-00005D010000}"/>
    <cellStyle name="20% - Accent5 2 4" xfId="355" xr:uid="{00000000-0005-0000-0000-00005E010000}"/>
    <cellStyle name="20% - Accent5 2 5" xfId="356" xr:uid="{00000000-0005-0000-0000-00005F010000}"/>
    <cellStyle name="20% - Accent5 2 6" xfId="357" xr:uid="{00000000-0005-0000-0000-000060010000}"/>
    <cellStyle name="20% - Accent5 2 7" xfId="358" xr:uid="{00000000-0005-0000-0000-000061010000}"/>
    <cellStyle name="20% - Accent5 2 8" xfId="359" xr:uid="{00000000-0005-0000-0000-000062010000}"/>
    <cellStyle name="20% - Accent5 2 9" xfId="360" xr:uid="{00000000-0005-0000-0000-000063010000}"/>
    <cellStyle name="20% - Accent5 3" xfId="361" xr:uid="{00000000-0005-0000-0000-000064010000}"/>
    <cellStyle name="20% - Accent5 3 2" xfId="362" xr:uid="{00000000-0005-0000-0000-000065010000}"/>
    <cellStyle name="20% - Accent5 3 3" xfId="363" xr:uid="{00000000-0005-0000-0000-000066010000}"/>
    <cellStyle name="20% - Accent5 3 4" xfId="364" xr:uid="{00000000-0005-0000-0000-000067010000}"/>
    <cellStyle name="20% - Accent5 3 5" xfId="365" xr:uid="{00000000-0005-0000-0000-000068010000}"/>
    <cellStyle name="20% - Accent5 3 6" xfId="366" xr:uid="{00000000-0005-0000-0000-000069010000}"/>
    <cellStyle name="20% - Accent5 3 7" xfId="367" xr:uid="{00000000-0005-0000-0000-00006A010000}"/>
    <cellStyle name="20% - Accent5 3 8" xfId="368" xr:uid="{00000000-0005-0000-0000-00006B010000}"/>
    <cellStyle name="20% - Accent5 4" xfId="369" xr:uid="{00000000-0005-0000-0000-00006C010000}"/>
    <cellStyle name="20% - Accent5 4 2" xfId="370" xr:uid="{00000000-0005-0000-0000-00006D010000}"/>
    <cellStyle name="20% - Accent5 4 3" xfId="371" xr:uid="{00000000-0005-0000-0000-00006E010000}"/>
    <cellStyle name="20% - Accent5 4 4" xfId="372" xr:uid="{00000000-0005-0000-0000-00006F010000}"/>
    <cellStyle name="20% - Accent5 4 5" xfId="373" xr:uid="{00000000-0005-0000-0000-000070010000}"/>
    <cellStyle name="20% - Accent5 4 6" xfId="374" xr:uid="{00000000-0005-0000-0000-000071010000}"/>
    <cellStyle name="20% - Accent5 5" xfId="375" xr:uid="{00000000-0005-0000-0000-000072010000}"/>
    <cellStyle name="20% - Accent5 5 2" xfId="376" xr:uid="{00000000-0005-0000-0000-000073010000}"/>
    <cellStyle name="20% - Accent5 5 3" xfId="377" xr:uid="{00000000-0005-0000-0000-000074010000}"/>
    <cellStyle name="20% - Accent5 5 4" xfId="378" xr:uid="{00000000-0005-0000-0000-000075010000}"/>
    <cellStyle name="20% - Accent5 5 5" xfId="379" xr:uid="{00000000-0005-0000-0000-000076010000}"/>
    <cellStyle name="20% - Accent5 6" xfId="380" xr:uid="{00000000-0005-0000-0000-000077010000}"/>
    <cellStyle name="20% - Accent5 6 2" xfId="381" xr:uid="{00000000-0005-0000-0000-000078010000}"/>
    <cellStyle name="20% - Accent5 6 3" xfId="382" xr:uid="{00000000-0005-0000-0000-000079010000}"/>
    <cellStyle name="20% - Accent5 6 4" xfId="383" xr:uid="{00000000-0005-0000-0000-00007A010000}"/>
    <cellStyle name="20% - Accent5 7" xfId="384" xr:uid="{00000000-0005-0000-0000-00007B010000}"/>
    <cellStyle name="20% - Accent5 7 2" xfId="385" xr:uid="{00000000-0005-0000-0000-00007C010000}"/>
    <cellStyle name="20% - Accent5 7 3" xfId="386" xr:uid="{00000000-0005-0000-0000-00007D010000}"/>
    <cellStyle name="20% - Accent5 7 4" xfId="387" xr:uid="{00000000-0005-0000-0000-00007E010000}"/>
    <cellStyle name="20% - Accent5 8" xfId="388" xr:uid="{00000000-0005-0000-0000-00007F010000}"/>
    <cellStyle name="20% - Accent5 8 2" xfId="389" xr:uid="{00000000-0005-0000-0000-000080010000}"/>
    <cellStyle name="20% - Accent5 8 3" xfId="390" xr:uid="{00000000-0005-0000-0000-000081010000}"/>
    <cellStyle name="20% - Accent5 9" xfId="391" xr:uid="{00000000-0005-0000-0000-000082010000}"/>
    <cellStyle name="20% - Accent5 9 2" xfId="392" xr:uid="{00000000-0005-0000-0000-000083010000}"/>
    <cellStyle name="20% - Accent5 9 3" xfId="393" xr:uid="{00000000-0005-0000-0000-000084010000}"/>
    <cellStyle name="20% - Accent6 10" xfId="394" xr:uid="{00000000-0005-0000-0000-000085010000}"/>
    <cellStyle name="20% - Accent6 10 2" xfId="395" xr:uid="{00000000-0005-0000-0000-000086010000}"/>
    <cellStyle name="20% - Accent6 10 3" xfId="396" xr:uid="{00000000-0005-0000-0000-000087010000}"/>
    <cellStyle name="20% - Accent6 11" xfId="397" xr:uid="{00000000-0005-0000-0000-000088010000}"/>
    <cellStyle name="20% - Accent6 11 2" xfId="398" xr:uid="{00000000-0005-0000-0000-000089010000}"/>
    <cellStyle name="20% - Accent6 11 3" xfId="399" xr:uid="{00000000-0005-0000-0000-00008A010000}"/>
    <cellStyle name="20% - Accent6 12" xfId="400" xr:uid="{00000000-0005-0000-0000-00008B010000}"/>
    <cellStyle name="20% - Accent6 12 2" xfId="401" xr:uid="{00000000-0005-0000-0000-00008C010000}"/>
    <cellStyle name="20% - Accent6 13" xfId="402" xr:uid="{00000000-0005-0000-0000-00008D010000}"/>
    <cellStyle name="20% - Accent6 13 2" xfId="403" xr:uid="{00000000-0005-0000-0000-00008E010000}"/>
    <cellStyle name="20% - Accent6 14" xfId="404" xr:uid="{00000000-0005-0000-0000-00008F010000}"/>
    <cellStyle name="20% - Accent6 15" xfId="405" xr:uid="{00000000-0005-0000-0000-000090010000}"/>
    <cellStyle name="20% - Accent6 2" xfId="406" xr:uid="{00000000-0005-0000-0000-000091010000}"/>
    <cellStyle name="20% - Accent6 2 10" xfId="407" xr:uid="{00000000-0005-0000-0000-000092010000}"/>
    <cellStyle name="20% - Accent6 2 11" xfId="408" xr:uid="{00000000-0005-0000-0000-000093010000}"/>
    <cellStyle name="20% - Accent6 2 12" xfId="409" xr:uid="{00000000-0005-0000-0000-000094010000}"/>
    <cellStyle name="20% - Accent6 2 13" xfId="410" xr:uid="{00000000-0005-0000-0000-000095010000}"/>
    <cellStyle name="20% - Accent6 2 14" xfId="411" xr:uid="{00000000-0005-0000-0000-000096010000}"/>
    <cellStyle name="20% - Accent6 2 2" xfId="412" xr:uid="{00000000-0005-0000-0000-000097010000}"/>
    <cellStyle name="20% - Accent6 2 2 2" xfId="413" xr:uid="{00000000-0005-0000-0000-000098010000}"/>
    <cellStyle name="20% - Accent6 2 2 3" xfId="414" xr:uid="{00000000-0005-0000-0000-000099010000}"/>
    <cellStyle name="20% - Accent6 2 3" xfId="415" xr:uid="{00000000-0005-0000-0000-00009A010000}"/>
    <cellStyle name="20% - Accent6 2 3 2" xfId="416" xr:uid="{00000000-0005-0000-0000-00009B010000}"/>
    <cellStyle name="20% - Accent6 2 4" xfId="417" xr:uid="{00000000-0005-0000-0000-00009C010000}"/>
    <cellStyle name="20% - Accent6 2 5" xfId="418" xr:uid="{00000000-0005-0000-0000-00009D010000}"/>
    <cellStyle name="20% - Accent6 2 6" xfId="419" xr:uid="{00000000-0005-0000-0000-00009E010000}"/>
    <cellStyle name="20% - Accent6 2 7" xfId="420" xr:uid="{00000000-0005-0000-0000-00009F010000}"/>
    <cellStyle name="20% - Accent6 2 8" xfId="421" xr:uid="{00000000-0005-0000-0000-0000A0010000}"/>
    <cellStyle name="20% - Accent6 2 9" xfId="422" xr:uid="{00000000-0005-0000-0000-0000A1010000}"/>
    <cellStyle name="20% - Accent6 3" xfId="423" xr:uid="{00000000-0005-0000-0000-0000A2010000}"/>
    <cellStyle name="20% - Accent6 3 2" xfId="424" xr:uid="{00000000-0005-0000-0000-0000A3010000}"/>
    <cellStyle name="20% - Accent6 3 3" xfId="425" xr:uid="{00000000-0005-0000-0000-0000A4010000}"/>
    <cellStyle name="20% - Accent6 3 4" xfId="426" xr:uid="{00000000-0005-0000-0000-0000A5010000}"/>
    <cellStyle name="20% - Accent6 3 5" xfId="427" xr:uid="{00000000-0005-0000-0000-0000A6010000}"/>
    <cellStyle name="20% - Accent6 3 6" xfId="428" xr:uid="{00000000-0005-0000-0000-0000A7010000}"/>
    <cellStyle name="20% - Accent6 3 7" xfId="429" xr:uid="{00000000-0005-0000-0000-0000A8010000}"/>
    <cellStyle name="20% - Accent6 3 8" xfId="430" xr:uid="{00000000-0005-0000-0000-0000A9010000}"/>
    <cellStyle name="20% - Accent6 4" xfId="431" xr:uid="{00000000-0005-0000-0000-0000AA010000}"/>
    <cellStyle name="20% - Accent6 4 2" xfId="432" xr:uid="{00000000-0005-0000-0000-0000AB010000}"/>
    <cellStyle name="20% - Accent6 4 3" xfId="433" xr:uid="{00000000-0005-0000-0000-0000AC010000}"/>
    <cellStyle name="20% - Accent6 4 4" xfId="434" xr:uid="{00000000-0005-0000-0000-0000AD010000}"/>
    <cellStyle name="20% - Accent6 4 5" xfId="435" xr:uid="{00000000-0005-0000-0000-0000AE010000}"/>
    <cellStyle name="20% - Accent6 4 6" xfId="436" xr:uid="{00000000-0005-0000-0000-0000AF010000}"/>
    <cellStyle name="20% - Accent6 5" xfId="437" xr:uid="{00000000-0005-0000-0000-0000B0010000}"/>
    <cellStyle name="20% - Accent6 5 2" xfId="438" xr:uid="{00000000-0005-0000-0000-0000B1010000}"/>
    <cellStyle name="20% - Accent6 5 3" xfId="439" xr:uid="{00000000-0005-0000-0000-0000B2010000}"/>
    <cellStyle name="20% - Accent6 5 4" xfId="440" xr:uid="{00000000-0005-0000-0000-0000B3010000}"/>
    <cellStyle name="20% - Accent6 5 5" xfId="441" xr:uid="{00000000-0005-0000-0000-0000B4010000}"/>
    <cellStyle name="20% - Accent6 6" xfId="442" xr:uid="{00000000-0005-0000-0000-0000B5010000}"/>
    <cellStyle name="20% - Accent6 6 2" xfId="443" xr:uid="{00000000-0005-0000-0000-0000B6010000}"/>
    <cellStyle name="20% - Accent6 6 3" xfId="444" xr:uid="{00000000-0005-0000-0000-0000B7010000}"/>
    <cellStyle name="20% - Accent6 6 4" xfId="445" xr:uid="{00000000-0005-0000-0000-0000B8010000}"/>
    <cellStyle name="20% - Accent6 7" xfId="446" xr:uid="{00000000-0005-0000-0000-0000B9010000}"/>
    <cellStyle name="20% - Accent6 7 2" xfId="447" xr:uid="{00000000-0005-0000-0000-0000BA010000}"/>
    <cellStyle name="20% - Accent6 7 3" xfId="448" xr:uid="{00000000-0005-0000-0000-0000BB010000}"/>
    <cellStyle name="20% - Accent6 7 4" xfId="449" xr:uid="{00000000-0005-0000-0000-0000BC010000}"/>
    <cellStyle name="20% - Accent6 8" xfId="450" xr:uid="{00000000-0005-0000-0000-0000BD010000}"/>
    <cellStyle name="20% - Accent6 8 2" xfId="451" xr:uid="{00000000-0005-0000-0000-0000BE010000}"/>
    <cellStyle name="20% - Accent6 8 3" xfId="452" xr:uid="{00000000-0005-0000-0000-0000BF010000}"/>
    <cellStyle name="20% - Accent6 9" xfId="453" xr:uid="{00000000-0005-0000-0000-0000C0010000}"/>
    <cellStyle name="20% - Accent6 9 2" xfId="454" xr:uid="{00000000-0005-0000-0000-0000C1010000}"/>
    <cellStyle name="20% - Accent6 9 3" xfId="455" xr:uid="{00000000-0005-0000-0000-0000C2010000}"/>
    <cellStyle name="20% - 강조색1" xfId="456" xr:uid="{00000000-0005-0000-0000-0000C3010000}"/>
    <cellStyle name="20% - 강조색2" xfId="457" xr:uid="{00000000-0005-0000-0000-0000C4010000}"/>
    <cellStyle name="20% - 강조색3" xfId="458" xr:uid="{00000000-0005-0000-0000-0000C5010000}"/>
    <cellStyle name="20% - 강조색4" xfId="459" xr:uid="{00000000-0005-0000-0000-0000C6010000}"/>
    <cellStyle name="20% - 강조색5" xfId="460" xr:uid="{00000000-0005-0000-0000-0000C7010000}"/>
    <cellStyle name="20% - 강조색6" xfId="461" xr:uid="{00000000-0005-0000-0000-0000C8010000}"/>
    <cellStyle name="40% - Accent1 10" xfId="462" xr:uid="{00000000-0005-0000-0000-0000C9010000}"/>
    <cellStyle name="40% - Accent1 10 2" xfId="463" xr:uid="{00000000-0005-0000-0000-0000CA010000}"/>
    <cellStyle name="40% - Accent1 10 3" xfId="464" xr:uid="{00000000-0005-0000-0000-0000CB010000}"/>
    <cellStyle name="40% - Accent1 11" xfId="465" xr:uid="{00000000-0005-0000-0000-0000CC010000}"/>
    <cellStyle name="40% - Accent1 11 2" xfId="466" xr:uid="{00000000-0005-0000-0000-0000CD010000}"/>
    <cellStyle name="40% - Accent1 11 3" xfId="467" xr:uid="{00000000-0005-0000-0000-0000CE010000}"/>
    <cellStyle name="40% - Accent1 12" xfId="468" xr:uid="{00000000-0005-0000-0000-0000CF010000}"/>
    <cellStyle name="40% - Accent1 12 2" xfId="469" xr:uid="{00000000-0005-0000-0000-0000D0010000}"/>
    <cellStyle name="40% - Accent1 13" xfId="470" xr:uid="{00000000-0005-0000-0000-0000D1010000}"/>
    <cellStyle name="40% - Accent1 13 2" xfId="471" xr:uid="{00000000-0005-0000-0000-0000D2010000}"/>
    <cellStyle name="40% - Accent1 14" xfId="472" xr:uid="{00000000-0005-0000-0000-0000D3010000}"/>
    <cellStyle name="40% - Accent1 15" xfId="473" xr:uid="{00000000-0005-0000-0000-0000D4010000}"/>
    <cellStyle name="40% - Accent1 2" xfId="474" xr:uid="{00000000-0005-0000-0000-0000D5010000}"/>
    <cellStyle name="40% - Accent1 2 10" xfId="475" xr:uid="{00000000-0005-0000-0000-0000D6010000}"/>
    <cellStyle name="40% - Accent1 2 11" xfId="476" xr:uid="{00000000-0005-0000-0000-0000D7010000}"/>
    <cellStyle name="40% - Accent1 2 12" xfId="477" xr:uid="{00000000-0005-0000-0000-0000D8010000}"/>
    <cellStyle name="40% - Accent1 2 13" xfId="478" xr:uid="{00000000-0005-0000-0000-0000D9010000}"/>
    <cellStyle name="40% - Accent1 2 14" xfId="479" xr:uid="{00000000-0005-0000-0000-0000DA010000}"/>
    <cellStyle name="40% - Accent1 2 2" xfId="480" xr:uid="{00000000-0005-0000-0000-0000DB010000}"/>
    <cellStyle name="40% - Accent1 2 2 2" xfId="481" xr:uid="{00000000-0005-0000-0000-0000DC010000}"/>
    <cellStyle name="40% - Accent1 2 2 3" xfId="482" xr:uid="{00000000-0005-0000-0000-0000DD010000}"/>
    <cellStyle name="40% - Accent1 2 3" xfId="483" xr:uid="{00000000-0005-0000-0000-0000DE010000}"/>
    <cellStyle name="40% - Accent1 2 3 2" xfId="484" xr:uid="{00000000-0005-0000-0000-0000DF010000}"/>
    <cellStyle name="40% - Accent1 2 4" xfId="485" xr:uid="{00000000-0005-0000-0000-0000E0010000}"/>
    <cellStyle name="40% - Accent1 2 5" xfId="486" xr:uid="{00000000-0005-0000-0000-0000E1010000}"/>
    <cellStyle name="40% - Accent1 2 6" xfId="487" xr:uid="{00000000-0005-0000-0000-0000E2010000}"/>
    <cellStyle name="40% - Accent1 2 7" xfId="488" xr:uid="{00000000-0005-0000-0000-0000E3010000}"/>
    <cellStyle name="40% - Accent1 2 8" xfId="489" xr:uid="{00000000-0005-0000-0000-0000E4010000}"/>
    <cellStyle name="40% - Accent1 2 9" xfId="490" xr:uid="{00000000-0005-0000-0000-0000E5010000}"/>
    <cellStyle name="40% - Accent1 3" xfId="491" xr:uid="{00000000-0005-0000-0000-0000E6010000}"/>
    <cellStyle name="40% - Accent1 3 2" xfId="492" xr:uid="{00000000-0005-0000-0000-0000E7010000}"/>
    <cellStyle name="40% - Accent1 3 3" xfId="493" xr:uid="{00000000-0005-0000-0000-0000E8010000}"/>
    <cellStyle name="40% - Accent1 3 4" xfId="494" xr:uid="{00000000-0005-0000-0000-0000E9010000}"/>
    <cellStyle name="40% - Accent1 3 5" xfId="495" xr:uid="{00000000-0005-0000-0000-0000EA010000}"/>
    <cellStyle name="40% - Accent1 3 6" xfId="496" xr:uid="{00000000-0005-0000-0000-0000EB010000}"/>
    <cellStyle name="40% - Accent1 3 7" xfId="497" xr:uid="{00000000-0005-0000-0000-0000EC010000}"/>
    <cellStyle name="40% - Accent1 3 8" xfId="498" xr:uid="{00000000-0005-0000-0000-0000ED010000}"/>
    <cellStyle name="40% - Accent1 4" xfId="499" xr:uid="{00000000-0005-0000-0000-0000EE010000}"/>
    <cellStyle name="40% - Accent1 4 2" xfId="500" xr:uid="{00000000-0005-0000-0000-0000EF010000}"/>
    <cellStyle name="40% - Accent1 4 3" xfId="501" xr:uid="{00000000-0005-0000-0000-0000F0010000}"/>
    <cellStyle name="40% - Accent1 4 4" xfId="502" xr:uid="{00000000-0005-0000-0000-0000F1010000}"/>
    <cellStyle name="40% - Accent1 4 5" xfId="503" xr:uid="{00000000-0005-0000-0000-0000F2010000}"/>
    <cellStyle name="40% - Accent1 4 6" xfId="504" xr:uid="{00000000-0005-0000-0000-0000F3010000}"/>
    <cellStyle name="40% - Accent1 5" xfId="505" xr:uid="{00000000-0005-0000-0000-0000F4010000}"/>
    <cellStyle name="40% - Accent1 5 2" xfId="506" xr:uid="{00000000-0005-0000-0000-0000F5010000}"/>
    <cellStyle name="40% - Accent1 5 3" xfId="507" xr:uid="{00000000-0005-0000-0000-0000F6010000}"/>
    <cellStyle name="40% - Accent1 5 4" xfId="508" xr:uid="{00000000-0005-0000-0000-0000F7010000}"/>
    <cellStyle name="40% - Accent1 5 5" xfId="509" xr:uid="{00000000-0005-0000-0000-0000F8010000}"/>
    <cellStyle name="40% - Accent1 6" xfId="510" xr:uid="{00000000-0005-0000-0000-0000F9010000}"/>
    <cellStyle name="40% - Accent1 6 2" xfId="511" xr:uid="{00000000-0005-0000-0000-0000FA010000}"/>
    <cellStyle name="40% - Accent1 6 3" xfId="512" xr:uid="{00000000-0005-0000-0000-0000FB010000}"/>
    <cellStyle name="40% - Accent1 6 4" xfId="513" xr:uid="{00000000-0005-0000-0000-0000FC010000}"/>
    <cellStyle name="40% - Accent1 7" xfId="514" xr:uid="{00000000-0005-0000-0000-0000FD010000}"/>
    <cellStyle name="40% - Accent1 7 2" xfId="515" xr:uid="{00000000-0005-0000-0000-0000FE010000}"/>
    <cellStyle name="40% - Accent1 7 3" xfId="516" xr:uid="{00000000-0005-0000-0000-0000FF010000}"/>
    <cellStyle name="40% - Accent1 7 4" xfId="517" xr:uid="{00000000-0005-0000-0000-000000020000}"/>
    <cellStyle name="40% - Accent1 8" xfId="518" xr:uid="{00000000-0005-0000-0000-000001020000}"/>
    <cellStyle name="40% - Accent1 8 2" xfId="519" xr:uid="{00000000-0005-0000-0000-000002020000}"/>
    <cellStyle name="40% - Accent1 8 3" xfId="520" xr:uid="{00000000-0005-0000-0000-000003020000}"/>
    <cellStyle name="40% - Accent1 9" xfId="521" xr:uid="{00000000-0005-0000-0000-000004020000}"/>
    <cellStyle name="40% - Accent1 9 2" xfId="522" xr:uid="{00000000-0005-0000-0000-000005020000}"/>
    <cellStyle name="40% - Accent1 9 3" xfId="523" xr:uid="{00000000-0005-0000-0000-000006020000}"/>
    <cellStyle name="40% - Accent2 10" xfId="524" xr:uid="{00000000-0005-0000-0000-000007020000}"/>
    <cellStyle name="40% - Accent2 10 2" xfId="525" xr:uid="{00000000-0005-0000-0000-000008020000}"/>
    <cellStyle name="40% - Accent2 10 3" xfId="526" xr:uid="{00000000-0005-0000-0000-000009020000}"/>
    <cellStyle name="40% - Accent2 11" xfId="527" xr:uid="{00000000-0005-0000-0000-00000A020000}"/>
    <cellStyle name="40% - Accent2 11 2" xfId="528" xr:uid="{00000000-0005-0000-0000-00000B020000}"/>
    <cellStyle name="40% - Accent2 11 3" xfId="529" xr:uid="{00000000-0005-0000-0000-00000C020000}"/>
    <cellStyle name="40% - Accent2 12" xfId="530" xr:uid="{00000000-0005-0000-0000-00000D020000}"/>
    <cellStyle name="40% - Accent2 12 2" xfId="531" xr:uid="{00000000-0005-0000-0000-00000E020000}"/>
    <cellStyle name="40% - Accent2 13" xfId="532" xr:uid="{00000000-0005-0000-0000-00000F020000}"/>
    <cellStyle name="40% - Accent2 13 2" xfId="533" xr:uid="{00000000-0005-0000-0000-000010020000}"/>
    <cellStyle name="40% - Accent2 14" xfId="534" xr:uid="{00000000-0005-0000-0000-000011020000}"/>
    <cellStyle name="40% - Accent2 15" xfId="535" xr:uid="{00000000-0005-0000-0000-000012020000}"/>
    <cellStyle name="40% - Accent2 2" xfId="536" xr:uid="{00000000-0005-0000-0000-000013020000}"/>
    <cellStyle name="40% - Accent2 2 10" xfId="537" xr:uid="{00000000-0005-0000-0000-000014020000}"/>
    <cellStyle name="40% - Accent2 2 11" xfId="538" xr:uid="{00000000-0005-0000-0000-000015020000}"/>
    <cellStyle name="40% - Accent2 2 12" xfId="539" xr:uid="{00000000-0005-0000-0000-000016020000}"/>
    <cellStyle name="40% - Accent2 2 13" xfId="540" xr:uid="{00000000-0005-0000-0000-000017020000}"/>
    <cellStyle name="40% - Accent2 2 14" xfId="541" xr:uid="{00000000-0005-0000-0000-000018020000}"/>
    <cellStyle name="40% - Accent2 2 2" xfId="542" xr:uid="{00000000-0005-0000-0000-000019020000}"/>
    <cellStyle name="40% - Accent2 2 2 2" xfId="543" xr:uid="{00000000-0005-0000-0000-00001A020000}"/>
    <cellStyle name="40% - Accent2 2 2 3" xfId="544" xr:uid="{00000000-0005-0000-0000-00001B020000}"/>
    <cellStyle name="40% - Accent2 2 3" xfId="545" xr:uid="{00000000-0005-0000-0000-00001C020000}"/>
    <cellStyle name="40% - Accent2 2 3 2" xfId="546" xr:uid="{00000000-0005-0000-0000-00001D020000}"/>
    <cellStyle name="40% - Accent2 2 4" xfId="547" xr:uid="{00000000-0005-0000-0000-00001E020000}"/>
    <cellStyle name="40% - Accent2 2 5" xfId="548" xr:uid="{00000000-0005-0000-0000-00001F020000}"/>
    <cellStyle name="40% - Accent2 2 6" xfId="549" xr:uid="{00000000-0005-0000-0000-000020020000}"/>
    <cellStyle name="40% - Accent2 2 7" xfId="550" xr:uid="{00000000-0005-0000-0000-000021020000}"/>
    <cellStyle name="40% - Accent2 2 8" xfId="551" xr:uid="{00000000-0005-0000-0000-000022020000}"/>
    <cellStyle name="40% - Accent2 2 9" xfId="552" xr:uid="{00000000-0005-0000-0000-000023020000}"/>
    <cellStyle name="40% - Accent2 3" xfId="553" xr:uid="{00000000-0005-0000-0000-000024020000}"/>
    <cellStyle name="40% - Accent2 3 2" xfId="554" xr:uid="{00000000-0005-0000-0000-000025020000}"/>
    <cellStyle name="40% - Accent2 3 3" xfId="555" xr:uid="{00000000-0005-0000-0000-000026020000}"/>
    <cellStyle name="40% - Accent2 3 4" xfId="556" xr:uid="{00000000-0005-0000-0000-000027020000}"/>
    <cellStyle name="40% - Accent2 3 5" xfId="557" xr:uid="{00000000-0005-0000-0000-000028020000}"/>
    <cellStyle name="40% - Accent2 3 6" xfId="558" xr:uid="{00000000-0005-0000-0000-000029020000}"/>
    <cellStyle name="40% - Accent2 3 7" xfId="559" xr:uid="{00000000-0005-0000-0000-00002A020000}"/>
    <cellStyle name="40% - Accent2 3 8" xfId="560" xr:uid="{00000000-0005-0000-0000-00002B020000}"/>
    <cellStyle name="40% - Accent2 4" xfId="561" xr:uid="{00000000-0005-0000-0000-00002C020000}"/>
    <cellStyle name="40% - Accent2 4 2" xfId="562" xr:uid="{00000000-0005-0000-0000-00002D020000}"/>
    <cellStyle name="40% - Accent2 4 3" xfId="563" xr:uid="{00000000-0005-0000-0000-00002E020000}"/>
    <cellStyle name="40% - Accent2 4 4" xfId="564" xr:uid="{00000000-0005-0000-0000-00002F020000}"/>
    <cellStyle name="40% - Accent2 4 5" xfId="565" xr:uid="{00000000-0005-0000-0000-000030020000}"/>
    <cellStyle name="40% - Accent2 4 6" xfId="566" xr:uid="{00000000-0005-0000-0000-000031020000}"/>
    <cellStyle name="40% - Accent2 5" xfId="567" xr:uid="{00000000-0005-0000-0000-000032020000}"/>
    <cellStyle name="40% - Accent2 5 2" xfId="568" xr:uid="{00000000-0005-0000-0000-000033020000}"/>
    <cellStyle name="40% - Accent2 5 3" xfId="569" xr:uid="{00000000-0005-0000-0000-000034020000}"/>
    <cellStyle name="40% - Accent2 5 4" xfId="570" xr:uid="{00000000-0005-0000-0000-000035020000}"/>
    <cellStyle name="40% - Accent2 5 5" xfId="571" xr:uid="{00000000-0005-0000-0000-000036020000}"/>
    <cellStyle name="40% - Accent2 6" xfId="572" xr:uid="{00000000-0005-0000-0000-000037020000}"/>
    <cellStyle name="40% - Accent2 6 2" xfId="573" xr:uid="{00000000-0005-0000-0000-000038020000}"/>
    <cellStyle name="40% - Accent2 6 3" xfId="574" xr:uid="{00000000-0005-0000-0000-000039020000}"/>
    <cellStyle name="40% - Accent2 6 4" xfId="575" xr:uid="{00000000-0005-0000-0000-00003A020000}"/>
    <cellStyle name="40% - Accent2 7" xfId="576" xr:uid="{00000000-0005-0000-0000-00003B020000}"/>
    <cellStyle name="40% - Accent2 7 2" xfId="577" xr:uid="{00000000-0005-0000-0000-00003C020000}"/>
    <cellStyle name="40% - Accent2 7 3" xfId="578" xr:uid="{00000000-0005-0000-0000-00003D020000}"/>
    <cellStyle name="40% - Accent2 7 4" xfId="579" xr:uid="{00000000-0005-0000-0000-00003E020000}"/>
    <cellStyle name="40% - Accent2 8" xfId="580" xr:uid="{00000000-0005-0000-0000-00003F020000}"/>
    <cellStyle name="40% - Accent2 8 2" xfId="581" xr:uid="{00000000-0005-0000-0000-000040020000}"/>
    <cellStyle name="40% - Accent2 8 3" xfId="582" xr:uid="{00000000-0005-0000-0000-000041020000}"/>
    <cellStyle name="40% - Accent2 9" xfId="583" xr:uid="{00000000-0005-0000-0000-000042020000}"/>
    <cellStyle name="40% - Accent2 9 2" xfId="584" xr:uid="{00000000-0005-0000-0000-000043020000}"/>
    <cellStyle name="40% - Accent2 9 3" xfId="585" xr:uid="{00000000-0005-0000-0000-000044020000}"/>
    <cellStyle name="40% - Accent3 10" xfId="586" xr:uid="{00000000-0005-0000-0000-000045020000}"/>
    <cellStyle name="40% - Accent3 10 2" xfId="587" xr:uid="{00000000-0005-0000-0000-000046020000}"/>
    <cellStyle name="40% - Accent3 10 3" xfId="588" xr:uid="{00000000-0005-0000-0000-000047020000}"/>
    <cellStyle name="40% - Accent3 11" xfId="589" xr:uid="{00000000-0005-0000-0000-000048020000}"/>
    <cellStyle name="40% - Accent3 11 2" xfId="590" xr:uid="{00000000-0005-0000-0000-000049020000}"/>
    <cellStyle name="40% - Accent3 11 3" xfId="591" xr:uid="{00000000-0005-0000-0000-00004A020000}"/>
    <cellStyle name="40% - Accent3 12" xfId="592" xr:uid="{00000000-0005-0000-0000-00004B020000}"/>
    <cellStyle name="40% - Accent3 12 2" xfId="593" xr:uid="{00000000-0005-0000-0000-00004C020000}"/>
    <cellStyle name="40% - Accent3 13" xfId="594" xr:uid="{00000000-0005-0000-0000-00004D020000}"/>
    <cellStyle name="40% - Accent3 13 2" xfId="595" xr:uid="{00000000-0005-0000-0000-00004E020000}"/>
    <cellStyle name="40% - Accent3 14" xfId="596" xr:uid="{00000000-0005-0000-0000-00004F020000}"/>
    <cellStyle name="40% - Accent3 15" xfId="597" xr:uid="{00000000-0005-0000-0000-000050020000}"/>
    <cellStyle name="40% - Accent3 2" xfId="598" xr:uid="{00000000-0005-0000-0000-000051020000}"/>
    <cellStyle name="40% - Accent3 2 10" xfId="599" xr:uid="{00000000-0005-0000-0000-000052020000}"/>
    <cellStyle name="40% - Accent3 2 11" xfId="600" xr:uid="{00000000-0005-0000-0000-000053020000}"/>
    <cellStyle name="40% - Accent3 2 12" xfId="601" xr:uid="{00000000-0005-0000-0000-000054020000}"/>
    <cellStyle name="40% - Accent3 2 13" xfId="602" xr:uid="{00000000-0005-0000-0000-000055020000}"/>
    <cellStyle name="40% - Accent3 2 14" xfId="603" xr:uid="{00000000-0005-0000-0000-000056020000}"/>
    <cellStyle name="40% - Accent3 2 2" xfId="604" xr:uid="{00000000-0005-0000-0000-000057020000}"/>
    <cellStyle name="40% - Accent3 2 2 2" xfId="605" xr:uid="{00000000-0005-0000-0000-000058020000}"/>
    <cellStyle name="40% - Accent3 2 2 3" xfId="606" xr:uid="{00000000-0005-0000-0000-000059020000}"/>
    <cellStyle name="40% - Accent3 2 3" xfId="607" xr:uid="{00000000-0005-0000-0000-00005A020000}"/>
    <cellStyle name="40% - Accent3 2 3 2" xfId="608" xr:uid="{00000000-0005-0000-0000-00005B020000}"/>
    <cellStyle name="40% - Accent3 2 4" xfId="609" xr:uid="{00000000-0005-0000-0000-00005C020000}"/>
    <cellStyle name="40% - Accent3 2 5" xfId="610" xr:uid="{00000000-0005-0000-0000-00005D020000}"/>
    <cellStyle name="40% - Accent3 2 6" xfId="611" xr:uid="{00000000-0005-0000-0000-00005E020000}"/>
    <cellStyle name="40% - Accent3 2 7" xfId="612" xr:uid="{00000000-0005-0000-0000-00005F020000}"/>
    <cellStyle name="40% - Accent3 2 8" xfId="613" xr:uid="{00000000-0005-0000-0000-000060020000}"/>
    <cellStyle name="40% - Accent3 2 9" xfId="614" xr:uid="{00000000-0005-0000-0000-000061020000}"/>
    <cellStyle name="40% - Accent3 3" xfId="615" xr:uid="{00000000-0005-0000-0000-000062020000}"/>
    <cellStyle name="40% - Accent3 3 2" xfId="616" xr:uid="{00000000-0005-0000-0000-000063020000}"/>
    <cellStyle name="40% - Accent3 3 3" xfId="617" xr:uid="{00000000-0005-0000-0000-000064020000}"/>
    <cellStyle name="40% - Accent3 3 4" xfId="618" xr:uid="{00000000-0005-0000-0000-000065020000}"/>
    <cellStyle name="40% - Accent3 3 5" xfId="619" xr:uid="{00000000-0005-0000-0000-000066020000}"/>
    <cellStyle name="40% - Accent3 3 6" xfId="620" xr:uid="{00000000-0005-0000-0000-000067020000}"/>
    <cellStyle name="40% - Accent3 3 7" xfId="621" xr:uid="{00000000-0005-0000-0000-000068020000}"/>
    <cellStyle name="40% - Accent3 3 8" xfId="622" xr:uid="{00000000-0005-0000-0000-000069020000}"/>
    <cellStyle name="40% - Accent3 4" xfId="623" xr:uid="{00000000-0005-0000-0000-00006A020000}"/>
    <cellStyle name="40% - Accent3 4 2" xfId="624" xr:uid="{00000000-0005-0000-0000-00006B020000}"/>
    <cellStyle name="40% - Accent3 4 3" xfId="625" xr:uid="{00000000-0005-0000-0000-00006C020000}"/>
    <cellStyle name="40% - Accent3 4 4" xfId="626" xr:uid="{00000000-0005-0000-0000-00006D020000}"/>
    <cellStyle name="40% - Accent3 4 5" xfId="627" xr:uid="{00000000-0005-0000-0000-00006E020000}"/>
    <cellStyle name="40% - Accent3 4 6" xfId="628" xr:uid="{00000000-0005-0000-0000-00006F020000}"/>
    <cellStyle name="40% - Accent3 5" xfId="629" xr:uid="{00000000-0005-0000-0000-000070020000}"/>
    <cellStyle name="40% - Accent3 5 2" xfId="630" xr:uid="{00000000-0005-0000-0000-000071020000}"/>
    <cellStyle name="40% - Accent3 5 3" xfId="631" xr:uid="{00000000-0005-0000-0000-000072020000}"/>
    <cellStyle name="40% - Accent3 5 4" xfId="632" xr:uid="{00000000-0005-0000-0000-000073020000}"/>
    <cellStyle name="40% - Accent3 5 5" xfId="633" xr:uid="{00000000-0005-0000-0000-000074020000}"/>
    <cellStyle name="40% - Accent3 6" xfId="634" xr:uid="{00000000-0005-0000-0000-000075020000}"/>
    <cellStyle name="40% - Accent3 6 2" xfId="635" xr:uid="{00000000-0005-0000-0000-000076020000}"/>
    <cellStyle name="40% - Accent3 6 3" xfId="636" xr:uid="{00000000-0005-0000-0000-000077020000}"/>
    <cellStyle name="40% - Accent3 6 4" xfId="637" xr:uid="{00000000-0005-0000-0000-000078020000}"/>
    <cellStyle name="40% - Accent3 7" xfId="638" xr:uid="{00000000-0005-0000-0000-000079020000}"/>
    <cellStyle name="40% - Accent3 7 2" xfId="639" xr:uid="{00000000-0005-0000-0000-00007A020000}"/>
    <cellStyle name="40% - Accent3 7 3" xfId="640" xr:uid="{00000000-0005-0000-0000-00007B020000}"/>
    <cellStyle name="40% - Accent3 7 4" xfId="641" xr:uid="{00000000-0005-0000-0000-00007C020000}"/>
    <cellStyle name="40% - Accent3 8" xfId="642" xr:uid="{00000000-0005-0000-0000-00007D020000}"/>
    <cellStyle name="40% - Accent3 8 2" xfId="643" xr:uid="{00000000-0005-0000-0000-00007E020000}"/>
    <cellStyle name="40% - Accent3 8 3" xfId="644" xr:uid="{00000000-0005-0000-0000-00007F020000}"/>
    <cellStyle name="40% - Accent3 9" xfId="645" xr:uid="{00000000-0005-0000-0000-000080020000}"/>
    <cellStyle name="40% - Accent3 9 2" xfId="646" xr:uid="{00000000-0005-0000-0000-000081020000}"/>
    <cellStyle name="40% - Accent3 9 3" xfId="647" xr:uid="{00000000-0005-0000-0000-000082020000}"/>
    <cellStyle name="40% - Accent4 10" xfId="648" xr:uid="{00000000-0005-0000-0000-000083020000}"/>
    <cellStyle name="40% - Accent4 10 2" xfId="649" xr:uid="{00000000-0005-0000-0000-000084020000}"/>
    <cellStyle name="40% - Accent4 10 3" xfId="650" xr:uid="{00000000-0005-0000-0000-000085020000}"/>
    <cellStyle name="40% - Accent4 11" xfId="651" xr:uid="{00000000-0005-0000-0000-000086020000}"/>
    <cellStyle name="40% - Accent4 11 2" xfId="652" xr:uid="{00000000-0005-0000-0000-000087020000}"/>
    <cellStyle name="40% - Accent4 11 3" xfId="653" xr:uid="{00000000-0005-0000-0000-000088020000}"/>
    <cellStyle name="40% - Accent4 12" xfId="654" xr:uid="{00000000-0005-0000-0000-000089020000}"/>
    <cellStyle name="40% - Accent4 12 2" xfId="655" xr:uid="{00000000-0005-0000-0000-00008A020000}"/>
    <cellStyle name="40% - Accent4 13" xfId="656" xr:uid="{00000000-0005-0000-0000-00008B020000}"/>
    <cellStyle name="40% - Accent4 13 2" xfId="657" xr:uid="{00000000-0005-0000-0000-00008C020000}"/>
    <cellStyle name="40% - Accent4 14" xfId="658" xr:uid="{00000000-0005-0000-0000-00008D020000}"/>
    <cellStyle name="40% - Accent4 15" xfId="659" xr:uid="{00000000-0005-0000-0000-00008E020000}"/>
    <cellStyle name="40% - Accent4 2" xfId="660" xr:uid="{00000000-0005-0000-0000-00008F020000}"/>
    <cellStyle name="40% - Accent4 2 10" xfId="661" xr:uid="{00000000-0005-0000-0000-000090020000}"/>
    <cellStyle name="40% - Accent4 2 11" xfId="662" xr:uid="{00000000-0005-0000-0000-000091020000}"/>
    <cellStyle name="40% - Accent4 2 12" xfId="663" xr:uid="{00000000-0005-0000-0000-000092020000}"/>
    <cellStyle name="40% - Accent4 2 13" xfId="664" xr:uid="{00000000-0005-0000-0000-000093020000}"/>
    <cellStyle name="40% - Accent4 2 14" xfId="665" xr:uid="{00000000-0005-0000-0000-000094020000}"/>
    <cellStyle name="40% - Accent4 2 2" xfId="666" xr:uid="{00000000-0005-0000-0000-000095020000}"/>
    <cellStyle name="40% - Accent4 2 2 2" xfId="667" xr:uid="{00000000-0005-0000-0000-000096020000}"/>
    <cellStyle name="40% - Accent4 2 2 3" xfId="668" xr:uid="{00000000-0005-0000-0000-000097020000}"/>
    <cellStyle name="40% - Accent4 2 3" xfId="669" xr:uid="{00000000-0005-0000-0000-000098020000}"/>
    <cellStyle name="40% - Accent4 2 3 2" xfId="670" xr:uid="{00000000-0005-0000-0000-000099020000}"/>
    <cellStyle name="40% - Accent4 2 4" xfId="671" xr:uid="{00000000-0005-0000-0000-00009A020000}"/>
    <cellStyle name="40% - Accent4 2 5" xfId="672" xr:uid="{00000000-0005-0000-0000-00009B020000}"/>
    <cellStyle name="40% - Accent4 2 6" xfId="673" xr:uid="{00000000-0005-0000-0000-00009C020000}"/>
    <cellStyle name="40% - Accent4 2 7" xfId="674" xr:uid="{00000000-0005-0000-0000-00009D020000}"/>
    <cellStyle name="40% - Accent4 2 8" xfId="675" xr:uid="{00000000-0005-0000-0000-00009E020000}"/>
    <cellStyle name="40% - Accent4 2 9" xfId="676" xr:uid="{00000000-0005-0000-0000-00009F020000}"/>
    <cellStyle name="40% - Accent4 3" xfId="677" xr:uid="{00000000-0005-0000-0000-0000A0020000}"/>
    <cellStyle name="40% - Accent4 3 2" xfId="678" xr:uid="{00000000-0005-0000-0000-0000A1020000}"/>
    <cellStyle name="40% - Accent4 3 3" xfId="679" xr:uid="{00000000-0005-0000-0000-0000A2020000}"/>
    <cellStyle name="40% - Accent4 3 4" xfId="680" xr:uid="{00000000-0005-0000-0000-0000A3020000}"/>
    <cellStyle name="40% - Accent4 3 5" xfId="681" xr:uid="{00000000-0005-0000-0000-0000A4020000}"/>
    <cellStyle name="40% - Accent4 3 6" xfId="682" xr:uid="{00000000-0005-0000-0000-0000A5020000}"/>
    <cellStyle name="40% - Accent4 3 7" xfId="683" xr:uid="{00000000-0005-0000-0000-0000A6020000}"/>
    <cellStyle name="40% - Accent4 3 8" xfId="684" xr:uid="{00000000-0005-0000-0000-0000A7020000}"/>
    <cellStyle name="40% - Accent4 4" xfId="685" xr:uid="{00000000-0005-0000-0000-0000A8020000}"/>
    <cellStyle name="40% - Accent4 4 2" xfId="686" xr:uid="{00000000-0005-0000-0000-0000A9020000}"/>
    <cellStyle name="40% - Accent4 4 3" xfId="687" xr:uid="{00000000-0005-0000-0000-0000AA020000}"/>
    <cellStyle name="40% - Accent4 4 4" xfId="688" xr:uid="{00000000-0005-0000-0000-0000AB020000}"/>
    <cellStyle name="40% - Accent4 4 5" xfId="689" xr:uid="{00000000-0005-0000-0000-0000AC020000}"/>
    <cellStyle name="40% - Accent4 4 6" xfId="690" xr:uid="{00000000-0005-0000-0000-0000AD020000}"/>
    <cellStyle name="40% - Accent4 5" xfId="691" xr:uid="{00000000-0005-0000-0000-0000AE020000}"/>
    <cellStyle name="40% - Accent4 5 2" xfId="692" xr:uid="{00000000-0005-0000-0000-0000AF020000}"/>
    <cellStyle name="40% - Accent4 5 3" xfId="693" xr:uid="{00000000-0005-0000-0000-0000B0020000}"/>
    <cellStyle name="40% - Accent4 5 4" xfId="694" xr:uid="{00000000-0005-0000-0000-0000B1020000}"/>
    <cellStyle name="40% - Accent4 5 5" xfId="695" xr:uid="{00000000-0005-0000-0000-0000B2020000}"/>
    <cellStyle name="40% - Accent4 6" xfId="696" xr:uid="{00000000-0005-0000-0000-0000B3020000}"/>
    <cellStyle name="40% - Accent4 6 2" xfId="697" xr:uid="{00000000-0005-0000-0000-0000B4020000}"/>
    <cellStyle name="40% - Accent4 6 3" xfId="698" xr:uid="{00000000-0005-0000-0000-0000B5020000}"/>
    <cellStyle name="40% - Accent4 6 4" xfId="699" xr:uid="{00000000-0005-0000-0000-0000B6020000}"/>
    <cellStyle name="40% - Accent4 7" xfId="700" xr:uid="{00000000-0005-0000-0000-0000B7020000}"/>
    <cellStyle name="40% - Accent4 7 2" xfId="701" xr:uid="{00000000-0005-0000-0000-0000B8020000}"/>
    <cellStyle name="40% - Accent4 7 3" xfId="702" xr:uid="{00000000-0005-0000-0000-0000B9020000}"/>
    <cellStyle name="40% - Accent4 7 4" xfId="703" xr:uid="{00000000-0005-0000-0000-0000BA020000}"/>
    <cellStyle name="40% - Accent4 8" xfId="704" xr:uid="{00000000-0005-0000-0000-0000BB020000}"/>
    <cellStyle name="40% - Accent4 8 2" xfId="705" xr:uid="{00000000-0005-0000-0000-0000BC020000}"/>
    <cellStyle name="40% - Accent4 8 3" xfId="706" xr:uid="{00000000-0005-0000-0000-0000BD020000}"/>
    <cellStyle name="40% - Accent4 9" xfId="707" xr:uid="{00000000-0005-0000-0000-0000BE020000}"/>
    <cellStyle name="40% - Accent4 9 2" xfId="708" xr:uid="{00000000-0005-0000-0000-0000BF020000}"/>
    <cellStyle name="40% - Accent4 9 3" xfId="709" xr:uid="{00000000-0005-0000-0000-0000C0020000}"/>
    <cellStyle name="40% - Accent5 10" xfId="710" xr:uid="{00000000-0005-0000-0000-0000C1020000}"/>
    <cellStyle name="40% - Accent5 10 2" xfId="711" xr:uid="{00000000-0005-0000-0000-0000C2020000}"/>
    <cellStyle name="40% - Accent5 10 3" xfId="712" xr:uid="{00000000-0005-0000-0000-0000C3020000}"/>
    <cellStyle name="40% - Accent5 11" xfId="713" xr:uid="{00000000-0005-0000-0000-0000C4020000}"/>
    <cellStyle name="40% - Accent5 11 2" xfId="714" xr:uid="{00000000-0005-0000-0000-0000C5020000}"/>
    <cellStyle name="40% - Accent5 11 3" xfId="715" xr:uid="{00000000-0005-0000-0000-0000C6020000}"/>
    <cellStyle name="40% - Accent5 12" xfId="716" xr:uid="{00000000-0005-0000-0000-0000C7020000}"/>
    <cellStyle name="40% - Accent5 12 2" xfId="717" xr:uid="{00000000-0005-0000-0000-0000C8020000}"/>
    <cellStyle name="40% - Accent5 13" xfId="718" xr:uid="{00000000-0005-0000-0000-0000C9020000}"/>
    <cellStyle name="40% - Accent5 13 2" xfId="719" xr:uid="{00000000-0005-0000-0000-0000CA020000}"/>
    <cellStyle name="40% - Accent5 14" xfId="720" xr:uid="{00000000-0005-0000-0000-0000CB020000}"/>
    <cellStyle name="40% - Accent5 15" xfId="721" xr:uid="{00000000-0005-0000-0000-0000CC020000}"/>
    <cellStyle name="40% - Accent5 2" xfId="722" xr:uid="{00000000-0005-0000-0000-0000CD020000}"/>
    <cellStyle name="40% - Accent5 2 10" xfId="723" xr:uid="{00000000-0005-0000-0000-0000CE020000}"/>
    <cellStyle name="40% - Accent5 2 11" xfId="724" xr:uid="{00000000-0005-0000-0000-0000CF020000}"/>
    <cellStyle name="40% - Accent5 2 12" xfId="725" xr:uid="{00000000-0005-0000-0000-0000D0020000}"/>
    <cellStyle name="40% - Accent5 2 13" xfId="726" xr:uid="{00000000-0005-0000-0000-0000D1020000}"/>
    <cellStyle name="40% - Accent5 2 14" xfId="727" xr:uid="{00000000-0005-0000-0000-0000D2020000}"/>
    <cellStyle name="40% - Accent5 2 2" xfId="728" xr:uid="{00000000-0005-0000-0000-0000D3020000}"/>
    <cellStyle name="40% - Accent5 2 2 2" xfId="729" xr:uid="{00000000-0005-0000-0000-0000D4020000}"/>
    <cellStyle name="40% - Accent5 2 2 3" xfId="730" xr:uid="{00000000-0005-0000-0000-0000D5020000}"/>
    <cellStyle name="40% - Accent5 2 3" xfId="731" xr:uid="{00000000-0005-0000-0000-0000D6020000}"/>
    <cellStyle name="40% - Accent5 2 3 2" xfId="732" xr:uid="{00000000-0005-0000-0000-0000D7020000}"/>
    <cellStyle name="40% - Accent5 2 4" xfId="733" xr:uid="{00000000-0005-0000-0000-0000D8020000}"/>
    <cellStyle name="40% - Accent5 2 5" xfId="734" xr:uid="{00000000-0005-0000-0000-0000D9020000}"/>
    <cellStyle name="40% - Accent5 2 6" xfId="735" xr:uid="{00000000-0005-0000-0000-0000DA020000}"/>
    <cellStyle name="40% - Accent5 2 7" xfId="736" xr:uid="{00000000-0005-0000-0000-0000DB020000}"/>
    <cellStyle name="40% - Accent5 2 8" xfId="737" xr:uid="{00000000-0005-0000-0000-0000DC020000}"/>
    <cellStyle name="40% - Accent5 2 9" xfId="738" xr:uid="{00000000-0005-0000-0000-0000DD020000}"/>
    <cellStyle name="40% - Accent5 3" xfId="739" xr:uid="{00000000-0005-0000-0000-0000DE020000}"/>
    <cellStyle name="40% - Accent5 3 2" xfId="740" xr:uid="{00000000-0005-0000-0000-0000DF020000}"/>
    <cellStyle name="40% - Accent5 3 3" xfId="741" xr:uid="{00000000-0005-0000-0000-0000E0020000}"/>
    <cellStyle name="40% - Accent5 3 4" xfId="742" xr:uid="{00000000-0005-0000-0000-0000E1020000}"/>
    <cellStyle name="40% - Accent5 3 5" xfId="743" xr:uid="{00000000-0005-0000-0000-0000E2020000}"/>
    <cellStyle name="40% - Accent5 3 6" xfId="744" xr:uid="{00000000-0005-0000-0000-0000E3020000}"/>
    <cellStyle name="40% - Accent5 3 7" xfId="745" xr:uid="{00000000-0005-0000-0000-0000E4020000}"/>
    <cellStyle name="40% - Accent5 3 8" xfId="746" xr:uid="{00000000-0005-0000-0000-0000E5020000}"/>
    <cellStyle name="40% - Accent5 4" xfId="747" xr:uid="{00000000-0005-0000-0000-0000E6020000}"/>
    <cellStyle name="40% - Accent5 4 2" xfId="748" xr:uid="{00000000-0005-0000-0000-0000E7020000}"/>
    <cellStyle name="40% - Accent5 4 3" xfId="749" xr:uid="{00000000-0005-0000-0000-0000E8020000}"/>
    <cellStyle name="40% - Accent5 4 4" xfId="750" xr:uid="{00000000-0005-0000-0000-0000E9020000}"/>
    <cellStyle name="40% - Accent5 4 5" xfId="751" xr:uid="{00000000-0005-0000-0000-0000EA020000}"/>
    <cellStyle name="40% - Accent5 4 6" xfId="752" xr:uid="{00000000-0005-0000-0000-0000EB020000}"/>
    <cellStyle name="40% - Accent5 5" xfId="753" xr:uid="{00000000-0005-0000-0000-0000EC020000}"/>
    <cellStyle name="40% - Accent5 5 2" xfId="754" xr:uid="{00000000-0005-0000-0000-0000ED020000}"/>
    <cellStyle name="40% - Accent5 5 3" xfId="755" xr:uid="{00000000-0005-0000-0000-0000EE020000}"/>
    <cellStyle name="40% - Accent5 5 4" xfId="756" xr:uid="{00000000-0005-0000-0000-0000EF020000}"/>
    <cellStyle name="40% - Accent5 5 5" xfId="757" xr:uid="{00000000-0005-0000-0000-0000F0020000}"/>
    <cellStyle name="40% - Accent5 6" xfId="758" xr:uid="{00000000-0005-0000-0000-0000F1020000}"/>
    <cellStyle name="40% - Accent5 6 2" xfId="759" xr:uid="{00000000-0005-0000-0000-0000F2020000}"/>
    <cellStyle name="40% - Accent5 6 3" xfId="760" xr:uid="{00000000-0005-0000-0000-0000F3020000}"/>
    <cellStyle name="40% - Accent5 6 4" xfId="761" xr:uid="{00000000-0005-0000-0000-0000F4020000}"/>
    <cellStyle name="40% - Accent5 7" xfId="762" xr:uid="{00000000-0005-0000-0000-0000F5020000}"/>
    <cellStyle name="40% - Accent5 7 2" xfId="763" xr:uid="{00000000-0005-0000-0000-0000F6020000}"/>
    <cellStyle name="40% - Accent5 7 3" xfId="764" xr:uid="{00000000-0005-0000-0000-0000F7020000}"/>
    <cellStyle name="40% - Accent5 7 4" xfId="765" xr:uid="{00000000-0005-0000-0000-0000F8020000}"/>
    <cellStyle name="40% - Accent5 8" xfId="766" xr:uid="{00000000-0005-0000-0000-0000F9020000}"/>
    <cellStyle name="40% - Accent5 8 2" xfId="767" xr:uid="{00000000-0005-0000-0000-0000FA020000}"/>
    <cellStyle name="40% - Accent5 8 3" xfId="768" xr:uid="{00000000-0005-0000-0000-0000FB020000}"/>
    <cellStyle name="40% - Accent5 9" xfId="769" xr:uid="{00000000-0005-0000-0000-0000FC020000}"/>
    <cellStyle name="40% - Accent5 9 2" xfId="770" xr:uid="{00000000-0005-0000-0000-0000FD020000}"/>
    <cellStyle name="40% - Accent5 9 3" xfId="771" xr:uid="{00000000-0005-0000-0000-0000FE020000}"/>
    <cellStyle name="40% - Accent6 10" xfId="772" xr:uid="{00000000-0005-0000-0000-0000FF020000}"/>
    <cellStyle name="40% - Accent6 10 2" xfId="773" xr:uid="{00000000-0005-0000-0000-000000030000}"/>
    <cellStyle name="40% - Accent6 10 3" xfId="774" xr:uid="{00000000-0005-0000-0000-000001030000}"/>
    <cellStyle name="40% - Accent6 11" xfId="775" xr:uid="{00000000-0005-0000-0000-000002030000}"/>
    <cellStyle name="40% - Accent6 11 2" xfId="776" xr:uid="{00000000-0005-0000-0000-000003030000}"/>
    <cellStyle name="40% - Accent6 11 3" xfId="777" xr:uid="{00000000-0005-0000-0000-000004030000}"/>
    <cellStyle name="40% - Accent6 12" xfId="778" xr:uid="{00000000-0005-0000-0000-000005030000}"/>
    <cellStyle name="40% - Accent6 12 2" xfId="779" xr:uid="{00000000-0005-0000-0000-000006030000}"/>
    <cellStyle name="40% - Accent6 13" xfId="780" xr:uid="{00000000-0005-0000-0000-000007030000}"/>
    <cellStyle name="40% - Accent6 13 2" xfId="781" xr:uid="{00000000-0005-0000-0000-000008030000}"/>
    <cellStyle name="40% - Accent6 14" xfId="782" xr:uid="{00000000-0005-0000-0000-000009030000}"/>
    <cellStyle name="40% - Accent6 15" xfId="783" xr:uid="{00000000-0005-0000-0000-00000A030000}"/>
    <cellStyle name="40% - Accent6 2" xfId="784" xr:uid="{00000000-0005-0000-0000-00000B030000}"/>
    <cellStyle name="40% - Accent6 2 10" xfId="785" xr:uid="{00000000-0005-0000-0000-00000C030000}"/>
    <cellStyle name="40% - Accent6 2 11" xfId="786" xr:uid="{00000000-0005-0000-0000-00000D030000}"/>
    <cellStyle name="40% - Accent6 2 12" xfId="787" xr:uid="{00000000-0005-0000-0000-00000E030000}"/>
    <cellStyle name="40% - Accent6 2 13" xfId="788" xr:uid="{00000000-0005-0000-0000-00000F030000}"/>
    <cellStyle name="40% - Accent6 2 14" xfId="789" xr:uid="{00000000-0005-0000-0000-000010030000}"/>
    <cellStyle name="40% - Accent6 2 2" xfId="790" xr:uid="{00000000-0005-0000-0000-000011030000}"/>
    <cellStyle name="40% - Accent6 2 2 2" xfId="791" xr:uid="{00000000-0005-0000-0000-000012030000}"/>
    <cellStyle name="40% - Accent6 2 2 3" xfId="792" xr:uid="{00000000-0005-0000-0000-000013030000}"/>
    <cellStyle name="40% - Accent6 2 3" xfId="793" xr:uid="{00000000-0005-0000-0000-000014030000}"/>
    <cellStyle name="40% - Accent6 2 3 2" xfId="794" xr:uid="{00000000-0005-0000-0000-000015030000}"/>
    <cellStyle name="40% - Accent6 2 4" xfId="795" xr:uid="{00000000-0005-0000-0000-000016030000}"/>
    <cellStyle name="40% - Accent6 2 5" xfId="796" xr:uid="{00000000-0005-0000-0000-000017030000}"/>
    <cellStyle name="40% - Accent6 2 6" xfId="797" xr:uid="{00000000-0005-0000-0000-000018030000}"/>
    <cellStyle name="40% - Accent6 2 7" xfId="798" xr:uid="{00000000-0005-0000-0000-000019030000}"/>
    <cellStyle name="40% - Accent6 2 8" xfId="799" xr:uid="{00000000-0005-0000-0000-00001A030000}"/>
    <cellStyle name="40% - Accent6 2 9" xfId="800" xr:uid="{00000000-0005-0000-0000-00001B030000}"/>
    <cellStyle name="40% - Accent6 3" xfId="801" xr:uid="{00000000-0005-0000-0000-00001C030000}"/>
    <cellStyle name="40% - Accent6 3 2" xfId="802" xr:uid="{00000000-0005-0000-0000-00001D030000}"/>
    <cellStyle name="40% - Accent6 3 3" xfId="803" xr:uid="{00000000-0005-0000-0000-00001E030000}"/>
    <cellStyle name="40% - Accent6 3 4" xfId="804" xr:uid="{00000000-0005-0000-0000-00001F030000}"/>
    <cellStyle name="40% - Accent6 3 5" xfId="805" xr:uid="{00000000-0005-0000-0000-000020030000}"/>
    <cellStyle name="40% - Accent6 3 6" xfId="806" xr:uid="{00000000-0005-0000-0000-000021030000}"/>
    <cellStyle name="40% - Accent6 3 7" xfId="807" xr:uid="{00000000-0005-0000-0000-000022030000}"/>
    <cellStyle name="40% - Accent6 3 8" xfId="808" xr:uid="{00000000-0005-0000-0000-000023030000}"/>
    <cellStyle name="40% - Accent6 4" xfId="809" xr:uid="{00000000-0005-0000-0000-000024030000}"/>
    <cellStyle name="40% - Accent6 4 2" xfId="810" xr:uid="{00000000-0005-0000-0000-000025030000}"/>
    <cellStyle name="40% - Accent6 4 3" xfId="811" xr:uid="{00000000-0005-0000-0000-000026030000}"/>
    <cellStyle name="40% - Accent6 4 4" xfId="812" xr:uid="{00000000-0005-0000-0000-000027030000}"/>
    <cellStyle name="40% - Accent6 4 5" xfId="813" xr:uid="{00000000-0005-0000-0000-000028030000}"/>
    <cellStyle name="40% - Accent6 4 6" xfId="814" xr:uid="{00000000-0005-0000-0000-000029030000}"/>
    <cellStyle name="40% - Accent6 5" xfId="815" xr:uid="{00000000-0005-0000-0000-00002A030000}"/>
    <cellStyle name="40% - Accent6 5 2" xfId="816" xr:uid="{00000000-0005-0000-0000-00002B030000}"/>
    <cellStyle name="40% - Accent6 5 3" xfId="817" xr:uid="{00000000-0005-0000-0000-00002C030000}"/>
    <cellStyle name="40% - Accent6 5 4" xfId="818" xr:uid="{00000000-0005-0000-0000-00002D030000}"/>
    <cellStyle name="40% - Accent6 5 5" xfId="819" xr:uid="{00000000-0005-0000-0000-00002E030000}"/>
    <cellStyle name="40% - Accent6 6" xfId="820" xr:uid="{00000000-0005-0000-0000-00002F030000}"/>
    <cellStyle name="40% - Accent6 6 2" xfId="821" xr:uid="{00000000-0005-0000-0000-000030030000}"/>
    <cellStyle name="40% - Accent6 6 3" xfId="822" xr:uid="{00000000-0005-0000-0000-000031030000}"/>
    <cellStyle name="40% - Accent6 6 4" xfId="823" xr:uid="{00000000-0005-0000-0000-000032030000}"/>
    <cellStyle name="40% - Accent6 7" xfId="824" xr:uid="{00000000-0005-0000-0000-000033030000}"/>
    <cellStyle name="40% - Accent6 7 2" xfId="825" xr:uid="{00000000-0005-0000-0000-000034030000}"/>
    <cellStyle name="40% - Accent6 7 3" xfId="826" xr:uid="{00000000-0005-0000-0000-000035030000}"/>
    <cellStyle name="40% - Accent6 7 4" xfId="827" xr:uid="{00000000-0005-0000-0000-000036030000}"/>
    <cellStyle name="40% - Accent6 8" xfId="828" xr:uid="{00000000-0005-0000-0000-000037030000}"/>
    <cellStyle name="40% - Accent6 8 2" xfId="829" xr:uid="{00000000-0005-0000-0000-000038030000}"/>
    <cellStyle name="40% - Accent6 8 3" xfId="830" xr:uid="{00000000-0005-0000-0000-000039030000}"/>
    <cellStyle name="40% - Accent6 9" xfId="831" xr:uid="{00000000-0005-0000-0000-00003A030000}"/>
    <cellStyle name="40% - Accent6 9 2" xfId="832" xr:uid="{00000000-0005-0000-0000-00003B030000}"/>
    <cellStyle name="40% - Accent6 9 3" xfId="833" xr:uid="{00000000-0005-0000-0000-00003C030000}"/>
    <cellStyle name="40% - 강조색1" xfId="834" xr:uid="{00000000-0005-0000-0000-00003D030000}"/>
    <cellStyle name="40% - 강조색2" xfId="835" xr:uid="{00000000-0005-0000-0000-00003E030000}"/>
    <cellStyle name="40% - 강조색3" xfId="836" xr:uid="{00000000-0005-0000-0000-00003F030000}"/>
    <cellStyle name="40% - 강조색4" xfId="837" xr:uid="{00000000-0005-0000-0000-000040030000}"/>
    <cellStyle name="40% - 강조색5" xfId="838" xr:uid="{00000000-0005-0000-0000-000041030000}"/>
    <cellStyle name="40% - 강조색6" xfId="839" xr:uid="{00000000-0005-0000-0000-000042030000}"/>
    <cellStyle name="60% - Accent1 10" xfId="840" xr:uid="{00000000-0005-0000-0000-000043030000}"/>
    <cellStyle name="60% - Accent1 10 2" xfId="841" xr:uid="{00000000-0005-0000-0000-000044030000}"/>
    <cellStyle name="60% - Accent1 10 3" xfId="842" xr:uid="{00000000-0005-0000-0000-000045030000}"/>
    <cellStyle name="60% - Accent1 11" xfId="843" xr:uid="{00000000-0005-0000-0000-000046030000}"/>
    <cellStyle name="60% - Accent1 11 2" xfId="844" xr:uid="{00000000-0005-0000-0000-000047030000}"/>
    <cellStyle name="60% - Accent1 11 3" xfId="845" xr:uid="{00000000-0005-0000-0000-000048030000}"/>
    <cellStyle name="60% - Accent1 12" xfId="846" xr:uid="{00000000-0005-0000-0000-000049030000}"/>
    <cellStyle name="60% - Accent1 12 2" xfId="847" xr:uid="{00000000-0005-0000-0000-00004A030000}"/>
    <cellStyle name="60% - Accent1 13" xfId="848" xr:uid="{00000000-0005-0000-0000-00004B030000}"/>
    <cellStyle name="60% - Accent1 13 2" xfId="849" xr:uid="{00000000-0005-0000-0000-00004C030000}"/>
    <cellStyle name="60% - Accent1 14" xfId="850" xr:uid="{00000000-0005-0000-0000-00004D030000}"/>
    <cellStyle name="60% - Accent1 15" xfId="851" xr:uid="{00000000-0005-0000-0000-00004E030000}"/>
    <cellStyle name="60% - Accent1 2" xfId="852" xr:uid="{00000000-0005-0000-0000-00004F030000}"/>
    <cellStyle name="60% - Accent1 2 10" xfId="853" xr:uid="{00000000-0005-0000-0000-000050030000}"/>
    <cellStyle name="60% - Accent1 2 11" xfId="854" xr:uid="{00000000-0005-0000-0000-000051030000}"/>
    <cellStyle name="60% - Accent1 2 12" xfId="855" xr:uid="{00000000-0005-0000-0000-000052030000}"/>
    <cellStyle name="60% - Accent1 2 13" xfId="856" xr:uid="{00000000-0005-0000-0000-000053030000}"/>
    <cellStyle name="60% - Accent1 2 14" xfId="857" xr:uid="{00000000-0005-0000-0000-000054030000}"/>
    <cellStyle name="60% - Accent1 2 2" xfId="858" xr:uid="{00000000-0005-0000-0000-000055030000}"/>
    <cellStyle name="60% - Accent1 2 2 2" xfId="859" xr:uid="{00000000-0005-0000-0000-000056030000}"/>
    <cellStyle name="60% - Accent1 2 2 3" xfId="860" xr:uid="{00000000-0005-0000-0000-000057030000}"/>
    <cellStyle name="60% - Accent1 2 3" xfId="861" xr:uid="{00000000-0005-0000-0000-000058030000}"/>
    <cellStyle name="60% - Accent1 2 3 2" xfId="862" xr:uid="{00000000-0005-0000-0000-000059030000}"/>
    <cellStyle name="60% - Accent1 2 4" xfId="863" xr:uid="{00000000-0005-0000-0000-00005A030000}"/>
    <cellStyle name="60% - Accent1 2 5" xfId="864" xr:uid="{00000000-0005-0000-0000-00005B030000}"/>
    <cellStyle name="60% - Accent1 2 6" xfId="865" xr:uid="{00000000-0005-0000-0000-00005C030000}"/>
    <cellStyle name="60% - Accent1 2 7" xfId="866" xr:uid="{00000000-0005-0000-0000-00005D030000}"/>
    <cellStyle name="60% - Accent1 2 8" xfId="867" xr:uid="{00000000-0005-0000-0000-00005E030000}"/>
    <cellStyle name="60% - Accent1 2 9" xfId="868" xr:uid="{00000000-0005-0000-0000-00005F030000}"/>
    <cellStyle name="60% - Accent1 3" xfId="869" xr:uid="{00000000-0005-0000-0000-000060030000}"/>
    <cellStyle name="60% - Accent1 3 2" xfId="870" xr:uid="{00000000-0005-0000-0000-000061030000}"/>
    <cellStyle name="60% - Accent1 3 3" xfId="871" xr:uid="{00000000-0005-0000-0000-000062030000}"/>
    <cellStyle name="60% - Accent1 3 4" xfId="872" xr:uid="{00000000-0005-0000-0000-000063030000}"/>
    <cellStyle name="60% - Accent1 3 5" xfId="873" xr:uid="{00000000-0005-0000-0000-000064030000}"/>
    <cellStyle name="60% - Accent1 3 6" xfId="874" xr:uid="{00000000-0005-0000-0000-000065030000}"/>
    <cellStyle name="60% - Accent1 3 7" xfId="875" xr:uid="{00000000-0005-0000-0000-000066030000}"/>
    <cellStyle name="60% - Accent1 3 8" xfId="876" xr:uid="{00000000-0005-0000-0000-000067030000}"/>
    <cellStyle name="60% - Accent1 4" xfId="877" xr:uid="{00000000-0005-0000-0000-000068030000}"/>
    <cellStyle name="60% - Accent1 4 2" xfId="878" xr:uid="{00000000-0005-0000-0000-000069030000}"/>
    <cellStyle name="60% - Accent1 4 3" xfId="879" xr:uid="{00000000-0005-0000-0000-00006A030000}"/>
    <cellStyle name="60% - Accent1 4 4" xfId="880" xr:uid="{00000000-0005-0000-0000-00006B030000}"/>
    <cellStyle name="60% - Accent1 4 5" xfId="881" xr:uid="{00000000-0005-0000-0000-00006C030000}"/>
    <cellStyle name="60% - Accent1 4 6" xfId="882" xr:uid="{00000000-0005-0000-0000-00006D030000}"/>
    <cellStyle name="60% - Accent1 5" xfId="883" xr:uid="{00000000-0005-0000-0000-00006E030000}"/>
    <cellStyle name="60% - Accent1 5 2" xfId="884" xr:uid="{00000000-0005-0000-0000-00006F030000}"/>
    <cellStyle name="60% - Accent1 5 3" xfId="885" xr:uid="{00000000-0005-0000-0000-000070030000}"/>
    <cellStyle name="60% - Accent1 5 4" xfId="886" xr:uid="{00000000-0005-0000-0000-000071030000}"/>
    <cellStyle name="60% - Accent1 5 5" xfId="887" xr:uid="{00000000-0005-0000-0000-000072030000}"/>
    <cellStyle name="60% - Accent1 6" xfId="888" xr:uid="{00000000-0005-0000-0000-000073030000}"/>
    <cellStyle name="60% - Accent1 6 2" xfId="889" xr:uid="{00000000-0005-0000-0000-000074030000}"/>
    <cellStyle name="60% - Accent1 6 3" xfId="890" xr:uid="{00000000-0005-0000-0000-000075030000}"/>
    <cellStyle name="60% - Accent1 6 4" xfId="891" xr:uid="{00000000-0005-0000-0000-000076030000}"/>
    <cellStyle name="60% - Accent1 7" xfId="892" xr:uid="{00000000-0005-0000-0000-000077030000}"/>
    <cellStyle name="60% - Accent1 7 2" xfId="893" xr:uid="{00000000-0005-0000-0000-000078030000}"/>
    <cellStyle name="60% - Accent1 7 3" xfId="894" xr:uid="{00000000-0005-0000-0000-000079030000}"/>
    <cellStyle name="60% - Accent1 7 4" xfId="895" xr:uid="{00000000-0005-0000-0000-00007A030000}"/>
    <cellStyle name="60% - Accent1 8" xfId="896" xr:uid="{00000000-0005-0000-0000-00007B030000}"/>
    <cellStyle name="60% - Accent1 8 2" xfId="897" xr:uid="{00000000-0005-0000-0000-00007C030000}"/>
    <cellStyle name="60% - Accent1 8 3" xfId="898" xr:uid="{00000000-0005-0000-0000-00007D030000}"/>
    <cellStyle name="60% - Accent1 9" xfId="899" xr:uid="{00000000-0005-0000-0000-00007E030000}"/>
    <cellStyle name="60% - Accent1 9 2" xfId="900" xr:uid="{00000000-0005-0000-0000-00007F030000}"/>
    <cellStyle name="60% - Accent1 9 3" xfId="901" xr:uid="{00000000-0005-0000-0000-000080030000}"/>
    <cellStyle name="60% - Accent2 10" xfId="902" xr:uid="{00000000-0005-0000-0000-000081030000}"/>
    <cellStyle name="60% - Accent2 10 2" xfId="903" xr:uid="{00000000-0005-0000-0000-000082030000}"/>
    <cellStyle name="60% - Accent2 10 3" xfId="904" xr:uid="{00000000-0005-0000-0000-000083030000}"/>
    <cellStyle name="60% - Accent2 11" xfId="905" xr:uid="{00000000-0005-0000-0000-000084030000}"/>
    <cellStyle name="60% - Accent2 11 2" xfId="906" xr:uid="{00000000-0005-0000-0000-000085030000}"/>
    <cellStyle name="60% - Accent2 11 3" xfId="907" xr:uid="{00000000-0005-0000-0000-000086030000}"/>
    <cellStyle name="60% - Accent2 12" xfId="908" xr:uid="{00000000-0005-0000-0000-000087030000}"/>
    <cellStyle name="60% - Accent2 12 2" xfId="909" xr:uid="{00000000-0005-0000-0000-000088030000}"/>
    <cellStyle name="60% - Accent2 13" xfId="910" xr:uid="{00000000-0005-0000-0000-000089030000}"/>
    <cellStyle name="60% - Accent2 13 2" xfId="911" xr:uid="{00000000-0005-0000-0000-00008A030000}"/>
    <cellStyle name="60% - Accent2 14" xfId="912" xr:uid="{00000000-0005-0000-0000-00008B030000}"/>
    <cellStyle name="60% - Accent2 15" xfId="913" xr:uid="{00000000-0005-0000-0000-00008C030000}"/>
    <cellStyle name="60% - Accent2 2" xfId="914" xr:uid="{00000000-0005-0000-0000-00008D030000}"/>
    <cellStyle name="60% - Accent2 2 10" xfId="915" xr:uid="{00000000-0005-0000-0000-00008E030000}"/>
    <cellStyle name="60% - Accent2 2 11" xfId="916" xr:uid="{00000000-0005-0000-0000-00008F030000}"/>
    <cellStyle name="60% - Accent2 2 12" xfId="917" xr:uid="{00000000-0005-0000-0000-000090030000}"/>
    <cellStyle name="60% - Accent2 2 13" xfId="918" xr:uid="{00000000-0005-0000-0000-000091030000}"/>
    <cellStyle name="60% - Accent2 2 14" xfId="919" xr:uid="{00000000-0005-0000-0000-000092030000}"/>
    <cellStyle name="60% - Accent2 2 2" xfId="920" xr:uid="{00000000-0005-0000-0000-000093030000}"/>
    <cellStyle name="60% - Accent2 2 2 2" xfId="921" xr:uid="{00000000-0005-0000-0000-000094030000}"/>
    <cellStyle name="60% - Accent2 2 2 3" xfId="922" xr:uid="{00000000-0005-0000-0000-000095030000}"/>
    <cellStyle name="60% - Accent2 2 3" xfId="923" xr:uid="{00000000-0005-0000-0000-000096030000}"/>
    <cellStyle name="60% - Accent2 2 3 2" xfId="924" xr:uid="{00000000-0005-0000-0000-000097030000}"/>
    <cellStyle name="60% - Accent2 2 4" xfId="925" xr:uid="{00000000-0005-0000-0000-000098030000}"/>
    <cellStyle name="60% - Accent2 2 5" xfId="926" xr:uid="{00000000-0005-0000-0000-000099030000}"/>
    <cellStyle name="60% - Accent2 2 6" xfId="927" xr:uid="{00000000-0005-0000-0000-00009A030000}"/>
    <cellStyle name="60% - Accent2 2 7" xfId="928" xr:uid="{00000000-0005-0000-0000-00009B030000}"/>
    <cellStyle name="60% - Accent2 2 8" xfId="929" xr:uid="{00000000-0005-0000-0000-00009C030000}"/>
    <cellStyle name="60% - Accent2 2 9" xfId="930" xr:uid="{00000000-0005-0000-0000-00009D030000}"/>
    <cellStyle name="60% - Accent2 3" xfId="931" xr:uid="{00000000-0005-0000-0000-00009E030000}"/>
    <cellStyle name="60% - Accent2 3 2" xfId="932" xr:uid="{00000000-0005-0000-0000-00009F030000}"/>
    <cellStyle name="60% - Accent2 3 3" xfId="933" xr:uid="{00000000-0005-0000-0000-0000A0030000}"/>
    <cellStyle name="60% - Accent2 3 4" xfId="934" xr:uid="{00000000-0005-0000-0000-0000A1030000}"/>
    <cellStyle name="60% - Accent2 3 5" xfId="935" xr:uid="{00000000-0005-0000-0000-0000A2030000}"/>
    <cellStyle name="60% - Accent2 3 6" xfId="936" xr:uid="{00000000-0005-0000-0000-0000A3030000}"/>
    <cellStyle name="60% - Accent2 3 7" xfId="937" xr:uid="{00000000-0005-0000-0000-0000A4030000}"/>
    <cellStyle name="60% - Accent2 3 8" xfId="938" xr:uid="{00000000-0005-0000-0000-0000A5030000}"/>
    <cellStyle name="60% - Accent2 4" xfId="939" xr:uid="{00000000-0005-0000-0000-0000A6030000}"/>
    <cellStyle name="60% - Accent2 4 2" xfId="940" xr:uid="{00000000-0005-0000-0000-0000A7030000}"/>
    <cellStyle name="60% - Accent2 4 3" xfId="941" xr:uid="{00000000-0005-0000-0000-0000A8030000}"/>
    <cellStyle name="60% - Accent2 4 4" xfId="942" xr:uid="{00000000-0005-0000-0000-0000A9030000}"/>
    <cellStyle name="60% - Accent2 4 5" xfId="943" xr:uid="{00000000-0005-0000-0000-0000AA030000}"/>
    <cellStyle name="60% - Accent2 4 6" xfId="944" xr:uid="{00000000-0005-0000-0000-0000AB030000}"/>
    <cellStyle name="60% - Accent2 5" xfId="945" xr:uid="{00000000-0005-0000-0000-0000AC030000}"/>
    <cellStyle name="60% - Accent2 5 2" xfId="946" xr:uid="{00000000-0005-0000-0000-0000AD030000}"/>
    <cellStyle name="60% - Accent2 5 3" xfId="947" xr:uid="{00000000-0005-0000-0000-0000AE030000}"/>
    <cellStyle name="60% - Accent2 5 4" xfId="948" xr:uid="{00000000-0005-0000-0000-0000AF030000}"/>
    <cellStyle name="60% - Accent2 5 5" xfId="949" xr:uid="{00000000-0005-0000-0000-0000B0030000}"/>
    <cellStyle name="60% - Accent2 6" xfId="950" xr:uid="{00000000-0005-0000-0000-0000B1030000}"/>
    <cellStyle name="60% - Accent2 6 2" xfId="951" xr:uid="{00000000-0005-0000-0000-0000B2030000}"/>
    <cellStyle name="60% - Accent2 6 3" xfId="952" xr:uid="{00000000-0005-0000-0000-0000B3030000}"/>
    <cellStyle name="60% - Accent2 6 4" xfId="953" xr:uid="{00000000-0005-0000-0000-0000B4030000}"/>
    <cellStyle name="60% - Accent2 7" xfId="954" xr:uid="{00000000-0005-0000-0000-0000B5030000}"/>
    <cellStyle name="60% - Accent2 7 2" xfId="955" xr:uid="{00000000-0005-0000-0000-0000B6030000}"/>
    <cellStyle name="60% - Accent2 7 3" xfId="956" xr:uid="{00000000-0005-0000-0000-0000B7030000}"/>
    <cellStyle name="60% - Accent2 7 4" xfId="957" xr:uid="{00000000-0005-0000-0000-0000B8030000}"/>
    <cellStyle name="60% - Accent2 8" xfId="958" xr:uid="{00000000-0005-0000-0000-0000B9030000}"/>
    <cellStyle name="60% - Accent2 8 2" xfId="959" xr:uid="{00000000-0005-0000-0000-0000BA030000}"/>
    <cellStyle name="60% - Accent2 8 3" xfId="960" xr:uid="{00000000-0005-0000-0000-0000BB030000}"/>
    <cellStyle name="60% - Accent2 9" xfId="961" xr:uid="{00000000-0005-0000-0000-0000BC030000}"/>
    <cellStyle name="60% - Accent2 9 2" xfId="962" xr:uid="{00000000-0005-0000-0000-0000BD030000}"/>
    <cellStyle name="60% - Accent2 9 3" xfId="963" xr:uid="{00000000-0005-0000-0000-0000BE030000}"/>
    <cellStyle name="60% - Accent3 10" xfId="964" xr:uid="{00000000-0005-0000-0000-0000BF030000}"/>
    <cellStyle name="60% - Accent3 10 2" xfId="965" xr:uid="{00000000-0005-0000-0000-0000C0030000}"/>
    <cellStyle name="60% - Accent3 10 3" xfId="966" xr:uid="{00000000-0005-0000-0000-0000C1030000}"/>
    <cellStyle name="60% - Accent3 11" xfId="967" xr:uid="{00000000-0005-0000-0000-0000C2030000}"/>
    <cellStyle name="60% - Accent3 11 2" xfId="968" xr:uid="{00000000-0005-0000-0000-0000C3030000}"/>
    <cellStyle name="60% - Accent3 11 3" xfId="969" xr:uid="{00000000-0005-0000-0000-0000C4030000}"/>
    <cellStyle name="60% - Accent3 12" xfId="970" xr:uid="{00000000-0005-0000-0000-0000C5030000}"/>
    <cellStyle name="60% - Accent3 12 2" xfId="971" xr:uid="{00000000-0005-0000-0000-0000C6030000}"/>
    <cellStyle name="60% - Accent3 13" xfId="972" xr:uid="{00000000-0005-0000-0000-0000C7030000}"/>
    <cellStyle name="60% - Accent3 13 2" xfId="973" xr:uid="{00000000-0005-0000-0000-0000C8030000}"/>
    <cellStyle name="60% - Accent3 14" xfId="974" xr:uid="{00000000-0005-0000-0000-0000C9030000}"/>
    <cellStyle name="60% - Accent3 15" xfId="975" xr:uid="{00000000-0005-0000-0000-0000CA030000}"/>
    <cellStyle name="60% - Accent3 2" xfId="976" xr:uid="{00000000-0005-0000-0000-0000CB030000}"/>
    <cellStyle name="60% - Accent3 2 10" xfId="977" xr:uid="{00000000-0005-0000-0000-0000CC030000}"/>
    <cellStyle name="60% - Accent3 2 11" xfId="978" xr:uid="{00000000-0005-0000-0000-0000CD030000}"/>
    <cellStyle name="60% - Accent3 2 12" xfId="979" xr:uid="{00000000-0005-0000-0000-0000CE030000}"/>
    <cellStyle name="60% - Accent3 2 13" xfId="980" xr:uid="{00000000-0005-0000-0000-0000CF030000}"/>
    <cellStyle name="60% - Accent3 2 14" xfId="981" xr:uid="{00000000-0005-0000-0000-0000D0030000}"/>
    <cellStyle name="60% - Accent3 2 2" xfId="982" xr:uid="{00000000-0005-0000-0000-0000D1030000}"/>
    <cellStyle name="60% - Accent3 2 2 2" xfId="983" xr:uid="{00000000-0005-0000-0000-0000D2030000}"/>
    <cellStyle name="60% - Accent3 2 2 3" xfId="984" xr:uid="{00000000-0005-0000-0000-0000D3030000}"/>
    <cellStyle name="60% - Accent3 2 3" xfId="985" xr:uid="{00000000-0005-0000-0000-0000D4030000}"/>
    <cellStyle name="60% - Accent3 2 3 2" xfId="986" xr:uid="{00000000-0005-0000-0000-0000D5030000}"/>
    <cellStyle name="60% - Accent3 2 4" xfId="987" xr:uid="{00000000-0005-0000-0000-0000D6030000}"/>
    <cellStyle name="60% - Accent3 2 5" xfId="988" xr:uid="{00000000-0005-0000-0000-0000D7030000}"/>
    <cellStyle name="60% - Accent3 2 6" xfId="989" xr:uid="{00000000-0005-0000-0000-0000D8030000}"/>
    <cellStyle name="60% - Accent3 2 7" xfId="990" xr:uid="{00000000-0005-0000-0000-0000D9030000}"/>
    <cellStyle name="60% - Accent3 2 8" xfId="991" xr:uid="{00000000-0005-0000-0000-0000DA030000}"/>
    <cellStyle name="60% - Accent3 2 9" xfId="992" xr:uid="{00000000-0005-0000-0000-0000DB030000}"/>
    <cellStyle name="60% - Accent3 3" xfId="993" xr:uid="{00000000-0005-0000-0000-0000DC030000}"/>
    <cellStyle name="60% - Accent3 3 2" xfId="994" xr:uid="{00000000-0005-0000-0000-0000DD030000}"/>
    <cellStyle name="60% - Accent3 3 3" xfId="995" xr:uid="{00000000-0005-0000-0000-0000DE030000}"/>
    <cellStyle name="60% - Accent3 3 4" xfId="996" xr:uid="{00000000-0005-0000-0000-0000DF030000}"/>
    <cellStyle name="60% - Accent3 3 5" xfId="997" xr:uid="{00000000-0005-0000-0000-0000E0030000}"/>
    <cellStyle name="60% - Accent3 3 6" xfId="998" xr:uid="{00000000-0005-0000-0000-0000E1030000}"/>
    <cellStyle name="60% - Accent3 3 7" xfId="999" xr:uid="{00000000-0005-0000-0000-0000E2030000}"/>
    <cellStyle name="60% - Accent3 3 8" xfId="1000" xr:uid="{00000000-0005-0000-0000-0000E3030000}"/>
    <cellStyle name="60% - Accent3 4" xfId="1001" xr:uid="{00000000-0005-0000-0000-0000E4030000}"/>
    <cellStyle name="60% - Accent3 4 2" xfId="1002" xr:uid="{00000000-0005-0000-0000-0000E5030000}"/>
    <cellStyle name="60% - Accent3 4 3" xfId="1003" xr:uid="{00000000-0005-0000-0000-0000E6030000}"/>
    <cellStyle name="60% - Accent3 4 4" xfId="1004" xr:uid="{00000000-0005-0000-0000-0000E7030000}"/>
    <cellStyle name="60% - Accent3 4 5" xfId="1005" xr:uid="{00000000-0005-0000-0000-0000E8030000}"/>
    <cellStyle name="60% - Accent3 4 6" xfId="1006" xr:uid="{00000000-0005-0000-0000-0000E9030000}"/>
    <cellStyle name="60% - Accent3 5" xfId="1007" xr:uid="{00000000-0005-0000-0000-0000EA030000}"/>
    <cellStyle name="60% - Accent3 5 2" xfId="1008" xr:uid="{00000000-0005-0000-0000-0000EB030000}"/>
    <cellStyle name="60% - Accent3 5 3" xfId="1009" xr:uid="{00000000-0005-0000-0000-0000EC030000}"/>
    <cellStyle name="60% - Accent3 5 4" xfId="1010" xr:uid="{00000000-0005-0000-0000-0000ED030000}"/>
    <cellStyle name="60% - Accent3 5 5" xfId="1011" xr:uid="{00000000-0005-0000-0000-0000EE030000}"/>
    <cellStyle name="60% - Accent3 6" xfId="1012" xr:uid="{00000000-0005-0000-0000-0000EF030000}"/>
    <cellStyle name="60% - Accent3 6 2" xfId="1013" xr:uid="{00000000-0005-0000-0000-0000F0030000}"/>
    <cellStyle name="60% - Accent3 6 3" xfId="1014" xr:uid="{00000000-0005-0000-0000-0000F1030000}"/>
    <cellStyle name="60% - Accent3 6 4" xfId="1015" xr:uid="{00000000-0005-0000-0000-0000F2030000}"/>
    <cellStyle name="60% - Accent3 7" xfId="1016" xr:uid="{00000000-0005-0000-0000-0000F3030000}"/>
    <cellStyle name="60% - Accent3 7 2" xfId="1017" xr:uid="{00000000-0005-0000-0000-0000F4030000}"/>
    <cellStyle name="60% - Accent3 7 3" xfId="1018" xr:uid="{00000000-0005-0000-0000-0000F5030000}"/>
    <cellStyle name="60% - Accent3 7 4" xfId="1019" xr:uid="{00000000-0005-0000-0000-0000F6030000}"/>
    <cellStyle name="60% - Accent3 8" xfId="1020" xr:uid="{00000000-0005-0000-0000-0000F7030000}"/>
    <cellStyle name="60% - Accent3 8 2" xfId="1021" xr:uid="{00000000-0005-0000-0000-0000F8030000}"/>
    <cellStyle name="60% - Accent3 8 3" xfId="1022" xr:uid="{00000000-0005-0000-0000-0000F9030000}"/>
    <cellStyle name="60% - Accent3 9" xfId="1023" xr:uid="{00000000-0005-0000-0000-0000FA030000}"/>
    <cellStyle name="60% - Accent3 9 2" xfId="1024" xr:uid="{00000000-0005-0000-0000-0000FB030000}"/>
    <cellStyle name="60% - Accent3 9 3" xfId="1025" xr:uid="{00000000-0005-0000-0000-0000FC030000}"/>
    <cellStyle name="60% - Accent4 10" xfId="1026" xr:uid="{00000000-0005-0000-0000-0000FD030000}"/>
    <cellStyle name="60% - Accent4 10 2" xfId="1027" xr:uid="{00000000-0005-0000-0000-0000FE030000}"/>
    <cellStyle name="60% - Accent4 10 3" xfId="1028" xr:uid="{00000000-0005-0000-0000-0000FF030000}"/>
    <cellStyle name="60% - Accent4 11" xfId="1029" xr:uid="{00000000-0005-0000-0000-000000040000}"/>
    <cellStyle name="60% - Accent4 11 2" xfId="1030" xr:uid="{00000000-0005-0000-0000-000001040000}"/>
    <cellStyle name="60% - Accent4 11 3" xfId="1031" xr:uid="{00000000-0005-0000-0000-000002040000}"/>
    <cellStyle name="60% - Accent4 12" xfId="1032" xr:uid="{00000000-0005-0000-0000-000003040000}"/>
    <cellStyle name="60% - Accent4 12 2" xfId="1033" xr:uid="{00000000-0005-0000-0000-000004040000}"/>
    <cellStyle name="60% - Accent4 13" xfId="1034" xr:uid="{00000000-0005-0000-0000-000005040000}"/>
    <cellStyle name="60% - Accent4 13 2" xfId="1035" xr:uid="{00000000-0005-0000-0000-000006040000}"/>
    <cellStyle name="60% - Accent4 14" xfId="1036" xr:uid="{00000000-0005-0000-0000-000007040000}"/>
    <cellStyle name="60% - Accent4 15" xfId="1037" xr:uid="{00000000-0005-0000-0000-000008040000}"/>
    <cellStyle name="60% - Accent4 2" xfId="1038" xr:uid="{00000000-0005-0000-0000-000009040000}"/>
    <cellStyle name="60% - Accent4 2 10" xfId="1039" xr:uid="{00000000-0005-0000-0000-00000A040000}"/>
    <cellStyle name="60% - Accent4 2 11" xfId="1040" xr:uid="{00000000-0005-0000-0000-00000B040000}"/>
    <cellStyle name="60% - Accent4 2 12" xfId="1041" xr:uid="{00000000-0005-0000-0000-00000C040000}"/>
    <cellStyle name="60% - Accent4 2 13" xfId="1042" xr:uid="{00000000-0005-0000-0000-00000D040000}"/>
    <cellStyle name="60% - Accent4 2 14" xfId="1043" xr:uid="{00000000-0005-0000-0000-00000E040000}"/>
    <cellStyle name="60% - Accent4 2 2" xfId="1044" xr:uid="{00000000-0005-0000-0000-00000F040000}"/>
    <cellStyle name="60% - Accent4 2 2 2" xfId="1045" xr:uid="{00000000-0005-0000-0000-000010040000}"/>
    <cellStyle name="60% - Accent4 2 2 3" xfId="1046" xr:uid="{00000000-0005-0000-0000-000011040000}"/>
    <cellStyle name="60% - Accent4 2 3" xfId="1047" xr:uid="{00000000-0005-0000-0000-000012040000}"/>
    <cellStyle name="60% - Accent4 2 3 2" xfId="1048" xr:uid="{00000000-0005-0000-0000-000013040000}"/>
    <cellStyle name="60% - Accent4 2 4" xfId="1049" xr:uid="{00000000-0005-0000-0000-000014040000}"/>
    <cellStyle name="60% - Accent4 2 5" xfId="1050" xr:uid="{00000000-0005-0000-0000-000015040000}"/>
    <cellStyle name="60% - Accent4 2 6" xfId="1051" xr:uid="{00000000-0005-0000-0000-000016040000}"/>
    <cellStyle name="60% - Accent4 2 7" xfId="1052" xr:uid="{00000000-0005-0000-0000-000017040000}"/>
    <cellStyle name="60% - Accent4 2 8" xfId="1053" xr:uid="{00000000-0005-0000-0000-000018040000}"/>
    <cellStyle name="60% - Accent4 2 9" xfId="1054" xr:uid="{00000000-0005-0000-0000-000019040000}"/>
    <cellStyle name="60% - Accent4 3" xfId="1055" xr:uid="{00000000-0005-0000-0000-00001A040000}"/>
    <cellStyle name="60% - Accent4 3 2" xfId="1056" xr:uid="{00000000-0005-0000-0000-00001B040000}"/>
    <cellStyle name="60% - Accent4 3 3" xfId="1057" xr:uid="{00000000-0005-0000-0000-00001C040000}"/>
    <cellStyle name="60% - Accent4 3 4" xfId="1058" xr:uid="{00000000-0005-0000-0000-00001D040000}"/>
    <cellStyle name="60% - Accent4 3 5" xfId="1059" xr:uid="{00000000-0005-0000-0000-00001E040000}"/>
    <cellStyle name="60% - Accent4 3 6" xfId="1060" xr:uid="{00000000-0005-0000-0000-00001F040000}"/>
    <cellStyle name="60% - Accent4 3 7" xfId="1061" xr:uid="{00000000-0005-0000-0000-000020040000}"/>
    <cellStyle name="60% - Accent4 3 8" xfId="1062" xr:uid="{00000000-0005-0000-0000-000021040000}"/>
    <cellStyle name="60% - Accent4 4" xfId="1063" xr:uid="{00000000-0005-0000-0000-000022040000}"/>
    <cellStyle name="60% - Accent4 4 2" xfId="1064" xr:uid="{00000000-0005-0000-0000-000023040000}"/>
    <cellStyle name="60% - Accent4 4 3" xfId="1065" xr:uid="{00000000-0005-0000-0000-000024040000}"/>
    <cellStyle name="60% - Accent4 4 4" xfId="1066" xr:uid="{00000000-0005-0000-0000-000025040000}"/>
    <cellStyle name="60% - Accent4 4 5" xfId="1067" xr:uid="{00000000-0005-0000-0000-000026040000}"/>
    <cellStyle name="60% - Accent4 4 6" xfId="1068" xr:uid="{00000000-0005-0000-0000-000027040000}"/>
    <cellStyle name="60% - Accent4 5" xfId="1069" xr:uid="{00000000-0005-0000-0000-000028040000}"/>
    <cellStyle name="60% - Accent4 5 2" xfId="1070" xr:uid="{00000000-0005-0000-0000-000029040000}"/>
    <cellStyle name="60% - Accent4 5 3" xfId="1071" xr:uid="{00000000-0005-0000-0000-00002A040000}"/>
    <cellStyle name="60% - Accent4 5 4" xfId="1072" xr:uid="{00000000-0005-0000-0000-00002B040000}"/>
    <cellStyle name="60% - Accent4 5 5" xfId="1073" xr:uid="{00000000-0005-0000-0000-00002C040000}"/>
    <cellStyle name="60% - Accent4 6" xfId="1074" xr:uid="{00000000-0005-0000-0000-00002D040000}"/>
    <cellStyle name="60% - Accent4 6 2" xfId="1075" xr:uid="{00000000-0005-0000-0000-00002E040000}"/>
    <cellStyle name="60% - Accent4 6 3" xfId="1076" xr:uid="{00000000-0005-0000-0000-00002F040000}"/>
    <cellStyle name="60% - Accent4 6 4" xfId="1077" xr:uid="{00000000-0005-0000-0000-000030040000}"/>
    <cellStyle name="60% - Accent4 7" xfId="1078" xr:uid="{00000000-0005-0000-0000-000031040000}"/>
    <cellStyle name="60% - Accent4 7 2" xfId="1079" xr:uid="{00000000-0005-0000-0000-000032040000}"/>
    <cellStyle name="60% - Accent4 7 3" xfId="1080" xr:uid="{00000000-0005-0000-0000-000033040000}"/>
    <cellStyle name="60% - Accent4 7 4" xfId="1081" xr:uid="{00000000-0005-0000-0000-000034040000}"/>
    <cellStyle name="60% - Accent4 8" xfId="1082" xr:uid="{00000000-0005-0000-0000-000035040000}"/>
    <cellStyle name="60% - Accent4 8 2" xfId="1083" xr:uid="{00000000-0005-0000-0000-000036040000}"/>
    <cellStyle name="60% - Accent4 8 3" xfId="1084" xr:uid="{00000000-0005-0000-0000-000037040000}"/>
    <cellStyle name="60% - Accent4 9" xfId="1085" xr:uid="{00000000-0005-0000-0000-000038040000}"/>
    <cellStyle name="60% - Accent4 9 2" xfId="1086" xr:uid="{00000000-0005-0000-0000-000039040000}"/>
    <cellStyle name="60% - Accent4 9 3" xfId="1087" xr:uid="{00000000-0005-0000-0000-00003A040000}"/>
    <cellStyle name="60% - Accent5 10" xfId="1088" xr:uid="{00000000-0005-0000-0000-00003B040000}"/>
    <cellStyle name="60% - Accent5 10 2" xfId="1089" xr:uid="{00000000-0005-0000-0000-00003C040000}"/>
    <cellStyle name="60% - Accent5 10 3" xfId="1090" xr:uid="{00000000-0005-0000-0000-00003D040000}"/>
    <cellStyle name="60% - Accent5 11" xfId="1091" xr:uid="{00000000-0005-0000-0000-00003E040000}"/>
    <cellStyle name="60% - Accent5 11 2" xfId="1092" xr:uid="{00000000-0005-0000-0000-00003F040000}"/>
    <cellStyle name="60% - Accent5 11 3" xfId="1093" xr:uid="{00000000-0005-0000-0000-000040040000}"/>
    <cellStyle name="60% - Accent5 12" xfId="1094" xr:uid="{00000000-0005-0000-0000-000041040000}"/>
    <cellStyle name="60% - Accent5 12 2" xfId="1095" xr:uid="{00000000-0005-0000-0000-000042040000}"/>
    <cellStyle name="60% - Accent5 13" xfId="1096" xr:uid="{00000000-0005-0000-0000-000043040000}"/>
    <cellStyle name="60% - Accent5 13 2" xfId="1097" xr:uid="{00000000-0005-0000-0000-000044040000}"/>
    <cellStyle name="60% - Accent5 14" xfId="1098" xr:uid="{00000000-0005-0000-0000-000045040000}"/>
    <cellStyle name="60% - Accent5 15" xfId="1099" xr:uid="{00000000-0005-0000-0000-000046040000}"/>
    <cellStyle name="60% - Accent5 2" xfId="1100" xr:uid="{00000000-0005-0000-0000-000047040000}"/>
    <cellStyle name="60% - Accent5 2 10" xfId="1101" xr:uid="{00000000-0005-0000-0000-000048040000}"/>
    <cellStyle name="60% - Accent5 2 11" xfId="1102" xr:uid="{00000000-0005-0000-0000-000049040000}"/>
    <cellStyle name="60% - Accent5 2 12" xfId="1103" xr:uid="{00000000-0005-0000-0000-00004A040000}"/>
    <cellStyle name="60% - Accent5 2 13" xfId="1104" xr:uid="{00000000-0005-0000-0000-00004B040000}"/>
    <cellStyle name="60% - Accent5 2 14" xfId="1105" xr:uid="{00000000-0005-0000-0000-00004C040000}"/>
    <cellStyle name="60% - Accent5 2 2" xfId="1106" xr:uid="{00000000-0005-0000-0000-00004D040000}"/>
    <cellStyle name="60% - Accent5 2 2 2" xfId="1107" xr:uid="{00000000-0005-0000-0000-00004E040000}"/>
    <cellStyle name="60% - Accent5 2 2 3" xfId="1108" xr:uid="{00000000-0005-0000-0000-00004F040000}"/>
    <cellStyle name="60% - Accent5 2 3" xfId="1109" xr:uid="{00000000-0005-0000-0000-000050040000}"/>
    <cellStyle name="60% - Accent5 2 3 2" xfId="1110" xr:uid="{00000000-0005-0000-0000-000051040000}"/>
    <cellStyle name="60% - Accent5 2 4" xfId="1111" xr:uid="{00000000-0005-0000-0000-000052040000}"/>
    <cellStyle name="60% - Accent5 2 5" xfId="1112" xr:uid="{00000000-0005-0000-0000-000053040000}"/>
    <cellStyle name="60% - Accent5 2 6" xfId="1113" xr:uid="{00000000-0005-0000-0000-000054040000}"/>
    <cellStyle name="60% - Accent5 2 7" xfId="1114" xr:uid="{00000000-0005-0000-0000-000055040000}"/>
    <cellStyle name="60% - Accent5 2 8" xfId="1115" xr:uid="{00000000-0005-0000-0000-000056040000}"/>
    <cellStyle name="60% - Accent5 2 9" xfId="1116" xr:uid="{00000000-0005-0000-0000-000057040000}"/>
    <cellStyle name="60% - Accent5 3" xfId="1117" xr:uid="{00000000-0005-0000-0000-000058040000}"/>
    <cellStyle name="60% - Accent5 3 2" xfId="1118" xr:uid="{00000000-0005-0000-0000-000059040000}"/>
    <cellStyle name="60% - Accent5 3 3" xfId="1119" xr:uid="{00000000-0005-0000-0000-00005A040000}"/>
    <cellStyle name="60% - Accent5 3 4" xfId="1120" xr:uid="{00000000-0005-0000-0000-00005B040000}"/>
    <cellStyle name="60% - Accent5 3 5" xfId="1121" xr:uid="{00000000-0005-0000-0000-00005C040000}"/>
    <cellStyle name="60% - Accent5 3 6" xfId="1122" xr:uid="{00000000-0005-0000-0000-00005D040000}"/>
    <cellStyle name="60% - Accent5 3 7" xfId="1123" xr:uid="{00000000-0005-0000-0000-00005E040000}"/>
    <cellStyle name="60% - Accent5 3 8" xfId="1124" xr:uid="{00000000-0005-0000-0000-00005F040000}"/>
    <cellStyle name="60% - Accent5 4" xfId="1125" xr:uid="{00000000-0005-0000-0000-000060040000}"/>
    <cellStyle name="60% - Accent5 4 2" xfId="1126" xr:uid="{00000000-0005-0000-0000-000061040000}"/>
    <cellStyle name="60% - Accent5 4 3" xfId="1127" xr:uid="{00000000-0005-0000-0000-000062040000}"/>
    <cellStyle name="60% - Accent5 4 4" xfId="1128" xr:uid="{00000000-0005-0000-0000-000063040000}"/>
    <cellStyle name="60% - Accent5 4 5" xfId="1129" xr:uid="{00000000-0005-0000-0000-000064040000}"/>
    <cellStyle name="60% - Accent5 4 6" xfId="1130" xr:uid="{00000000-0005-0000-0000-000065040000}"/>
    <cellStyle name="60% - Accent5 5" xfId="1131" xr:uid="{00000000-0005-0000-0000-000066040000}"/>
    <cellStyle name="60% - Accent5 5 2" xfId="1132" xr:uid="{00000000-0005-0000-0000-000067040000}"/>
    <cellStyle name="60% - Accent5 5 3" xfId="1133" xr:uid="{00000000-0005-0000-0000-000068040000}"/>
    <cellStyle name="60% - Accent5 5 4" xfId="1134" xr:uid="{00000000-0005-0000-0000-000069040000}"/>
    <cellStyle name="60% - Accent5 5 5" xfId="1135" xr:uid="{00000000-0005-0000-0000-00006A040000}"/>
    <cellStyle name="60% - Accent5 6" xfId="1136" xr:uid="{00000000-0005-0000-0000-00006B040000}"/>
    <cellStyle name="60% - Accent5 6 2" xfId="1137" xr:uid="{00000000-0005-0000-0000-00006C040000}"/>
    <cellStyle name="60% - Accent5 6 3" xfId="1138" xr:uid="{00000000-0005-0000-0000-00006D040000}"/>
    <cellStyle name="60% - Accent5 6 4" xfId="1139" xr:uid="{00000000-0005-0000-0000-00006E040000}"/>
    <cellStyle name="60% - Accent5 7" xfId="1140" xr:uid="{00000000-0005-0000-0000-00006F040000}"/>
    <cellStyle name="60% - Accent5 7 2" xfId="1141" xr:uid="{00000000-0005-0000-0000-000070040000}"/>
    <cellStyle name="60% - Accent5 7 3" xfId="1142" xr:uid="{00000000-0005-0000-0000-000071040000}"/>
    <cellStyle name="60% - Accent5 7 4" xfId="1143" xr:uid="{00000000-0005-0000-0000-000072040000}"/>
    <cellStyle name="60% - Accent5 8" xfId="1144" xr:uid="{00000000-0005-0000-0000-000073040000}"/>
    <cellStyle name="60% - Accent5 8 2" xfId="1145" xr:uid="{00000000-0005-0000-0000-000074040000}"/>
    <cellStyle name="60% - Accent5 8 3" xfId="1146" xr:uid="{00000000-0005-0000-0000-000075040000}"/>
    <cellStyle name="60% - Accent5 9" xfId="1147" xr:uid="{00000000-0005-0000-0000-000076040000}"/>
    <cellStyle name="60% - Accent5 9 2" xfId="1148" xr:uid="{00000000-0005-0000-0000-000077040000}"/>
    <cellStyle name="60% - Accent5 9 3" xfId="1149" xr:uid="{00000000-0005-0000-0000-000078040000}"/>
    <cellStyle name="60% - Accent6 10" xfId="1150" xr:uid="{00000000-0005-0000-0000-000079040000}"/>
    <cellStyle name="60% - Accent6 10 2" xfId="1151" xr:uid="{00000000-0005-0000-0000-00007A040000}"/>
    <cellStyle name="60% - Accent6 10 3" xfId="1152" xr:uid="{00000000-0005-0000-0000-00007B040000}"/>
    <cellStyle name="60% - Accent6 11" xfId="1153" xr:uid="{00000000-0005-0000-0000-00007C040000}"/>
    <cellStyle name="60% - Accent6 11 2" xfId="1154" xr:uid="{00000000-0005-0000-0000-00007D040000}"/>
    <cellStyle name="60% - Accent6 11 3" xfId="1155" xr:uid="{00000000-0005-0000-0000-00007E040000}"/>
    <cellStyle name="60% - Accent6 12" xfId="1156" xr:uid="{00000000-0005-0000-0000-00007F040000}"/>
    <cellStyle name="60% - Accent6 12 2" xfId="1157" xr:uid="{00000000-0005-0000-0000-000080040000}"/>
    <cellStyle name="60% - Accent6 13" xfId="1158" xr:uid="{00000000-0005-0000-0000-000081040000}"/>
    <cellStyle name="60% - Accent6 13 2" xfId="1159" xr:uid="{00000000-0005-0000-0000-000082040000}"/>
    <cellStyle name="60% - Accent6 14" xfId="1160" xr:uid="{00000000-0005-0000-0000-000083040000}"/>
    <cellStyle name="60% - Accent6 15" xfId="1161" xr:uid="{00000000-0005-0000-0000-000084040000}"/>
    <cellStyle name="60% - Accent6 2" xfId="1162" xr:uid="{00000000-0005-0000-0000-000085040000}"/>
    <cellStyle name="60% - Accent6 2 10" xfId="1163" xr:uid="{00000000-0005-0000-0000-000086040000}"/>
    <cellStyle name="60% - Accent6 2 11" xfId="1164" xr:uid="{00000000-0005-0000-0000-000087040000}"/>
    <cellStyle name="60% - Accent6 2 12" xfId="1165" xr:uid="{00000000-0005-0000-0000-000088040000}"/>
    <cellStyle name="60% - Accent6 2 13" xfId="1166" xr:uid="{00000000-0005-0000-0000-000089040000}"/>
    <cellStyle name="60% - Accent6 2 14" xfId="1167" xr:uid="{00000000-0005-0000-0000-00008A040000}"/>
    <cellStyle name="60% - Accent6 2 2" xfId="1168" xr:uid="{00000000-0005-0000-0000-00008B040000}"/>
    <cellStyle name="60% - Accent6 2 2 2" xfId="1169" xr:uid="{00000000-0005-0000-0000-00008C040000}"/>
    <cellStyle name="60% - Accent6 2 2 3" xfId="1170" xr:uid="{00000000-0005-0000-0000-00008D040000}"/>
    <cellStyle name="60% - Accent6 2 3" xfId="1171" xr:uid="{00000000-0005-0000-0000-00008E040000}"/>
    <cellStyle name="60% - Accent6 2 3 2" xfId="1172" xr:uid="{00000000-0005-0000-0000-00008F040000}"/>
    <cellStyle name="60% - Accent6 2 4" xfId="1173" xr:uid="{00000000-0005-0000-0000-000090040000}"/>
    <cellStyle name="60% - Accent6 2 5" xfId="1174" xr:uid="{00000000-0005-0000-0000-000091040000}"/>
    <cellStyle name="60% - Accent6 2 6" xfId="1175" xr:uid="{00000000-0005-0000-0000-000092040000}"/>
    <cellStyle name="60% - Accent6 2 7" xfId="1176" xr:uid="{00000000-0005-0000-0000-000093040000}"/>
    <cellStyle name="60% - Accent6 2 8" xfId="1177" xr:uid="{00000000-0005-0000-0000-000094040000}"/>
    <cellStyle name="60% - Accent6 2 9" xfId="1178" xr:uid="{00000000-0005-0000-0000-000095040000}"/>
    <cellStyle name="60% - Accent6 3" xfId="1179" xr:uid="{00000000-0005-0000-0000-000096040000}"/>
    <cellStyle name="60% - Accent6 3 2" xfId="1180" xr:uid="{00000000-0005-0000-0000-000097040000}"/>
    <cellStyle name="60% - Accent6 3 3" xfId="1181" xr:uid="{00000000-0005-0000-0000-000098040000}"/>
    <cellStyle name="60% - Accent6 3 4" xfId="1182" xr:uid="{00000000-0005-0000-0000-000099040000}"/>
    <cellStyle name="60% - Accent6 3 5" xfId="1183" xr:uid="{00000000-0005-0000-0000-00009A040000}"/>
    <cellStyle name="60% - Accent6 3 6" xfId="1184" xr:uid="{00000000-0005-0000-0000-00009B040000}"/>
    <cellStyle name="60% - Accent6 3 7" xfId="1185" xr:uid="{00000000-0005-0000-0000-00009C040000}"/>
    <cellStyle name="60% - Accent6 3 8" xfId="1186" xr:uid="{00000000-0005-0000-0000-00009D040000}"/>
    <cellStyle name="60% - Accent6 4" xfId="1187" xr:uid="{00000000-0005-0000-0000-00009E040000}"/>
    <cellStyle name="60% - Accent6 4 2" xfId="1188" xr:uid="{00000000-0005-0000-0000-00009F040000}"/>
    <cellStyle name="60% - Accent6 4 3" xfId="1189" xr:uid="{00000000-0005-0000-0000-0000A0040000}"/>
    <cellStyle name="60% - Accent6 4 4" xfId="1190" xr:uid="{00000000-0005-0000-0000-0000A1040000}"/>
    <cellStyle name="60% - Accent6 4 5" xfId="1191" xr:uid="{00000000-0005-0000-0000-0000A2040000}"/>
    <cellStyle name="60% - Accent6 4 6" xfId="1192" xr:uid="{00000000-0005-0000-0000-0000A3040000}"/>
    <cellStyle name="60% - Accent6 5" xfId="1193" xr:uid="{00000000-0005-0000-0000-0000A4040000}"/>
    <cellStyle name="60% - Accent6 5 2" xfId="1194" xr:uid="{00000000-0005-0000-0000-0000A5040000}"/>
    <cellStyle name="60% - Accent6 5 3" xfId="1195" xr:uid="{00000000-0005-0000-0000-0000A6040000}"/>
    <cellStyle name="60% - Accent6 5 4" xfId="1196" xr:uid="{00000000-0005-0000-0000-0000A7040000}"/>
    <cellStyle name="60% - Accent6 5 5" xfId="1197" xr:uid="{00000000-0005-0000-0000-0000A8040000}"/>
    <cellStyle name="60% - Accent6 6" xfId="1198" xr:uid="{00000000-0005-0000-0000-0000A9040000}"/>
    <cellStyle name="60% - Accent6 6 2" xfId="1199" xr:uid="{00000000-0005-0000-0000-0000AA040000}"/>
    <cellStyle name="60% - Accent6 6 3" xfId="1200" xr:uid="{00000000-0005-0000-0000-0000AB040000}"/>
    <cellStyle name="60% - Accent6 6 4" xfId="1201" xr:uid="{00000000-0005-0000-0000-0000AC040000}"/>
    <cellStyle name="60% - Accent6 7" xfId="1202" xr:uid="{00000000-0005-0000-0000-0000AD040000}"/>
    <cellStyle name="60% - Accent6 7 2" xfId="1203" xr:uid="{00000000-0005-0000-0000-0000AE040000}"/>
    <cellStyle name="60% - Accent6 7 3" xfId="1204" xr:uid="{00000000-0005-0000-0000-0000AF040000}"/>
    <cellStyle name="60% - Accent6 7 4" xfId="1205" xr:uid="{00000000-0005-0000-0000-0000B0040000}"/>
    <cellStyle name="60% - Accent6 8" xfId="1206" xr:uid="{00000000-0005-0000-0000-0000B1040000}"/>
    <cellStyle name="60% - Accent6 8 2" xfId="1207" xr:uid="{00000000-0005-0000-0000-0000B2040000}"/>
    <cellStyle name="60% - Accent6 8 3" xfId="1208" xr:uid="{00000000-0005-0000-0000-0000B3040000}"/>
    <cellStyle name="60% - Accent6 9" xfId="1209" xr:uid="{00000000-0005-0000-0000-0000B4040000}"/>
    <cellStyle name="60% - Accent6 9 2" xfId="1210" xr:uid="{00000000-0005-0000-0000-0000B5040000}"/>
    <cellStyle name="60% - Accent6 9 3" xfId="1211" xr:uid="{00000000-0005-0000-0000-0000B6040000}"/>
    <cellStyle name="60% - 강조색1" xfId="1212" xr:uid="{00000000-0005-0000-0000-0000B7040000}"/>
    <cellStyle name="60% - 강조색2" xfId="1213" xr:uid="{00000000-0005-0000-0000-0000B8040000}"/>
    <cellStyle name="60% - 강조색3" xfId="1214" xr:uid="{00000000-0005-0000-0000-0000B9040000}"/>
    <cellStyle name="60% - 강조색4" xfId="1215" xr:uid="{00000000-0005-0000-0000-0000BA040000}"/>
    <cellStyle name="60% - 강조색5" xfId="1216" xr:uid="{00000000-0005-0000-0000-0000BB040000}"/>
    <cellStyle name="60% - 강조색6" xfId="1217" xr:uid="{00000000-0005-0000-0000-0000BC040000}"/>
    <cellStyle name="75" xfId="1218" xr:uid="{00000000-0005-0000-0000-0000BD040000}"/>
    <cellStyle name="Accent1 10" xfId="1219" xr:uid="{00000000-0005-0000-0000-0000BE040000}"/>
    <cellStyle name="Accent1 10 2" xfId="1220" xr:uid="{00000000-0005-0000-0000-0000BF040000}"/>
    <cellStyle name="Accent1 10 3" xfId="1221" xr:uid="{00000000-0005-0000-0000-0000C0040000}"/>
    <cellStyle name="Accent1 11" xfId="1222" xr:uid="{00000000-0005-0000-0000-0000C1040000}"/>
    <cellStyle name="Accent1 11 2" xfId="1223" xr:uid="{00000000-0005-0000-0000-0000C2040000}"/>
    <cellStyle name="Accent1 11 3" xfId="1224" xr:uid="{00000000-0005-0000-0000-0000C3040000}"/>
    <cellStyle name="Accent1 12" xfId="1225" xr:uid="{00000000-0005-0000-0000-0000C4040000}"/>
    <cellStyle name="Accent1 12 2" xfId="1226" xr:uid="{00000000-0005-0000-0000-0000C5040000}"/>
    <cellStyle name="Accent1 13" xfId="1227" xr:uid="{00000000-0005-0000-0000-0000C6040000}"/>
    <cellStyle name="Accent1 13 2" xfId="1228" xr:uid="{00000000-0005-0000-0000-0000C7040000}"/>
    <cellStyle name="Accent1 14" xfId="1229" xr:uid="{00000000-0005-0000-0000-0000C8040000}"/>
    <cellStyle name="Accent1 15" xfId="1230" xr:uid="{00000000-0005-0000-0000-0000C9040000}"/>
    <cellStyle name="Accent1 2" xfId="1231" xr:uid="{00000000-0005-0000-0000-0000CA040000}"/>
    <cellStyle name="Accent1 2 10" xfId="1232" xr:uid="{00000000-0005-0000-0000-0000CB040000}"/>
    <cellStyle name="Accent1 2 11" xfId="1233" xr:uid="{00000000-0005-0000-0000-0000CC040000}"/>
    <cellStyle name="Accent1 2 12" xfId="1234" xr:uid="{00000000-0005-0000-0000-0000CD040000}"/>
    <cellStyle name="Accent1 2 13" xfId="1235" xr:uid="{00000000-0005-0000-0000-0000CE040000}"/>
    <cellStyle name="Accent1 2 14" xfId="1236" xr:uid="{00000000-0005-0000-0000-0000CF040000}"/>
    <cellStyle name="Accent1 2 2" xfId="1237" xr:uid="{00000000-0005-0000-0000-0000D0040000}"/>
    <cellStyle name="Accent1 2 2 2" xfId="1238" xr:uid="{00000000-0005-0000-0000-0000D1040000}"/>
    <cellStyle name="Accent1 2 2 3" xfId="1239" xr:uid="{00000000-0005-0000-0000-0000D2040000}"/>
    <cellStyle name="Accent1 2 3" xfId="1240" xr:uid="{00000000-0005-0000-0000-0000D3040000}"/>
    <cellStyle name="Accent1 2 3 2" xfId="1241" xr:uid="{00000000-0005-0000-0000-0000D4040000}"/>
    <cellStyle name="Accent1 2 4" xfId="1242" xr:uid="{00000000-0005-0000-0000-0000D5040000}"/>
    <cellStyle name="Accent1 2 5" xfId="1243" xr:uid="{00000000-0005-0000-0000-0000D6040000}"/>
    <cellStyle name="Accent1 2 6" xfId="1244" xr:uid="{00000000-0005-0000-0000-0000D7040000}"/>
    <cellStyle name="Accent1 2 7" xfId="1245" xr:uid="{00000000-0005-0000-0000-0000D8040000}"/>
    <cellStyle name="Accent1 2 8" xfId="1246" xr:uid="{00000000-0005-0000-0000-0000D9040000}"/>
    <cellStyle name="Accent1 2 9" xfId="1247" xr:uid="{00000000-0005-0000-0000-0000DA040000}"/>
    <cellStyle name="Accent1 3" xfId="1248" xr:uid="{00000000-0005-0000-0000-0000DB040000}"/>
    <cellStyle name="Accent1 3 2" xfId="1249" xr:uid="{00000000-0005-0000-0000-0000DC040000}"/>
    <cellStyle name="Accent1 3 3" xfId="1250" xr:uid="{00000000-0005-0000-0000-0000DD040000}"/>
    <cellStyle name="Accent1 3 4" xfId="1251" xr:uid="{00000000-0005-0000-0000-0000DE040000}"/>
    <cellStyle name="Accent1 3 5" xfId="1252" xr:uid="{00000000-0005-0000-0000-0000DF040000}"/>
    <cellStyle name="Accent1 3 6" xfId="1253" xr:uid="{00000000-0005-0000-0000-0000E0040000}"/>
    <cellStyle name="Accent1 3 7" xfId="1254" xr:uid="{00000000-0005-0000-0000-0000E1040000}"/>
    <cellStyle name="Accent1 3 8" xfId="1255" xr:uid="{00000000-0005-0000-0000-0000E2040000}"/>
    <cellStyle name="Accent1 4" xfId="1256" xr:uid="{00000000-0005-0000-0000-0000E3040000}"/>
    <cellStyle name="Accent1 4 2" xfId="1257" xr:uid="{00000000-0005-0000-0000-0000E4040000}"/>
    <cellStyle name="Accent1 4 3" xfId="1258" xr:uid="{00000000-0005-0000-0000-0000E5040000}"/>
    <cellStyle name="Accent1 4 4" xfId="1259" xr:uid="{00000000-0005-0000-0000-0000E6040000}"/>
    <cellStyle name="Accent1 4 5" xfId="1260" xr:uid="{00000000-0005-0000-0000-0000E7040000}"/>
    <cellStyle name="Accent1 4 6" xfId="1261" xr:uid="{00000000-0005-0000-0000-0000E8040000}"/>
    <cellStyle name="Accent1 5" xfId="1262" xr:uid="{00000000-0005-0000-0000-0000E9040000}"/>
    <cellStyle name="Accent1 5 2" xfId="1263" xr:uid="{00000000-0005-0000-0000-0000EA040000}"/>
    <cellStyle name="Accent1 5 3" xfId="1264" xr:uid="{00000000-0005-0000-0000-0000EB040000}"/>
    <cellStyle name="Accent1 5 4" xfId="1265" xr:uid="{00000000-0005-0000-0000-0000EC040000}"/>
    <cellStyle name="Accent1 5 5" xfId="1266" xr:uid="{00000000-0005-0000-0000-0000ED040000}"/>
    <cellStyle name="Accent1 6" xfId="1267" xr:uid="{00000000-0005-0000-0000-0000EE040000}"/>
    <cellStyle name="Accent1 6 2" xfId="1268" xr:uid="{00000000-0005-0000-0000-0000EF040000}"/>
    <cellStyle name="Accent1 6 3" xfId="1269" xr:uid="{00000000-0005-0000-0000-0000F0040000}"/>
    <cellStyle name="Accent1 6 4" xfId="1270" xr:uid="{00000000-0005-0000-0000-0000F1040000}"/>
    <cellStyle name="Accent1 7" xfId="1271" xr:uid="{00000000-0005-0000-0000-0000F2040000}"/>
    <cellStyle name="Accent1 7 2" xfId="1272" xr:uid="{00000000-0005-0000-0000-0000F3040000}"/>
    <cellStyle name="Accent1 7 3" xfId="1273" xr:uid="{00000000-0005-0000-0000-0000F4040000}"/>
    <cellStyle name="Accent1 7 4" xfId="1274" xr:uid="{00000000-0005-0000-0000-0000F5040000}"/>
    <cellStyle name="Accent1 8" xfId="1275" xr:uid="{00000000-0005-0000-0000-0000F6040000}"/>
    <cellStyle name="Accent1 8 2" xfId="1276" xr:uid="{00000000-0005-0000-0000-0000F7040000}"/>
    <cellStyle name="Accent1 8 3" xfId="1277" xr:uid="{00000000-0005-0000-0000-0000F8040000}"/>
    <cellStyle name="Accent1 9" xfId="1278" xr:uid="{00000000-0005-0000-0000-0000F9040000}"/>
    <cellStyle name="Accent1 9 2" xfId="1279" xr:uid="{00000000-0005-0000-0000-0000FA040000}"/>
    <cellStyle name="Accent1 9 3" xfId="1280" xr:uid="{00000000-0005-0000-0000-0000FB040000}"/>
    <cellStyle name="Accent2 10" xfId="1281" xr:uid="{00000000-0005-0000-0000-0000FC040000}"/>
    <cellStyle name="Accent2 10 2" xfId="1282" xr:uid="{00000000-0005-0000-0000-0000FD040000}"/>
    <cellStyle name="Accent2 10 3" xfId="1283" xr:uid="{00000000-0005-0000-0000-0000FE040000}"/>
    <cellStyle name="Accent2 11" xfId="1284" xr:uid="{00000000-0005-0000-0000-0000FF040000}"/>
    <cellStyle name="Accent2 11 2" xfId="1285" xr:uid="{00000000-0005-0000-0000-000000050000}"/>
    <cellStyle name="Accent2 11 3" xfId="1286" xr:uid="{00000000-0005-0000-0000-000001050000}"/>
    <cellStyle name="Accent2 12" xfId="1287" xr:uid="{00000000-0005-0000-0000-000002050000}"/>
    <cellStyle name="Accent2 12 2" xfId="1288" xr:uid="{00000000-0005-0000-0000-000003050000}"/>
    <cellStyle name="Accent2 13" xfId="1289" xr:uid="{00000000-0005-0000-0000-000004050000}"/>
    <cellStyle name="Accent2 13 2" xfId="1290" xr:uid="{00000000-0005-0000-0000-000005050000}"/>
    <cellStyle name="Accent2 14" xfId="1291" xr:uid="{00000000-0005-0000-0000-000006050000}"/>
    <cellStyle name="Accent2 15" xfId="1292" xr:uid="{00000000-0005-0000-0000-000007050000}"/>
    <cellStyle name="Accent2 2" xfId="1293" xr:uid="{00000000-0005-0000-0000-000008050000}"/>
    <cellStyle name="Accent2 2 10" xfId="1294" xr:uid="{00000000-0005-0000-0000-000009050000}"/>
    <cellStyle name="Accent2 2 11" xfId="1295" xr:uid="{00000000-0005-0000-0000-00000A050000}"/>
    <cellStyle name="Accent2 2 12" xfId="1296" xr:uid="{00000000-0005-0000-0000-00000B050000}"/>
    <cellStyle name="Accent2 2 13" xfId="1297" xr:uid="{00000000-0005-0000-0000-00000C050000}"/>
    <cellStyle name="Accent2 2 14" xfId="1298" xr:uid="{00000000-0005-0000-0000-00000D050000}"/>
    <cellStyle name="Accent2 2 2" xfId="1299" xr:uid="{00000000-0005-0000-0000-00000E050000}"/>
    <cellStyle name="Accent2 2 2 2" xfId="1300" xr:uid="{00000000-0005-0000-0000-00000F050000}"/>
    <cellStyle name="Accent2 2 2 3" xfId="1301" xr:uid="{00000000-0005-0000-0000-000010050000}"/>
    <cellStyle name="Accent2 2 3" xfId="1302" xr:uid="{00000000-0005-0000-0000-000011050000}"/>
    <cellStyle name="Accent2 2 3 2" xfId="1303" xr:uid="{00000000-0005-0000-0000-000012050000}"/>
    <cellStyle name="Accent2 2 4" xfId="1304" xr:uid="{00000000-0005-0000-0000-000013050000}"/>
    <cellStyle name="Accent2 2 5" xfId="1305" xr:uid="{00000000-0005-0000-0000-000014050000}"/>
    <cellStyle name="Accent2 2 6" xfId="1306" xr:uid="{00000000-0005-0000-0000-000015050000}"/>
    <cellStyle name="Accent2 2 7" xfId="1307" xr:uid="{00000000-0005-0000-0000-000016050000}"/>
    <cellStyle name="Accent2 2 8" xfId="1308" xr:uid="{00000000-0005-0000-0000-000017050000}"/>
    <cellStyle name="Accent2 2 9" xfId="1309" xr:uid="{00000000-0005-0000-0000-000018050000}"/>
    <cellStyle name="Accent2 3" xfId="1310" xr:uid="{00000000-0005-0000-0000-000019050000}"/>
    <cellStyle name="Accent2 3 2" xfId="1311" xr:uid="{00000000-0005-0000-0000-00001A050000}"/>
    <cellStyle name="Accent2 3 3" xfId="1312" xr:uid="{00000000-0005-0000-0000-00001B050000}"/>
    <cellStyle name="Accent2 3 4" xfId="1313" xr:uid="{00000000-0005-0000-0000-00001C050000}"/>
    <cellStyle name="Accent2 3 5" xfId="1314" xr:uid="{00000000-0005-0000-0000-00001D050000}"/>
    <cellStyle name="Accent2 3 6" xfId="1315" xr:uid="{00000000-0005-0000-0000-00001E050000}"/>
    <cellStyle name="Accent2 3 7" xfId="1316" xr:uid="{00000000-0005-0000-0000-00001F050000}"/>
    <cellStyle name="Accent2 3 8" xfId="1317" xr:uid="{00000000-0005-0000-0000-000020050000}"/>
    <cellStyle name="Accent2 4" xfId="1318" xr:uid="{00000000-0005-0000-0000-000021050000}"/>
    <cellStyle name="Accent2 4 2" xfId="1319" xr:uid="{00000000-0005-0000-0000-000022050000}"/>
    <cellStyle name="Accent2 4 3" xfId="1320" xr:uid="{00000000-0005-0000-0000-000023050000}"/>
    <cellStyle name="Accent2 4 4" xfId="1321" xr:uid="{00000000-0005-0000-0000-000024050000}"/>
    <cellStyle name="Accent2 4 5" xfId="1322" xr:uid="{00000000-0005-0000-0000-000025050000}"/>
    <cellStyle name="Accent2 4 6" xfId="1323" xr:uid="{00000000-0005-0000-0000-000026050000}"/>
    <cellStyle name="Accent2 5" xfId="1324" xr:uid="{00000000-0005-0000-0000-000027050000}"/>
    <cellStyle name="Accent2 5 2" xfId="1325" xr:uid="{00000000-0005-0000-0000-000028050000}"/>
    <cellStyle name="Accent2 5 3" xfId="1326" xr:uid="{00000000-0005-0000-0000-000029050000}"/>
    <cellStyle name="Accent2 5 4" xfId="1327" xr:uid="{00000000-0005-0000-0000-00002A050000}"/>
    <cellStyle name="Accent2 5 5" xfId="1328" xr:uid="{00000000-0005-0000-0000-00002B050000}"/>
    <cellStyle name="Accent2 6" xfId="1329" xr:uid="{00000000-0005-0000-0000-00002C050000}"/>
    <cellStyle name="Accent2 6 2" xfId="1330" xr:uid="{00000000-0005-0000-0000-00002D050000}"/>
    <cellStyle name="Accent2 6 3" xfId="1331" xr:uid="{00000000-0005-0000-0000-00002E050000}"/>
    <cellStyle name="Accent2 6 4" xfId="1332" xr:uid="{00000000-0005-0000-0000-00002F050000}"/>
    <cellStyle name="Accent2 7" xfId="1333" xr:uid="{00000000-0005-0000-0000-000030050000}"/>
    <cellStyle name="Accent2 7 2" xfId="1334" xr:uid="{00000000-0005-0000-0000-000031050000}"/>
    <cellStyle name="Accent2 7 3" xfId="1335" xr:uid="{00000000-0005-0000-0000-000032050000}"/>
    <cellStyle name="Accent2 7 4" xfId="1336" xr:uid="{00000000-0005-0000-0000-000033050000}"/>
    <cellStyle name="Accent2 8" xfId="1337" xr:uid="{00000000-0005-0000-0000-000034050000}"/>
    <cellStyle name="Accent2 8 2" xfId="1338" xr:uid="{00000000-0005-0000-0000-000035050000}"/>
    <cellStyle name="Accent2 8 3" xfId="1339" xr:uid="{00000000-0005-0000-0000-000036050000}"/>
    <cellStyle name="Accent2 9" xfId="1340" xr:uid="{00000000-0005-0000-0000-000037050000}"/>
    <cellStyle name="Accent2 9 2" xfId="1341" xr:uid="{00000000-0005-0000-0000-000038050000}"/>
    <cellStyle name="Accent2 9 3" xfId="1342" xr:uid="{00000000-0005-0000-0000-000039050000}"/>
    <cellStyle name="Accent3 10" xfId="1343" xr:uid="{00000000-0005-0000-0000-00003A050000}"/>
    <cellStyle name="Accent3 10 2" xfId="1344" xr:uid="{00000000-0005-0000-0000-00003B050000}"/>
    <cellStyle name="Accent3 10 3" xfId="1345" xr:uid="{00000000-0005-0000-0000-00003C050000}"/>
    <cellStyle name="Accent3 11" xfId="1346" xr:uid="{00000000-0005-0000-0000-00003D050000}"/>
    <cellStyle name="Accent3 11 2" xfId="1347" xr:uid="{00000000-0005-0000-0000-00003E050000}"/>
    <cellStyle name="Accent3 11 3" xfId="1348" xr:uid="{00000000-0005-0000-0000-00003F050000}"/>
    <cellStyle name="Accent3 12" xfId="1349" xr:uid="{00000000-0005-0000-0000-000040050000}"/>
    <cellStyle name="Accent3 12 2" xfId="1350" xr:uid="{00000000-0005-0000-0000-000041050000}"/>
    <cellStyle name="Accent3 13" xfId="1351" xr:uid="{00000000-0005-0000-0000-000042050000}"/>
    <cellStyle name="Accent3 13 2" xfId="1352" xr:uid="{00000000-0005-0000-0000-000043050000}"/>
    <cellStyle name="Accent3 14" xfId="1353" xr:uid="{00000000-0005-0000-0000-000044050000}"/>
    <cellStyle name="Accent3 15" xfId="1354" xr:uid="{00000000-0005-0000-0000-000045050000}"/>
    <cellStyle name="Accent3 2" xfId="1355" xr:uid="{00000000-0005-0000-0000-000046050000}"/>
    <cellStyle name="Accent3 2 10" xfId="1356" xr:uid="{00000000-0005-0000-0000-000047050000}"/>
    <cellStyle name="Accent3 2 11" xfId="1357" xr:uid="{00000000-0005-0000-0000-000048050000}"/>
    <cellStyle name="Accent3 2 12" xfId="1358" xr:uid="{00000000-0005-0000-0000-000049050000}"/>
    <cellStyle name="Accent3 2 13" xfId="1359" xr:uid="{00000000-0005-0000-0000-00004A050000}"/>
    <cellStyle name="Accent3 2 14" xfId="1360" xr:uid="{00000000-0005-0000-0000-00004B050000}"/>
    <cellStyle name="Accent3 2 2" xfId="1361" xr:uid="{00000000-0005-0000-0000-00004C050000}"/>
    <cellStyle name="Accent3 2 2 2" xfId="1362" xr:uid="{00000000-0005-0000-0000-00004D050000}"/>
    <cellStyle name="Accent3 2 2 3" xfId="1363" xr:uid="{00000000-0005-0000-0000-00004E050000}"/>
    <cellStyle name="Accent3 2 3" xfId="1364" xr:uid="{00000000-0005-0000-0000-00004F050000}"/>
    <cellStyle name="Accent3 2 3 2" xfId="1365" xr:uid="{00000000-0005-0000-0000-000050050000}"/>
    <cellStyle name="Accent3 2 4" xfId="1366" xr:uid="{00000000-0005-0000-0000-000051050000}"/>
    <cellStyle name="Accent3 2 5" xfId="1367" xr:uid="{00000000-0005-0000-0000-000052050000}"/>
    <cellStyle name="Accent3 2 6" xfId="1368" xr:uid="{00000000-0005-0000-0000-000053050000}"/>
    <cellStyle name="Accent3 2 7" xfId="1369" xr:uid="{00000000-0005-0000-0000-000054050000}"/>
    <cellStyle name="Accent3 2 8" xfId="1370" xr:uid="{00000000-0005-0000-0000-000055050000}"/>
    <cellStyle name="Accent3 2 9" xfId="1371" xr:uid="{00000000-0005-0000-0000-000056050000}"/>
    <cellStyle name="Accent3 3" xfId="1372" xr:uid="{00000000-0005-0000-0000-000057050000}"/>
    <cellStyle name="Accent3 3 2" xfId="1373" xr:uid="{00000000-0005-0000-0000-000058050000}"/>
    <cellStyle name="Accent3 3 3" xfId="1374" xr:uid="{00000000-0005-0000-0000-000059050000}"/>
    <cellStyle name="Accent3 3 4" xfId="1375" xr:uid="{00000000-0005-0000-0000-00005A050000}"/>
    <cellStyle name="Accent3 3 5" xfId="1376" xr:uid="{00000000-0005-0000-0000-00005B050000}"/>
    <cellStyle name="Accent3 3 6" xfId="1377" xr:uid="{00000000-0005-0000-0000-00005C050000}"/>
    <cellStyle name="Accent3 3 7" xfId="1378" xr:uid="{00000000-0005-0000-0000-00005D050000}"/>
    <cellStyle name="Accent3 3 8" xfId="1379" xr:uid="{00000000-0005-0000-0000-00005E050000}"/>
    <cellStyle name="Accent3 4" xfId="1380" xr:uid="{00000000-0005-0000-0000-00005F050000}"/>
    <cellStyle name="Accent3 4 2" xfId="1381" xr:uid="{00000000-0005-0000-0000-000060050000}"/>
    <cellStyle name="Accent3 4 3" xfId="1382" xr:uid="{00000000-0005-0000-0000-000061050000}"/>
    <cellStyle name="Accent3 4 4" xfId="1383" xr:uid="{00000000-0005-0000-0000-000062050000}"/>
    <cellStyle name="Accent3 4 5" xfId="1384" xr:uid="{00000000-0005-0000-0000-000063050000}"/>
    <cellStyle name="Accent3 4 6" xfId="1385" xr:uid="{00000000-0005-0000-0000-000064050000}"/>
    <cellStyle name="Accent3 5" xfId="1386" xr:uid="{00000000-0005-0000-0000-000065050000}"/>
    <cellStyle name="Accent3 5 2" xfId="1387" xr:uid="{00000000-0005-0000-0000-000066050000}"/>
    <cellStyle name="Accent3 5 3" xfId="1388" xr:uid="{00000000-0005-0000-0000-000067050000}"/>
    <cellStyle name="Accent3 5 4" xfId="1389" xr:uid="{00000000-0005-0000-0000-000068050000}"/>
    <cellStyle name="Accent3 5 5" xfId="1390" xr:uid="{00000000-0005-0000-0000-000069050000}"/>
    <cellStyle name="Accent3 6" xfId="1391" xr:uid="{00000000-0005-0000-0000-00006A050000}"/>
    <cellStyle name="Accent3 6 2" xfId="1392" xr:uid="{00000000-0005-0000-0000-00006B050000}"/>
    <cellStyle name="Accent3 6 3" xfId="1393" xr:uid="{00000000-0005-0000-0000-00006C050000}"/>
    <cellStyle name="Accent3 6 4" xfId="1394" xr:uid="{00000000-0005-0000-0000-00006D050000}"/>
    <cellStyle name="Accent3 7" xfId="1395" xr:uid="{00000000-0005-0000-0000-00006E050000}"/>
    <cellStyle name="Accent3 7 2" xfId="1396" xr:uid="{00000000-0005-0000-0000-00006F050000}"/>
    <cellStyle name="Accent3 7 3" xfId="1397" xr:uid="{00000000-0005-0000-0000-000070050000}"/>
    <cellStyle name="Accent3 7 4" xfId="1398" xr:uid="{00000000-0005-0000-0000-000071050000}"/>
    <cellStyle name="Accent3 8" xfId="1399" xr:uid="{00000000-0005-0000-0000-000072050000}"/>
    <cellStyle name="Accent3 8 2" xfId="1400" xr:uid="{00000000-0005-0000-0000-000073050000}"/>
    <cellStyle name="Accent3 8 3" xfId="1401" xr:uid="{00000000-0005-0000-0000-000074050000}"/>
    <cellStyle name="Accent3 9" xfId="1402" xr:uid="{00000000-0005-0000-0000-000075050000}"/>
    <cellStyle name="Accent3 9 2" xfId="1403" xr:uid="{00000000-0005-0000-0000-000076050000}"/>
    <cellStyle name="Accent3 9 3" xfId="1404" xr:uid="{00000000-0005-0000-0000-000077050000}"/>
    <cellStyle name="Accent4 10" xfId="1405" xr:uid="{00000000-0005-0000-0000-000078050000}"/>
    <cellStyle name="Accent4 10 2" xfId="1406" xr:uid="{00000000-0005-0000-0000-000079050000}"/>
    <cellStyle name="Accent4 10 3" xfId="1407" xr:uid="{00000000-0005-0000-0000-00007A050000}"/>
    <cellStyle name="Accent4 11" xfId="1408" xr:uid="{00000000-0005-0000-0000-00007B050000}"/>
    <cellStyle name="Accent4 11 2" xfId="1409" xr:uid="{00000000-0005-0000-0000-00007C050000}"/>
    <cellStyle name="Accent4 11 3" xfId="1410" xr:uid="{00000000-0005-0000-0000-00007D050000}"/>
    <cellStyle name="Accent4 12" xfId="1411" xr:uid="{00000000-0005-0000-0000-00007E050000}"/>
    <cellStyle name="Accent4 12 2" xfId="1412" xr:uid="{00000000-0005-0000-0000-00007F050000}"/>
    <cellStyle name="Accent4 13" xfId="1413" xr:uid="{00000000-0005-0000-0000-000080050000}"/>
    <cellStyle name="Accent4 13 2" xfId="1414" xr:uid="{00000000-0005-0000-0000-000081050000}"/>
    <cellStyle name="Accent4 14" xfId="1415" xr:uid="{00000000-0005-0000-0000-000082050000}"/>
    <cellStyle name="Accent4 15" xfId="1416" xr:uid="{00000000-0005-0000-0000-000083050000}"/>
    <cellStyle name="Accent4 2" xfId="1417" xr:uid="{00000000-0005-0000-0000-000084050000}"/>
    <cellStyle name="Accent4 2 10" xfId="1418" xr:uid="{00000000-0005-0000-0000-000085050000}"/>
    <cellStyle name="Accent4 2 11" xfId="1419" xr:uid="{00000000-0005-0000-0000-000086050000}"/>
    <cellStyle name="Accent4 2 12" xfId="1420" xr:uid="{00000000-0005-0000-0000-000087050000}"/>
    <cellStyle name="Accent4 2 13" xfId="1421" xr:uid="{00000000-0005-0000-0000-000088050000}"/>
    <cellStyle name="Accent4 2 14" xfId="1422" xr:uid="{00000000-0005-0000-0000-000089050000}"/>
    <cellStyle name="Accent4 2 2" xfId="1423" xr:uid="{00000000-0005-0000-0000-00008A050000}"/>
    <cellStyle name="Accent4 2 2 2" xfId="1424" xr:uid="{00000000-0005-0000-0000-00008B050000}"/>
    <cellStyle name="Accent4 2 2 3" xfId="1425" xr:uid="{00000000-0005-0000-0000-00008C050000}"/>
    <cellStyle name="Accent4 2 3" xfId="1426" xr:uid="{00000000-0005-0000-0000-00008D050000}"/>
    <cellStyle name="Accent4 2 3 2" xfId="1427" xr:uid="{00000000-0005-0000-0000-00008E050000}"/>
    <cellStyle name="Accent4 2 4" xfId="1428" xr:uid="{00000000-0005-0000-0000-00008F050000}"/>
    <cellStyle name="Accent4 2 5" xfId="1429" xr:uid="{00000000-0005-0000-0000-000090050000}"/>
    <cellStyle name="Accent4 2 6" xfId="1430" xr:uid="{00000000-0005-0000-0000-000091050000}"/>
    <cellStyle name="Accent4 2 7" xfId="1431" xr:uid="{00000000-0005-0000-0000-000092050000}"/>
    <cellStyle name="Accent4 2 8" xfId="1432" xr:uid="{00000000-0005-0000-0000-000093050000}"/>
    <cellStyle name="Accent4 2 9" xfId="1433" xr:uid="{00000000-0005-0000-0000-000094050000}"/>
    <cellStyle name="Accent4 3" xfId="1434" xr:uid="{00000000-0005-0000-0000-000095050000}"/>
    <cellStyle name="Accent4 3 2" xfId="1435" xr:uid="{00000000-0005-0000-0000-000096050000}"/>
    <cellStyle name="Accent4 3 3" xfId="1436" xr:uid="{00000000-0005-0000-0000-000097050000}"/>
    <cellStyle name="Accent4 3 4" xfId="1437" xr:uid="{00000000-0005-0000-0000-000098050000}"/>
    <cellStyle name="Accent4 3 5" xfId="1438" xr:uid="{00000000-0005-0000-0000-000099050000}"/>
    <cellStyle name="Accent4 3 6" xfId="1439" xr:uid="{00000000-0005-0000-0000-00009A050000}"/>
    <cellStyle name="Accent4 3 7" xfId="1440" xr:uid="{00000000-0005-0000-0000-00009B050000}"/>
    <cellStyle name="Accent4 3 8" xfId="1441" xr:uid="{00000000-0005-0000-0000-00009C050000}"/>
    <cellStyle name="Accent4 4" xfId="1442" xr:uid="{00000000-0005-0000-0000-00009D050000}"/>
    <cellStyle name="Accent4 4 2" xfId="1443" xr:uid="{00000000-0005-0000-0000-00009E050000}"/>
    <cellStyle name="Accent4 4 3" xfId="1444" xr:uid="{00000000-0005-0000-0000-00009F050000}"/>
    <cellStyle name="Accent4 4 4" xfId="1445" xr:uid="{00000000-0005-0000-0000-0000A0050000}"/>
    <cellStyle name="Accent4 4 5" xfId="1446" xr:uid="{00000000-0005-0000-0000-0000A1050000}"/>
    <cellStyle name="Accent4 4 6" xfId="1447" xr:uid="{00000000-0005-0000-0000-0000A2050000}"/>
    <cellStyle name="Accent4 5" xfId="1448" xr:uid="{00000000-0005-0000-0000-0000A3050000}"/>
    <cellStyle name="Accent4 5 2" xfId="1449" xr:uid="{00000000-0005-0000-0000-0000A4050000}"/>
    <cellStyle name="Accent4 5 3" xfId="1450" xr:uid="{00000000-0005-0000-0000-0000A5050000}"/>
    <cellStyle name="Accent4 5 4" xfId="1451" xr:uid="{00000000-0005-0000-0000-0000A6050000}"/>
    <cellStyle name="Accent4 5 5" xfId="1452" xr:uid="{00000000-0005-0000-0000-0000A7050000}"/>
    <cellStyle name="Accent4 6" xfId="1453" xr:uid="{00000000-0005-0000-0000-0000A8050000}"/>
    <cellStyle name="Accent4 6 2" xfId="1454" xr:uid="{00000000-0005-0000-0000-0000A9050000}"/>
    <cellStyle name="Accent4 6 3" xfId="1455" xr:uid="{00000000-0005-0000-0000-0000AA050000}"/>
    <cellStyle name="Accent4 6 4" xfId="1456" xr:uid="{00000000-0005-0000-0000-0000AB050000}"/>
    <cellStyle name="Accent4 7" xfId="1457" xr:uid="{00000000-0005-0000-0000-0000AC050000}"/>
    <cellStyle name="Accent4 7 2" xfId="1458" xr:uid="{00000000-0005-0000-0000-0000AD050000}"/>
    <cellStyle name="Accent4 7 3" xfId="1459" xr:uid="{00000000-0005-0000-0000-0000AE050000}"/>
    <cellStyle name="Accent4 7 4" xfId="1460" xr:uid="{00000000-0005-0000-0000-0000AF050000}"/>
    <cellStyle name="Accent4 8" xfId="1461" xr:uid="{00000000-0005-0000-0000-0000B0050000}"/>
    <cellStyle name="Accent4 8 2" xfId="1462" xr:uid="{00000000-0005-0000-0000-0000B1050000}"/>
    <cellStyle name="Accent4 8 3" xfId="1463" xr:uid="{00000000-0005-0000-0000-0000B2050000}"/>
    <cellStyle name="Accent4 9" xfId="1464" xr:uid="{00000000-0005-0000-0000-0000B3050000}"/>
    <cellStyle name="Accent4 9 2" xfId="1465" xr:uid="{00000000-0005-0000-0000-0000B4050000}"/>
    <cellStyle name="Accent4 9 3" xfId="1466" xr:uid="{00000000-0005-0000-0000-0000B5050000}"/>
    <cellStyle name="Accent5 10" xfId="1467" xr:uid="{00000000-0005-0000-0000-0000B6050000}"/>
    <cellStyle name="Accent5 10 2" xfId="1468" xr:uid="{00000000-0005-0000-0000-0000B7050000}"/>
    <cellStyle name="Accent5 10 3" xfId="1469" xr:uid="{00000000-0005-0000-0000-0000B8050000}"/>
    <cellStyle name="Accent5 11" xfId="1470" xr:uid="{00000000-0005-0000-0000-0000B9050000}"/>
    <cellStyle name="Accent5 11 2" xfId="1471" xr:uid="{00000000-0005-0000-0000-0000BA050000}"/>
    <cellStyle name="Accent5 11 3" xfId="1472" xr:uid="{00000000-0005-0000-0000-0000BB050000}"/>
    <cellStyle name="Accent5 12" xfId="1473" xr:uid="{00000000-0005-0000-0000-0000BC050000}"/>
    <cellStyle name="Accent5 12 2" xfId="1474" xr:uid="{00000000-0005-0000-0000-0000BD050000}"/>
    <cellStyle name="Accent5 13" xfId="1475" xr:uid="{00000000-0005-0000-0000-0000BE050000}"/>
    <cellStyle name="Accent5 13 2" xfId="1476" xr:uid="{00000000-0005-0000-0000-0000BF050000}"/>
    <cellStyle name="Accent5 14" xfId="1477" xr:uid="{00000000-0005-0000-0000-0000C0050000}"/>
    <cellStyle name="Accent5 15" xfId="1478" xr:uid="{00000000-0005-0000-0000-0000C1050000}"/>
    <cellStyle name="Accent5 2" xfId="1479" xr:uid="{00000000-0005-0000-0000-0000C2050000}"/>
    <cellStyle name="Accent5 2 10" xfId="1480" xr:uid="{00000000-0005-0000-0000-0000C3050000}"/>
    <cellStyle name="Accent5 2 11" xfId="1481" xr:uid="{00000000-0005-0000-0000-0000C4050000}"/>
    <cellStyle name="Accent5 2 12" xfId="1482" xr:uid="{00000000-0005-0000-0000-0000C5050000}"/>
    <cellStyle name="Accent5 2 13" xfId="1483" xr:uid="{00000000-0005-0000-0000-0000C6050000}"/>
    <cellStyle name="Accent5 2 14" xfId="1484" xr:uid="{00000000-0005-0000-0000-0000C7050000}"/>
    <cellStyle name="Accent5 2 2" xfId="1485" xr:uid="{00000000-0005-0000-0000-0000C8050000}"/>
    <cellStyle name="Accent5 2 2 2" xfId="1486" xr:uid="{00000000-0005-0000-0000-0000C9050000}"/>
    <cellStyle name="Accent5 2 2 3" xfId="1487" xr:uid="{00000000-0005-0000-0000-0000CA050000}"/>
    <cellStyle name="Accent5 2 3" xfId="1488" xr:uid="{00000000-0005-0000-0000-0000CB050000}"/>
    <cellStyle name="Accent5 2 3 2" xfId="1489" xr:uid="{00000000-0005-0000-0000-0000CC050000}"/>
    <cellStyle name="Accent5 2 4" xfId="1490" xr:uid="{00000000-0005-0000-0000-0000CD050000}"/>
    <cellStyle name="Accent5 2 5" xfId="1491" xr:uid="{00000000-0005-0000-0000-0000CE050000}"/>
    <cellStyle name="Accent5 2 6" xfId="1492" xr:uid="{00000000-0005-0000-0000-0000CF050000}"/>
    <cellStyle name="Accent5 2 7" xfId="1493" xr:uid="{00000000-0005-0000-0000-0000D0050000}"/>
    <cellStyle name="Accent5 2 8" xfId="1494" xr:uid="{00000000-0005-0000-0000-0000D1050000}"/>
    <cellStyle name="Accent5 2 9" xfId="1495" xr:uid="{00000000-0005-0000-0000-0000D2050000}"/>
    <cellStyle name="Accent5 3" xfId="1496" xr:uid="{00000000-0005-0000-0000-0000D3050000}"/>
    <cellStyle name="Accent5 3 2" xfId="1497" xr:uid="{00000000-0005-0000-0000-0000D4050000}"/>
    <cellStyle name="Accent5 3 3" xfId="1498" xr:uid="{00000000-0005-0000-0000-0000D5050000}"/>
    <cellStyle name="Accent5 3 4" xfId="1499" xr:uid="{00000000-0005-0000-0000-0000D6050000}"/>
    <cellStyle name="Accent5 3 5" xfId="1500" xr:uid="{00000000-0005-0000-0000-0000D7050000}"/>
    <cellStyle name="Accent5 3 6" xfId="1501" xr:uid="{00000000-0005-0000-0000-0000D8050000}"/>
    <cellStyle name="Accent5 3 7" xfId="1502" xr:uid="{00000000-0005-0000-0000-0000D9050000}"/>
    <cellStyle name="Accent5 3 8" xfId="1503" xr:uid="{00000000-0005-0000-0000-0000DA050000}"/>
    <cellStyle name="Accent5 4" xfId="1504" xr:uid="{00000000-0005-0000-0000-0000DB050000}"/>
    <cellStyle name="Accent5 4 2" xfId="1505" xr:uid="{00000000-0005-0000-0000-0000DC050000}"/>
    <cellStyle name="Accent5 4 3" xfId="1506" xr:uid="{00000000-0005-0000-0000-0000DD050000}"/>
    <cellStyle name="Accent5 4 4" xfId="1507" xr:uid="{00000000-0005-0000-0000-0000DE050000}"/>
    <cellStyle name="Accent5 4 5" xfId="1508" xr:uid="{00000000-0005-0000-0000-0000DF050000}"/>
    <cellStyle name="Accent5 4 6" xfId="1509" xr:uid="{00000000-0005-0000-0000-0000E0050000}"/>
    <cellStyle name="Accent5 5" xfId="1510" xr:uid="{00000000-0005-0000-0000-0000E1050000}"/>
    <cellStyle name="Accent5 5 2" xfId="1511" xr:uid="{00000000-0005-0000-0000-0000E2050000}"/>
    <cellStyle name="Accent5 5 3" xfId="1512" xr:uid="{00000000-0005-0000-0000-0000E3050000}"/>
    <cellStyle name="Accent5 5 4" xfId="1513" xr:uid="{00000000-0005-0000-0000-0000E4050000}"/>
    <cellStyle name="Accent5 5 5" xfId="1514" xr:uid="{00000000-0005-0000-0000-0000E5050000}"/>
    <cellStyle name="Accent5 6" xfId="1515" xr:uid="{00000000-0005-0000-0000-0000E6050000}"/>
    <cellStyle name="Accent5 6 2" xfId="1516" xr:uid="{00000000-0005-0000-0000-0000E7050000}"/>
    <cellStyle name="Accent5 6 3" xfId="1517" xr:uid="{00000000-0005-0000-0000-0000E8050000}"/>
    <cellStyle name="Accent5 6 4" xfId="1518" xr:uid="{00000000-0005-0000-0000-0000E9050000}"/>
    <cellStyle name="Accent5 7" xfId="1519" xr:uid="{00000000-0005-0000-0000-0000EA050000}"/>
    <cellStyle name="Accent5 7 2" xfId="1520" xr:uid="{00000000-0005-0000-0000-0000EB050000}"/>
    <cellStyle name="Accent5 7 3" xfId="1521" xr:uid="{00000000-0005-0000-0000-0000EC050000}"/>
    <cellStyle name="Accent5 7 4" xfId="1522" xr:uid="{00000000-0005-0000-0000-0000ED050000}"/>
    <cellStyle name="Accent5 8" xfId="1523" xr:uid="{00000000-0005-0000-0000-0000EE050000}"/>
    <cellStyle name="Accent5 8 2" xfId="1524" xr:uid="{00000000-0005-0000-0000-0000EF050000}"/>
    <cellStyle name="Accent5 8 3" xfId="1525" xr:uid="{00000000-0005-0000-0000-0000F0050000}"/>
    <cellStyle name="Accent5 9" xfId="1526" xr:uid="{00000000-0005-0000-0000-0000F1050000}"/>
    <cellStyle name="Accent5 9 2" xfId="1527" xr:uid="{00000000-0005-0000-0000-0000F2050000}"/>
    <cellStyle name="Accent5 9 3" xfId="1528" xr:uid="{00000000-0005-0000-0000-0000F3050000}"/>
    <cellStyle name="Accent6 10" xfId="1529" xr:uid="{00000000-0005-0000-0000-0000F4050000}"/>
    <cellStyle name="Accent6 10 2" xfId="1530" xr:uid="{00000000-0005-0000-0000-0000F5050000}"/>
    <cellStyle name="Accent6 10 3" xfId="1531" xr:uid="{00000000-0005-0000-0000-0000F6050000}"/>
    <cellStyle name="Accent6 11" xfId="1532" xr:uid="{00000000-0005-0000-0000-0000F7050000}"/>
    <cellStyle name="Accent6 11 2" xfId="1533" xr:uid="{00000000-0005-0000-0000-0000F8050000}"/>
    <cellStyle name="Accent6 11 3" xfId="1534" xr:uid="{00000000-0005-0000-0000-0000F9050000}"/>
    <cellStyle name="Accent6 12" xfId="1535" xr:uid="{00000000-0005-0000-0000-0000FA050000}"/>
    <cellStyle name="Accent6 12 2" xfId="1536" xr:uid="{00000000-0005-0000-0000-0000FB050000}"/>
    <cellStyle name="Accent6 13" xfId="1537" xr:uid="{00000000-0005-0000-0000-0000FC050000}"/>
    <cellStyle name="Accent6 13 2" xfId="1538" xr:uid="{00000000-0005-0000-0000-0000FD050000}"/>
    <cellStyle name="Accent6 14" xfId="1539" xr:uid="{00000000-0005-0000-0000-0000FE050000}"/>
    <cellStyle name="Accent6 15" xfId="1540" xr:uid="{00000000-0005-0000-0000-0000FF050000}"/>
    <cellStyle name="Accent6 2" xfId="1541" xr:uid="{00000000-0005-0000-0000-000000060000}"/>
    <cellStyle name="Accent6 2 10" xfId="1542" xr:uid="{00000000-0005-0000-0000-000001060000}"/>
    <cellStyle name="Accent6 2 11" xfId="1543" xr:uid="{00000000-0005-0000-0000-000002060000}"/>
    <cellStyle name="Accent6 2 12" xfId="1544" xr:uid="{00000000-0005-0000-0000-000003060000}"/>
    <cellStyle name="Accent6 2 13" xfId="1545" xr:uid="{00000000-0005-0000-0000-000004060000}"/>
    <cellStyle name="Accent6 2 14" xfId="1546" xr:uid="{00000000-0005-0000-0000-000005060000}"/>
    <cellStyle name="Accent6 2 2" xfId="1547" xr:uid="{00000000-0005-0000-0000-000006060000}"/>
    <cellStyle name="Accent6 2 2 2" xfId="1548" xr:uid="{00000000-0005-0000-0000-000007060000}"/>
    <cellStyle name="Accent6 2 2 3" xfId="1549" xr:uid="{00000000-0005-0000-0000-000008060000}"/>
    <cellStyle name="Accent6 2 3" xfId="1550" xr:uid="{00000000-0005-0000-0000-000009060000}"/>
    <cellStyle name="Accent6 2 3 2" xfId="1551" xr:uid="{00000000-0005-0000-0000-00000A060000}"/>
    <cellStyle name="Accent6 2 4" xfId="1552" xr:uid="{00000000-0005-0000-0000-00000B060000}"/>
    <cellStyle name="Accent6 2 5" xfId="1553" xr:uid="{00000000-0005-0000-0000-00000C060000}"/>
    <cellStyle name="Accent6 2 6" xfId="1554" xr:uid="{00000000-0005-0000-0000-00000D060000}"/>
    <cellStyle name="Accent6 2 7" xfId="1555" xr:uid="{00000000-0005-0000-0000-00000E060000}"/>
    <cellStyle name="Accent6 2 8" xfId="1556" xr:uid="{00000000-0005-0000-0000-00000F060000}"/>
    <cellStyle name="Accent6 2 9" xfId="1557" xr:uid="{00000000-0005-0000-0000-000010060000}"/>
    <cellStyle name="Accent6 3" xfId="1558" xr:uid="{00000000-0005-0000-0000-000011060000}"/>
    <cellStyle name="Accent6 3 2" xfId="1559" xr:uid="{00000000-0005-0000-0000-000012060000}"/>
    <cellStyle name="Accent6 3 3" xfId="1560" xr:uid="{00000000-0005-0000-0000-000013060000}"/>
    <cellStyle name="Accent6 3 4" xfId="1561" xr:uid="{00000000-0005-0000-0000-000014060000}"/>
    <cellStyle name="Accent6 3 5" xfId="1562" xr:uid="{00000000-0005-0000-0000-000015060000}"/>
    <cellStyle name="Accent6 3 6" xfId="1563" xr:uid="{00000000-0005-0000-0000-000016060000}"/>
    <cellStyle name="Accent6 3 7" xfId="1564" xr:uid="{00000000-0005-0000-0000-000017060000}"/>
    <cellStyle name="Accent6 3 8" xfId="1565" xr:uid="{00000000-0005-0000-0000-000018060000}"/>
    <cellStyle name="Accent6 4" xfId="1566" xr:uid="{00000000-0005-0000-0000-000019060000}"/>
    <cellStyle name="Accent6 4 2" xfId="1567" xr:uid="{00000000-0005-0000-0000-00001A060000}"/>
    <cellStyle name="Accent6 4 3" xfId="1568" xr:uid="{00000000-0005-0000-0000-00001B060000}"/>
    <cellStyle name="Accent6 4 4" xfId="1569" xr:uid="{00000000-0005-0000-0000-00001C060000}"/>
    <cellStyle name="Accent6 4 5" xfId="1570" xr:uid="{00000000-0005-0000-0000-00001D060000}"/>
    <cellStyle name="Accent6 4 6" xfId="1571" xr:uid="{00000000-0005-0000-0000-00001E060000}"/>
    <cellStyle name="Accent6 5" xfId="1572" xr:uid="{00000000-0005-0000-0000-00001F060000}"/>
    <cellStyle name="Accent6 5 2" xfId="1573" xr:uid="{00000000-0005-0000-0000-000020060000}"/>
    <cellStyle name="Accent6 5 3" xfId="1574" xr:uid="{00000000-0005-0000-0000-000021060000}"/>
    <cellStyle name="Accent6 5 4" xfId="1575" xr:uid="{00000000-0005-0000-0000-000022060000}"/>
    <cellStyle name="Accent6 5 5" xfId="1576" xr:uid="{00000000-0005-0000-0000-000023060000}"/>
    <cellStyle name="Accent6 6" xfId="1577" xr:uid="{00000000-0005-0000-0000-000024060000}"/>
    <cellStyle name="Accent6 6 2" xfId="1578" xr:uid="{00000000-0005-0000-0000-000025060000}"/>
    <cellStyle name="Accent6 6 3" xfId="1579" xr:uid="{00000000-0005-0000-0000-000026060000}"/>
    <cellStyle name="Accent6 6 4" xfId="1580" xr:uid="{00000000-0005-0000-0000-000027060000}"/>
    <cellStyle name="Accent6 7" xfId="1581" xr:uid="{00000000-0005-0000-0000-000028060000}"/>
    <cellStyle name="Accent6 7 2" xfId="1582" xr:uid="{00000000-0005-0000-0000-000029060000}"/>
    <cellStyle name="Accent6 7 3" xfId="1583" xr:uid="{00000000-0005-0000-0000-00002A060000}"/>
    <cellStyle name="Accent6 7 4" xfId="1584" xr:uid="{00000000-0005-0000-0000-00002B060000}"/>
    <cellStyle name="Accent6 8" xfId="1585" xr:uid="{00000000-0005-0000-0000-00002C060000}"/>
    <cellStyle name="Accent6 8 2" xfId="1586" xr:uid="{00000000-0005-0000-0000-00002D060000}"/>
    <cellStyle name="Accent6 8 3" xfId="1587" xr:uid="{00000000-0005-0000-0000-00002E060000}"/>
    <cellStyle name="Accent6 9" xfId="1588" xr:uid="{00000000-0005-0000-0000-00002F060000}"/>
    <cellStyle name="Accent6 9 2" xfId="1589" xr:uid="{00000000-0005-0000-0000-000030060000}"/>
    <cellStyle name="Accent6 9 3" xfId="1590" xr:uid="{00000000-0005-0000-0000-000031060000}"/>
    <cellStyle name="AutoFormat Options" xfId="1591" xr:uid="{00000000-0005-0000-0000-000032060000}"/>
    <cellStyle name="Bad 10" xfId="1592" xr:uid="{00000000-0005-0000-0000-000033060000}"/>
    <cellStyle name="Bad 10 2" xfId="1593" xr:uid="{00000000-0005-0000-0000-000034060000}"/>
    <cellStyle name="Bad 10 3" xfId="1594" xr:uid="{00000000-0005-0000-0000-000035060000}"/>
    <cellStyle name="Bad 11" xfId="1595" xr:uid="{00000000-0005-0000-0000-000036060000}"/>
    <cellStyle name="Bad 11 2" xfId="1596" xr:uid="{00000000-0005-0000-0000-000037060000}"/>
    <cellStyle name="Bad 11 3" xfId="1597" xr:uid="{00000000-0005-0000-0000-000038060000}"/>
    <cellStyle name="Bad 12" xfId="1598" xr:uid="{00000000-0005-0000-0000-000039060000}"/>
    <cellStyle name="Bad 12 2" xfId="1599" xr:uid="{00000000-0005-0000-0000-00003A060000}"/>
    <cellStyle name="Bad 13" xfId="1600" xr:uid="{00000000-0005-0000-0000-00003B060000}"/>
    <cellStyle name="Bad 13 2" xfId="1601" xr:uid="{00000000-0005-0000-0000-00003C060000}"/>
    <cellStyle name="Bad 14" xfId="1602" xr:uid="{00000000-0005-0000-0000-00003D060000}"/>
    <cellStyle name="Bad 15" xfId="1603" xr:uid="{00000000-0005-0000-0000-00003E060000}"/>
    <cellStyle name="Bad 2" xfId="1604" xr:uid="{00000000-0005-0000-0000-00003F060000}"/>
    <cellStyle name="Bad 2 10" xfId="1605" xr:uid="{00000000-0005-0000-0000-000040060000}"/>
    <cellStyle name="Bad 2 11" xfId="1606" xr:uid="{00000000-0005-0000-0000-000041060000}"/>
    <cellStyle name="Bad 2 12" xfId="1607" xr:uid="{00000000-0005-0000-0000-000042060000}"/>
    <cellStyle name="Bad 2 13" xfId="1608" xr:uid="{00000000-0005-0000-0000-000043060000}"/>
    <cellStyle name="Bad 2 14" xfId="1609" xr:uid="{00000000-0005-0000-0000-000044060000}"/>
    <cellStyle name="Bad 2 2" xfId="1610" xr:uid="{00000000-0005-0000-0000-000045060000}"/>
    <cellStyle name="Bad 2 2 2" xfId="1611" xr:uid="{00000000-0005-0000-0000-000046060000}"/>
    <cellStyle name="Bad 2 2 3" xfId="1612" xr:uid="{00000000-0005-0000-0000-000047060000}"/>
    <cellStyle name="Bad 2 3" xfId="1613" xr:uid="{00000000-0005-0000-0000-000048060000}"/>
    <cellStyle name="Bad 2 3 2" xfId="1614" xr:uid="{00000000-0005-0000-0000-000049060000}"/>
    <cellStyle name="Bad 2 4" xfId="1615" xr:uid="{00000000-0005-0000-0000-00004A060000}"/>
    <cellStyle name="Bad 2 5" xfId="1616" xr:uid="{00000000-0005-0000-0000-00004B060000}"/>
    <cellStyle name="Bad 2 6" xfId="1617" xr:uid="{00000000-0005-0000-0000-00004C060000}"/>
    <cellStyle name="Bad 2 7" xfId="1618" xr:uid="{00000000-0005-0000-0000-00004D060000}"/>
    <cellStyle name="Bad 2 8" xfId="1619" xr:uid="{00000000-0005-0000-0000-00004E060000}"/>
    <cellStyle name="Bad 2 9" xfId="1620" xr:uid="{00000000-0005-0000-0000-00004F060000}"/>
    <cellStyle name="Bad 3" xfId="1621" xr:uid="{00000000-0005-0000-0000-000050060000}"/>
    <cellStyle name="Bad 3 2" xfId="1622" xr:uid="{00000000-0005-0000-0000-000051060000}"/>
    <cellStyle name="Bad 3 3" xfId="1623" xr:uid="{00000000-0005-0000-0000-000052060000}"/>
    <cellStyle name="Bad 3 4" xfId="1624" xr:uid="{00000000-0005-0000-0000-000053060000}"/>
    <cellStyle name="Bad 3 5" xfId="1625" xr:uid="{00000000-0005-0000-0000-000054060000}"/>
    <cellStyle name="Bad 3 6" xfId="1626" xr:uid="{00000000-0005-0000-0000-000055060000}"/>
    <cellStyle name="Bad 3 7" xfId="1627" xr:uid="{00000000-0005-0000-0000-000056060000}"/>
    <cellStyle name="Bad 3 8" xfId="1628" xr:uid="{00000000-0005-0000-0000-000057060000}"/>
    <cellStyle name="Bad 4" xfId="1629" xr:uid="{00000000-0005-0000-0000-000058060000}"/>
    <cellStyle name="Bad 4 2" xfId="1630" xr:uid="{00000000-0005-0000-0000-000059060000}"/>
    <cellStyle name="Bad 4 3" xfId="1631" xr:uid="{00000000-0005-0000-0000-00005A060000}"/>
    <cellStyle name="Bad 4 4" xfId="1632" xr:uid="{00000000-0005-0000-0000-00005B060000}"/>
    <cellStyle name="Bad 4 5" xfId="1633" xr:uid="{00000000-0005-0000-0000-00005C060000}"/>
    <cellStyle name="Bad 4 6" xfId="1634" xr:uid="{00000000-0005-0000-0000-00005D060000}"/>
    <cellStyle name="Bad 5" xfId="1635" xr:uid="{00000000-0005-0000-0000-00005E060000}"/>
    <cellStyle name="Bad 5 2" xfId="1636" xr:uid="{00000000-0005-0000-0000-00005F060000}"/>
    <cellStyle name="Bad 5 3" xfId="1637" xr:uid="{00000000-0005-0000-0000-000060060000}"/>
    <cellStyle name="Bad 5 4" xfId="1638" xr:uid="{00000000-0005-0000-0000-000061060000}"/>
    <cellStyle name="Bad 5 5" xfId="1639" xr:uid="{00000000-0005-0000-0000-000062060000}"/>
    <cellStyle name="Bad 6" xfId="1640" xr:uid="{00000000-0005-0000-0000-000063060000}"/>
    <cellStyle name="Bad 6 2" xfId="1641" xr:uid="{00000000-0005-0000-0000-000064060000}"/>
    <cellStyle name="Bad 6 3" xfId="1642" xr:uid="{00000000-0005-0000-0000-000065060000}"/>
    <cellStyle name="Bad 6 4" xfId="1643" xr:uid="{00000000-0005-0000-0000-000066060000}"/>
    <cellStyle name="Bad 7" xfId="1644" xr:uid="{00000000-0005-0000-0000-000067060000}"/>
    <cellStyle name="Bad 7 2" xfId="1645" xr:uid="{00000000-0005-0000-0000-000068060000}"/>
    <cellStyle name="Bad 7 3" xfId="1646" xr:uid="{00000000-0005-0000-0000-000069060000}"/>
    <cellStyle name="Bad 7 4" xfId="1647" xr:uid="{00000000-0005-0000-0000-00006A060000}"/>
    <cellStyle name="Bad 8" xfId="1648" xr:uid="{00000000-0005-0000-0000-00006B060000}"/>
    <cellStyle name="Bad 8 2" xfId="1649" xr:uid="{00000000-0005-0000-0000-00006C060000}"/>
    <cellStyle name="Bad 8 3" xfId="1650" xr:uid="{00000000-0005-0000-0000-00006D060000}"/>
    <cellStyle name="Bad 9" xfId="1651" xr:uid="{00000000-0005-0000-0000-00006E060000}"/>
    <cellStyle name="Bad 9 2" xfId="1652" xr:uid="{00000000-0005-0000-0000-00006F060000}"/>
    <cellStyle name="Bad 9 3" xfId="1653" xr:uid="{00000000-0005-0000-0000-000070060000}"/>
    <cellStyle name="Best" xfId="1654" xr:uid="{00000000-0005-0000-0000-000071060000}"/>
    <cellStyle name="Bold/Border" xfId="1655" xr:uid="{00000000-0005-0000-0000-000072060000}"/>
    <cellStyle name="Bold/Border 2" xfId="1656" xr:uid="{00000000-0005-0000-0000-000073060000}"/>
    <cellStyle name="BORDERS" xfId="1657" xr:uid="{00000000-0005-0000-0000-000074060000}"/>
    <cellStyle name="Bullet" xfId="1658" xr:uid="{00000000-0005-0000-0000-000075060000}"/>
    <cellStyle name="Bullet 2" xfId="1659" xr:uid="{00000000-0005-0000-0000-000076060000}"/>
    <cellStyle name="Bullet 2 2" xfId="1660" xr:uid="{00000000-0005-0000-0000-000077060000}"/>
    <cellStyle name="Calc Currency (0)" xfId="1661" xr:uid="{00000000-0005-0000-0000-000078060000}"/>
    <cellStyle name="Calculation 10" xfId="1662" xr:uid="{00000000-0005-0000-0000-000079060000}"/>
    <cellStyle name="Calculation 10 2" xfId="1663" xr:uid="{00000000-0005-0000-0000-00007A060000}"/>
    <cellStyle name="Calculation 10 3" xfId="1664" xr:uid="{00000000-0005-0000-0000-00007B060000}"/>
    <cellStyle name="Calculation 11" xfId="1665" xr:uid="{00000000-0005-0000-0000-00007C060000}"/>
    <cellStyle name="Calculation 11 2" xfId="1666" xr:uid="{00000000-0005-0000-0000-00007D060000}"/>
    <cellStyle name="Calculation 11 3" xfId="1667" xr:uid="{00000000-0005-0000-0000-00007E060000}"/>
    <cellStyle name="Calculation 12" xfId="1668" xr:uid="{00000000-0005-0000-0000-00007F060000}"/>
    <cellStyle name="Calculation 12 2" xfId="1669" xr:uid="{00000000-0005-0000-0000-000080060000}"/>
    <cellStyle name="Calculation 13" xfId="1670" xr:uid="{00000000-0005-0000-0000-000081060000}"/>
    <cellStyle name="Calculation 13 2" xfId="1671" xr:uid="{00000000-0005-0000-0000-000082060000}"/>
    <cellStyle name="Calculation 14" xfId="1672" xr:uid="{00000000-0005-0000-0000-000083060000}"/>
    <cellStyle name="Calculation 15" xfId="1673" xr:uid="{00000000-0005-0000-0000-000084060000}"/>
    <cellStyle name="Calculation 2" xfId="1674" xr:uid="{00000000-0005-0000-0000-000085060000}"/>
    <cellStyle name="Calculation 2 10" xfId="1675" xr:uid="{00000000-0005-0000-0000-000086060000}"/>
    <cellStyle name="Calculation 2 11" xfId="1676" xr:uid="{00000000-0005-0000-0000-000087060000}"/>
    <cellStyle name="Calculation 2 12" xfId="1677" xr:uid="{00000000-0005-0000-0000-000088060000}"/>
    <cellStyle name="Calculation 2 13" xfId="1678" xr:uid="{00000000-0005-0000-0000-000089060000}"/>
    <cellStyle name="Calculation 2 14" xfId="1679" xr:uid="{00000000-0005-0000-0000-00008A060000}"/>
    <cellStyle name="Calculation 2 2" xfId="1680" xr:uid="{00000000-0005-0000-0000-00008B060000}"/>
    <cellStyle name="Calculation 2 2 2" xfId="1681" xr:uid="{00000000-0005-0000-0000-00008C060000}"/>
    <cellStyle name="Calculation 2 2 3" xfId="1682" xr:uid="{00000000-0005-0000-0000-00008D060000}"/>
    <cellStyle name="Calculation 2 3" xfId="1683" xr:uid="{00000000-0005-0000-0000-00008E060000}"/>
    <cellStyle name="Calculation 2 3 2" xfId="1684" xr:uid="{00000000-0005-0000-0000-00008F060000}"/>
    <cellStyle name="Calculation 2 4" xfId="1685" xr:uid="{00000000-0005-0000-0000-000090060000}"/>
    <cellStyle name="Calculation 2 5" xfId="1686" xr:uid="{00000000-0005-0000-0000-000091060000}"/>
    <cellStyle name="Calculation 2 6" xfId="1687" xr:uid="{00000000-0005-0000-0000-000092060000}"/>
    <cellStyle name="Calculation 2 7" xfId="1688" xr:uid="{00000000-0005-0000-0000-000093060000}"/>
    <cellStyle name="Calculation 2 8" xfId="1689" xr:uid="{00000000-0005-0000-0000-000094060000}"/>
    <cellStyle name="Calculation 2 9" xfId="1690" xr:uid="{00000000-0005-0000-0000-000095060000}"/>
    <cellStyle name="Calculation 3" xfId="1691" xr:uid="{00000000-0005-0000-0000-000096060000}"/>
    <cellStyle name="Calculation 3 2" xfId="1692" xr:uid="{00000000-0005-0000-0000-000097060000}"/>
    <cellStyle name="Calculation 3 3" xfId="1693" xr:uid="{00000000-0005-0000-0000-000098060000}"/>
    <cellStyle name="Calculation 3 4" xfId="1694" xr:uid="{00000000-0005-0000-0000-000099060000}"/>
    <cellStyle name="Calculation 3 5" xfId="1695" xr:uid="{00000000-0005-0000-0000-00009A060000}"/>
    <cellStyle name="Calculation 3 6" xfId="1696" xr:uid="{00000000-0005-0000-0000-00009B060000}"/>
    <cellStyle name="Calculation 3 7" xfId="1697" xr:uid="{00000000-0005-0000-0000-00009C060000}"/>
    <cellStyle name="Calculation 3 8" xfId="1698" xr:uid="{00000000-0005-0000-0000-00009D060000}"/>
    <cellStyle name="Calculation 4" xfId="1699" xr:uid="{00000000-0005-0000-0000-00009E060000}"/>
    <cellStyle name="Calculation 4 2" xfId="1700" xr:uid="{00000000-0005-0000-0000-00009F060000}"/>
    <cellStyle name="Calculation 4 3" xfId="1701" xr:uid="{00000000-0005-0000-0000-0000A0060000}"/>
    <cellStyle name="Calculation 4 4" xfId="1702" xr:uid="{00000000-0005-0000-0000-0000A1060000}"/>
    <cellStyle name="Calculation 4 5" xfId="1703" xr:uid="{00000000-0005-0000-0000-0000A2060000}"/>
    <cellStyle name="Calculation 4 6" xfId="1704" xr:uid="{00000000-0005-0000-0000-0000A3060000}"/>
    <cellStyle name="Calculation 5" xfId="1705" xr:uid="{00000000-0005-0000-0000-0000A4060000}"/>
    <cellStyle name="Calculation 5 2" xfId="1706" xr:uid="{00000000-0005-0000-0000-0000A5060000}"/>
    <cellStyle name="Calculation 5 3" xfId="1707" xr:uid="{00000000-0005-0000-0000-0000A6060000}"/>
    <cellStyle name="Calculation 5 4" xfId="1708" xr:uid="{00000000-0005-0000-0000-0000A7060000}"/>
    <cellStyle name="Calculation 5 5" xfId="1709" xr:uid="{00000000-0005-0000-0000-0000A8060000}"/>
    <cellStyle name="Calculation 6" xfId="1710" xr:uid="{00000000-0005-0000-0000-0000A9060000}"/>
    <cellStyle name="Calculation 6 2" xfId="1711" xr:uid="{00000000-0005-0000-0000-0000AA060000}"/>
    <cellStyle name="Calculation 6 3" xfId="1712" xr:uid="{00000000-0005-0000-0000-0000AB060000}"/>
    <cellStyle name="Calculation 6 4" xfId="1713" xr:uid="{00000000-0005-0000-0000-0000AC060000}"/>
    <cellStyle name="Calculation 7" xfId="1714" xr:uid="{00000000-0005-0000-0000-0000AD060000}"/>
    <cellStyle name="Calculation 7 2" xfId="1715" xr:uid="{00000000-0005-0000-0000-0000AE060000}"/>
    <cellStyle name="Calculation 7 3" xfId="1716" xr:uid="{00000000-0005-0000-0000-0000AF060000}"/>
    <cellStyle name="Calculation 7 4" xfId="1717" xr:uid="{00000000-0005-0000-0000-0000B0060000}"/>
    <cellStyle name="Calculation 8" xfId="1718" xr:uid="{00000000-0005-0000-0000-0000B1060000}"/>
    <cellStyle name="Calculation 8 2" xfId="1719" xr:uid="{00000000-0005-0000-0000-0000B2060000}"/>
    <cellStyle name="Calculation 8 3" xfId="1720" xr:uid="{00000000-0005-0000-0000-0000B3060000}"/>
    <cellStyle name="Calculation 9" xfId="1721" xr:uid="{00000000-0005-0000-0000-0000B4060000}"/>
    <cellStyle name="Calculation 9 2" xfId="1722" xr:uid="{00000000-0005-0000-0000-0000B5060000}"/>
    <cellStyle name="Calculation 9 3" xfId="1723" xr:uid="{00000000-0005-0000-0000-0000B6060000}"/>
    <cellStyle name="Check Cell 10" xfId="1724" xr:uid="{00000000-0005-0000-0000-0000B7060000}"/>
    <cellStyle name="Check Cell 10 2" xfId="1725" xr:uid="{00000000-0005-0000-0000-0000B8060000}"/>
    <cellStyle name="Check Cell 10 3" xfId="1726" xr:uid="{00000000-0005-0000-0000-0000B9060000}"/>
    <cellStyle name="Check Cell 11" xfId="1727" xr:uid="{00000000-0005-0000-0000-0000BA060000}"/>
    <cellStyle name="Check Cell 11 2" xfId="1728" xr:uid="{00000000-0005-0000-0000-0000BB060000}"/>
    <cellStyle name="Check Cell 11 3" xfId="1729" xr:uid="{00000000-0005-0000-0000-0000BC060000}"/>
    <cellStyle name="Check Cell 12" xfId="1730" xr:uid="{00000000-0005-0000-0000-0000BD060000}"/>
    <cellStyle name="Check Cell 12 2" xfId="1731" xr:uid="{00000000-0005-0000-0000-0000BE060000}"/>
    <cellStyle name="Check Cell 13" xfId="1732" xr:uid="{00000000-0005-0000-0000-0000BF060000}"/>
    <cellStyle name="Check Cell 13 2" xfId="1733" xr:uid="{00000000-0005-0000-0000-0000C0060000}"/>
    <cellStyle name="Check Cell 14" xfId="1734" xr:uid="{00000000-0005-0000-0000-0000C1060000}"/>
    <cellStyle name="Check Cell 15" xfId="1735" xr:uid="{00000000-0005-0000-0000-0000C2060000}"/>
    <cellStyle name="Check Cell 2" xfId="1736" xr:uid="{00000000-0005-0000-0000-0000C3060000}"/>
    <cellStyle name="Check Cell 2 10" xfId="1737" xr:uid="{00000000-0005-0000-0000-0000C4060000}"/>
    <cellStyle name="Check Cell 2 11" xfId="1738" xr:uid="{00000000-0005-0000-0000-0000C5060000}"/>
    <cellStyle name="Check Cell 2 12" xfId="1739" xr:uid="{00000000-0005-0000-0000-0000C6060000}"/>
    <cellStyle name="Check Cell 2 13" xfId="1740" xr:uid="{00000000-0005-0000-0000-0000C7060000}"/>
    <cellStyle name="Check Cell 2 14" xfId="1741" xr:uid="{00000000-0005-0000-0000-0000C8060000}"/>
    <cellStyle name="Check Cell 2 2" xfId="1742" xr:uid="{00000000-0005-0000-0000-0000C9060000}"/>
    <cellStyle name="Check Cell 2 2 2" xfId="1743" xr:uid="{00000000-0005-0000-0000-0000CA060000}"/>
    <cellStyle name="Check Cell 2 2 3" xfId="1744" xr:uid="{00000000-0005-0000-0000-0000CB060000}"/>
    <cellStyle name="Check Cell 2 3" xfId="1745" xr:uid="{00000000-0005-0000-0000-0000CC060000}"/>
    <cellStyle name="Check Cell 2 3 2" xfId="1746" xr:uid="{00000000-0005-0000-0000-0000CD060000}"/>
    <cellStyle name="Check Cell 2 4" xfId="1747" xr:uid="{00000000-0005-0000-0000-0000CE060000}"/>
    <cellStyle name="Check Cell 2 5" xfId="1748" xr:uid="{00000000-0005-0000-0000-0000CF060000}"/>
    <cellStyle name="Check Cell 2 6" xfId="1749" xr:uid="{00000000-0005-0000-0000-0000D0060000}"/>
    <cellStyle name="Check Cell 2 7" xfId="1750" xr:uid="{00000000-0005-0000-0000-0000D1060000}"/>
    <cellStyle name="Check Cell 2 8" xfId="1751" xr:uid="{00000000-0005-0000-0000-0000D2060000}"/>
    <cellStyle name="Check Cell 2 9" xfId="1752" xr:uid="{00000000-0005-0000-0000-0000D3060000}"/>
    <cellStyle name="Check Cell 3" xfId="1753" xr:uid="{00000000-0005-0000-0000-0000D4060000}"/>
    <cellStyle name="Check Cell 3 2" xfId="1754" xr:uid="{00000000-0005-0000-0000-0000D5060000}"/>
    <cellStyle name="Check Cell 3 3" xfId="1755" xr:uid="{00000000-0005-0000-0000-0000D6060000}"/>
    <cellStyle name="Check Cell 3 4" xfId="1756" xr:uid="{00000000-0005-0000-0000-0000D7060000}"/>
    <cellStyle name="Check Cell 3 5" xfId="1757" xr:uid="{00000000-0005-0000-0000-0000D8060000}"/>
    <cellStyle name="Check Cell 3 6" xfId="1758" xr:uid="{00000000-0005-0000-0000-0000D9060000}"/>
    <cellStyle name="Check Cell 3 7" xfId="1759" xr:uid="{00000000-0005-0000-0000-0000DA060000}"/>
    <cellStyle name="Check Cell 3 8" xfId="1760" xr:uid="{00000000-0005-0000-0000-0000DB060000}"/>
    <cellStyle name="Check Cell 4" xfId="1761" xr:uid="{00000000-0005-0000-0000-0000DC060000}"/>
    <cellStyle name="Check Cell 4 2" xfId="1762" xr:uid="{00000000-0005-0000-0000-0000DD060000}"/>
    <cellStyle name="Check Cell 4 3" xfId="1763" xr:uid="{00000000-0005-0000-0000-0000DE060000}"/>
    <cellStyle name="Check Cell 4 4" xfId="1764" xr:uid="{00000000-0005-0000-0000-0000DF060000}"/>
    <cellStyle name="Check Cell 4 5" xfId="1765" xr:uid="{00000000-0005-0000-0000-0000E0060000}"/>
    <cellStyle name="Check Cell 4 6" xfId="1766" xr:uid="{00000000-0005-0000-0000-0000E1060000}"/>
    <cellStyle name="Check Cell 5" xfId="1767" xr:uid="{00000000-0005-0000-0000-0000E2060000}"/>
    <cellStyle name="Check Cell 5 2" xfId="1768" xr:uid="{00000000-0005-0000-0000-0000E3060000}"/>
    <cellStyle name="Check Cell 5 3" xfId="1769" xr:uid="{00000000-0005-0000-0000-0000E4060000}"/>
    <cellStyle name="Check Cell 5 4" xfId="1770" xr:uid="{00000000-0005-0000-0000-0000E5060000}"/>
    <cellStyle name="Check Cell 5 5" xfId="1771" xr:uid="{00000000-0005-0000-0000-0000E6060000}"/>
    <cellStyle name="Check Cell 6" xfId="1772" xr:uid="{00000000-0005-0000-0000-0000E7060000}"/>
    <cellStyle name="Check Cell 6 2" xfId="1773" xr:uid="{00000000-0005-0000-0000-0000E8060000}"/>
    <cellStyle name="Check Cell 6 3" xfId="1774" xr:uid="{00000000-0005-0000-0000-0000E9060000}"/>
    <cellStyle name="Check Cell 6 4" xfId="1775" xr:uid="{00000000-0005-0000-0000-0000EA060000}"/>
    <cellStyle name="Check Cell 7" xfId="1776" xr:uid="{00000000-0005-0000-0000-0000EB060000}"/>
    <cellStyle name="Check Cell 7 2" xfId="1777" xr:uid="{00000000-0005-0000-0000-0000EC060000}"/>
    <cellStyle name="Check Cell 7 3" xfId="1778" xr:uid="{00000000-0005-0000-0000-0000ED060000}"/>
    <cellStyle name="Check Cell 7 4" xfId="1779" xr:uid="{00000000-0005-0000-0000-0000EE060000}"/>
    <cellStyle name="Check Cell 8" xfId="1780" xr:uid="{00000000-0005-0000-0000-0000EF060000}"/>
    <cellStyle name="Check Cell 8 2" xfId="1781" xr:uid="{00000000-0005-0000-0000-0000F0060000}"/>
    <cellStyle name="Check Cell 8 3" xfId="1782" xr:uid="{00000000-0005-0000-0000-0000F1060000}"/>
    <cellStyle name="Check Cell 9" xfId="1783" xr:uid="{00000000-0005-0000-0000-0000F2060000}"/>
    <cellStyle name="Check Cell 9 2" xfId="1784" xr:uid="{00000000-0005-0000-0000-0000F3060000}"/>
    <cellStyle name="Check Cell 9 3" xfId="1785" xr:uid="{00000000-0005-0000-0000-0000F4060000}"/>
    <cellStyle name="Comma  - Style1" xfId="1786" xr:uid="{00000000-0005-0000-0000-0000F5060000}"/>
    <cellStyle name="Comma  - Style1 10" xfId="1787" xr:uid="{00000000-0005-0000-0000-0000F6060000}"/>
    <cellStyle name="Comma  - Style1 11" xfId="1788" xr:uid="{00000000-0005-0000-0000-0000F7060000}"/>
    <cellStyle name="Comma  - Style1 12" xfId="1789" xr:uid="{00000000-0005-0000-0000-0000F8060000}"/>
    <cellStyle name="Comma  - Style1 13" xfId="1790" xr:uid="{00000000-0005-0000-0000-0000F9060000}"/>
    <cellStyle name="Comma  - Style1 14" xfId="1791" xr:uid="{00000000-0005-0000-0000-0000FA060000}"/>
    <cellStyle name="Comma  - Style1 15" xfId="1792" xr:uid="{00000000-0005-0000-0000-0000FB060000}"/>
    <cellStyle name="Comma  - Style1 16" xfId="1793" xr:uid="{00000000-0005-0000-0000-0000FC060000}"/>
    <cellStyle name="Comma  - Style1 17" xfId="1794" xr:uid="{00000000-0005-0000-0000-0000FD060000}"/>
    <cellStyle name="Comma  - Style1 18" xfId="1795" xr:uid="{00000000-0005-0000-0000-0000FE060000}"/>
    <cellStyle name="Comma  - Style1 19" xfId="1796" xr:uid="{00000000-0005-0000-0000-0000FF060000}"/>
    <cellStyle name="Comma  - Style1 2" xfId="1797" xr:uid="{00000000-0005-0000-0000-000000070000}"/>
    <cellStyle name="Comma  - Style1 2 2" xfId="1798" xr:uid="{00000000-0005-0000-0000-000001070000}"/>
    <cellStyle name="Comma  - Style1 2 3" xfId="1799" xr:uid="{00000000-0005-0000-0000-000002070000}"/>
    <cellStyle name="Comma  - Style1 20" xfId="1800" xr:uid="{00000000-0005-0000-0000-000003070000}"/>
    <cellStyle name="Comma  - Style1 21" xfId="1801" xr:uid="{00000000-0005-0000-0000-000004070000}"/>
    <cellStyle name="Comma  - Style1 22" xfId="1802" xr:uid="{00000000-0005-0000-0000-000005070000}"/>
    <cellStyle name="Comma  - Style1 23" xfId="1803" xr:uid="{00000000-0005-0000-0000-000006070000}"/>
    <cellStyle name="Comma  - Style1 24" xfId="1804" xr:uid="{00000000-0005-0000-0000-000007070000}"/>
    <cellStyle name="Comma  - Style1 25" xfId="1805" xr:uid="{00000000-0005-0000-0000-000008070000}"/>
    <cellStyle name="Comma  - Style1 3" xfId="1806" xr:uid="{00000000-0005-0000-0000-000009070000}"/>
    <cellStyle name="Comma  - Style1 4" xfId="1807" xr:uid="{00000000-0005-0000-0000-00000A070000}"/>
    <cellStyle name="Comma  - Style1 5" xfId="1808" xr:uid="{00000000-0005-0000-0000-00000B070000}"/>
    <cellStyle name="Comma  - Style1 6" xfId="1809" xr:uid="{00000000-0005-0000-0000-00000C070000}"/>
    <cellStyle name="Comma  - Style1 7" xfId="1810" xr:uid="{00000000-0005-0000-0000-00000D070000}"/>
    <cellStyle name="Comma  - Style1 8" xfId="1811" xr:uid="{00000000-0005-0000-0000-00000E070000}"/>
    <cellStyle name="Comma  - Style1 9" xfId="1812" xr:uid="{00000000-0005-0000-0000-00000F070000}"/>
    <cellStyle name="Comma  - Style2" xfId="1813" xr:uid="{00000000-0005-0000-0000-000010070000}"/>
    <cellStyle name="Comma  - Style2 2" xfId="1814" xr:uid="{00000000-0005-0000-0000-000011070000}"/>
    <cellStyle name="Comma  - Style3" xfId="1815" xr:uid="{00000000-0005-0000-0000-000012070000}"/>
    <cellStyle name="Comma  - Style3 2" xfId="1816" xr:uid="{00000000-0005-0000-0000-000013070000}"/>
    <cellStyle name="Comma  - Style4" xfId="1817" xr:uid="{00000000-0005-0000-0000-000014070000}"/>
    <cellStyle name="Comma  - Style4 2" xfId="1818" xr:uid="{00000000-0005-0000-0000-000015070000}"/>
    <cellStyle name="Comma  - Style5" xfId="1819" xr:uid="{00000000-0005-0000-0000-000016070000}"/>
    <cellStyle name="Comma  - Style5 2" xfId="1820" xr:uid="{00000000-0005-0000-0000-000017070000}"/>
    <cellStyle name="Comma  - Style6" xfId="1821" xr:uid="{00000000-0005-0000-0000-000018070000}"/>
    <cellStyle name="Comma  - Style6 2" xfId="1822" xr:uid="{00000000-0005-0000-0000-000019070000}"/>
    <cellStyle name="Comma  - Style7" xfId="1823" xr:uid="{00000000-0005-0000-0000-00001A070000}"/>
    <cellStyle name="Comma  - Style7 2" xfId="1824" xr:uid="{00000000-0005-0000-0000-00001B070000}"/>
    <cellStyle name="Comma  - Style8" xfId="1825" xr:uid="{00000000-0005-0000-0000-00001C070000}"/>
    <cellStyle name="Comma  - Style8 2" xfId="1826" xr:uid="{00000000-0005-0000-0000-00001D070000}"/>
    <cellStyle name="Comma 10" xfId="1827" xr:uid="{00000000-0005-0000-0000-00001E070000}"/>
    <cellStyle name="Comma 10 2" xfId="3941" xr:uid="{00000000-0005-0000-0000-00001F070000}"/>
    <cellStyle name="Comma 10 2 2" xfId="5699" xr:uid="{00000000-0005-0000-0000-000020070000}"/>
    <cellStyle name="Comma 10 2 2 2" xfId="5998" xr:uid="{00000000-0005-0000-0000-000021070000}"/>
    <cellStyle name="Comma 10 2 3" xfId="5913" xr:uid="{00000000-0005-0000-0000-000022070000}"/>
    <cellStyle name="Comma 10 3" xfId="5698" xr:uid="{00000000-0005-0000-0000-000023070000}"/>
    <cellStyle name="Comma 10 3 2" xfId="5997" xr:uid="{00000000-0005-0000-0000-000024070000}"/>
    <cellStyle name="Comma 10 4" xfId="5864" xr:uid="{00000000-0005-0000-0000-000025070000}"/>
    <cellStyle name="Comma 11" xfId="1828" xr:uid="{00000000-0005-0000-0000-000026070000}"/>
    <cellStyle name="Comma 11 2" xfId="3942" xr:uid="{00000000-0005-0000-0000-000027070000}"/>
    <cellStyle name="Comma 11 2 2" xfId="5701" xr:uid="{00000000-0005-0000-0000-000028070000}"/>
    <cellStyle name="Comma 11 2 2 2" xfId="6000" xr:uid="{00000000-0005-0000-0000-000029070000}"/>
    <cellStyle name="Comma 11 2 3" xfId="5914" xr:uid="{00000000-0005-0000-0000-00002A070000}"/>
    <cellStyle name="Comma 11 3" xfId="5700" xr:uid="{00000000-0005-0000-0000-00002B070000}"/>
    <cellStyle name="Comma 11 3 2" xfId="5999" xr:uid="{00000000-0005-0000-0000-00002C070000}"/>
    <cellStyle name="Comma 11 4" xfId="5865" xr:uid="{00000000-0005-0000-0000-00002D070000}"/>
    <cellStyle name="Comma 12" xfId="1829" xr:uid="{00000000-0005-0000-0000-00002E070000}"/>
    <cellStyle name="Comma 12 2" xfId="3943" xr:uid="{00000000-0005-0000-0000-00002F070000}"/>
    <cellStyle name="Comma 12 2 2" xfId="5703" xr:uid="{00000000-0005-0000-0000-000030070000}"/>
    <cellStyle name="Comma 12 2 2 2" xfId="6002" xr:uid="{00000000-0005-0000-0000-000031070000}"/>
    <cellStyle name="Comma 12 2 3" xfId="5915" xr:uid="{00000000-0005-0000-0000-000032070000}"/>
    <cellStyle name="Comma 12 3" xfId="5702" xr:uid="{00000000-0005-0000-0000-000033070000}"/>
    <cellStyle name="Comma 12 3 2" xfId="6001" xr:uid="{00000000-0005-0000-0000-000034070000}"/>
    <cellStyle name="Comma 12 4" xfId="5866" xr:uid="{00000000-0005-0000-0000-000035070000}"/>
    <cellStyle name="Comma 13" xfId="1830" xr:uid="{00000000-0005-0000-0000-000036070000}"/>
    <cellStyle name="Comma 13 2" xfId="3944" xr:uid="{00000000-0005-0000-0000-000037070000}"/>
    <cellStyle name="Comma 13 2 2" xfId="5705" xr:uid="{00000000-0005-0000-0000-000038070000}"/>
    <cellStyle name="Comma 13 2 2 2" xfId="6004" xr:uid="{00000000-0005-0000-0000-000039070000}"/>
    <cellStyle name="Comma 13 2 3" xfId="5916" xr:uid="{00000000-0005-0000-0000-00003A070000}"/>
    <cellStyle name="Comma 13 3" xfId="5704" xr:uid="{00000000-0005-0000-0000-00003B070000}"/>
    <cellStyle name="Comma 13 3 2" xfId="6003" xr:uid="{00000000-0005-0000-0000-00003C070000}"/>
    <cellStyle name="Comma 13 4" xfId="5867" xr:uid="{00000000-0005-0000-0000-00003D070000}"/>
    <cellStyle name="Comma 14" xfId="1831" xr:uid="{00000000-0005-0000-0000-00003E070000}"/>
    <cellStyle name="Comma 14 2" xfId="3945" xr:uid="{00000000-0005-0000-0000-00003F070000}"/>
    <cellStyle name="Comma 14 2 2" xfId="5707" xr:uid="{00000000-0005-0000-0000-000040070000}"/>
    <cellStyle name="Comma 14 2 2 2" xfId="6006" xr:uid="{00000000-0005-0000-0000-000041070000}"/>
    <cellStyle name="Comma 14 2 3" xfId="5917" xr:uid="{00000000-0005-0000-0000-000042070000}"/>
    <cellStyle name="Comma 14 3" xfId="5706" xr:uid="{00000000-0005-0000-0000-000043070000}"/>
    <cellStyle name="Comma 14 3 2" xfId="6005" xr:uid="{00000000-0005-0000-0000-000044070000}"/>
    <cellStyle name="Comma 14 4" xfId="5868" xr:uid="{00000000-0005-0000-0000-000045070000}"/>
    <cellStyle name="Comma 15" xfId="6157" xr:uid="{00000000-0005-0000-0000-000046070000}"/>
    <cellStyle name="Comma 15 2" xfId="6160" xr:uid="{508BFC71-7799-4363-91CF-5B151AE82EF6}"/>
    <cellStyle name="Comma 2" xfId="1832" xr:uid="{00000000-0005-0000-0000-000047070000}"/>
    <cellStyle name="Comma 2 2" xfId="3" xr:uid="{00000000-0005-0000-0000-000048070000}"/>
    <cellStyle name="Comma 2 2 10" xfId="6155" xr:uid="{00000000-0005-0000-0000-000049070000}"/>
    <cellStyle name="Comma 2 2 2" xfId="1833" xr:uid="{00000000-0005-0000-0000-00004A070000}"/>
    <cellStyle name="Comma 2 2 2 2" xfId="1834" xr:uid="{00000000-0005-0000-0000-00004B070000}"/>
    <cellStyle name="Comma 2 2 2 2 2" xfId="3948" xr:uid="{00000000-0005-0000-0000-00004C070000}"/>
    <cellStyle name="Comma 2 2 2 2 2 2" xfId="5712" xr:uid="{00000000-0005-0000-0000-00004D070000}"/>
    <cellStyle name="Comma 2 2 2 2 2 2 2" xfId="6011" xr:uid="{00000000-0005-0000-0000-00004E070000}"/>
    <cellStyle name="Comma 2 2 2 2 2 3" xfId="5920" xr:uid="{00000000-0005-0000-0000-00004F070000}"/>
    <cellStyle name="Comma 2 2 2 2 3" xfId="5711" xr:uid="{00000000-0005-0000-0000-000050070000}"/>
    <cellStyle name="Comma 2 2 2 2 3 2" xfId="6010" xr:uid="{00000000-0005-0000-0000-000051070000}"/>
    <cellStyle name="Comma 2 2 2 2 4" xfId="5871" xr:uid="{00000000-0005-0000-0000-000052070000}"/>
    <cellStyle name="Comma 2 2 2 3" xfId="1835" xr:uid="{00000000-0005-0000-0000-000053070000}"/>
    <cellStyle name="Comma 2 2 2 3 2" xfId="3949" xr:uid="{00000000-0005-0000-0000-000054070000}"/>
    <cellStyle name="Comma 2 2 2 3 2 2" xfId="5714" xr:uid="{00000000-0005-0000-0000-000055070000}"/>
    <cellStyle name="Comma 2 2 2 3 2 2 2" xfId="6013" xr:uid="{00000000-0005-0000-0000-000056070000}"/>
    <cellStyle name="Comma 2 2 2 3 2 3" xfId="5921" xr:uid="{00000000-0005-0000-0000-000057070000}"/>
    <cellStyle name="Comma 2 2 2 3 3" xfId="5713" xr:uid="{00000000-0005-0000-0000-000058070000}"/>
    <cellStyle name="Comma 2 2 2 3 3 2" xfId="6012" xr:uid="{00000000-0005-0000-0000-000059070000}"/>
    <cellStyle name="Comma 2 2 2 3 4" xfId="5872" xr:uid="{00000000-0005-0000-0000-00005A070000}"/>
    <cellStyle name="Comma 2 2 2 4" xfId="3947" xr:uid="{00000000-0005-0000-0000-00005B070000}"/>
    <cellStyle name="Comma 2 2 2 4 2" xfId="5715" xr:uid="{00000000-0005-0000-0000-00005C070000}"/>
    <cellStyle name="Comma 2 2 2 4 2 2" xfId="6014" xr:uid="{00000000-0005-0000-0000-00005D070000}"/>
    <cellStyle name="Comma 2 2 2 4 3" xfId="5919" xr:uid="{00000000-0005-0000-0000-00005E070000}"/>
    <cellStyle name="Comma 2 2 2 5" xfId="5710" xr:uid="{00000000-0005-0000-0000-00005F070000}"/>
    <cellStyle name="Comma 2 2 2 5 2" xfId="6009" xr:uid="{00000000-0005-0000-0000-000060070000}"/>
    <cellStyle name="Comma 2 2 2 6" xfId="5870" xr:uid="{00000000-0005-0000-0000-000061070000}"/>
    <cellStyle name="Comma 2 2 3" xfId="1836" xr:uid="{00000000-0005-0000-0000-000062070000}"/>
    <cellStyle name="Comma 2 2 3 2" xfId="3950" xr:uid="{00000000-0005-0000-0000-000063070000}"/>
    <cellStyle name="Comma 2 2 3 2 2" xfId="5717" xr:uid="{00000000-0005-0000-0000-000064070000}"/>
    <cellStyle name="Comma 2 2 3 2 2 2" xfId="6016" xr:uid="{00000000-0005-0000-0000-000065070000}"/>
    <cellStyle name="Comma 2 2 3 2 3" xfId="5922" xr:uid="{00000000-0005-0000-0000-000066070000}"/>
    <cellStyle name="Comma 2 2 3 3" xfId="5716" xr:uid="{00000000-0005-0000-0000-000067070000}"/>
    <cellStyle name="Comma 2 2 3 3 2" xfId="6015" xr:uid="{00000000-0005-0000-0000-000068070000}"/>
    <cellStyle name="Comma 2 2 3 4" xfId="5873" xr:uid="{00000000-0005-0000-0000-000069070000}"/>
    <cellStyle name="Comma 2 2 4" xfId="1837" xr:uid="{00000000-0005-0000-0000-00006A070000}"/>
    <cellStyle name="Comma 2 2 4 2" xfId="3951" xr:uid="{00000000-0005-0000-0000-00006B070000}"/>
    <cellStyle name="Comma 2 2 4 2 2" xfId="5719" xr:uid="{00000000-0005-0000-0000-00006C070000}"/>
    <cellStyle name="Comma 2 2 4 2 2 2" xfId="6018" xr:uid="{00000000-0005-0000-0000-00006D070000}"/>
    <cellStyle name="Comma 2 2 4 2 3" xfId="5923" xr:uid="{00000000-0005-0000-0000-00006E070000}"/>
    <cellStyle name="Comma 2 2 4 3" xfId="5718" xr:uid="{00000000-0005-0000-0000-00006F070000}"/>
    <cellStyle name="Comma 2 2 4 3 2" xfId="6017" xr:uid="{00000000-0005-0000-0000-000070070000}"/>
    <cellStyle name="Comma 2 2 4 4" xfId="5874" xr:uid="{00000000-0005-0000-0000-000071070000}"/>
    <cellStyle name="Comma 2 2 5" xfId="1838" xr:uid="{00000000-0005-0000-0000-000072070000}"/>
    <cellStyle name="Comma 2 2 5 2" xfId="3952" xr:uid="{00000000-0005-0000-0000-000073070000}"/>
    <cellStyle name="Comma 2 2 5 2 2" xfId="5721" xr:uid="{00000000-0005-0000-0000-000074070000}"/>
    <cellStyle name="Comma 2 2 5 2 2 2" xfId="6020" xr:uid="{00000000-0005-0000-0000-000075070000}"/>
    <cellStyle name="Comma 2 2 5 2 3" xfId="5924" xr:uid="{00000000-0005-0000-0000-000076070000}"/>
    <cellStyle name="Comma 2 2 5 3" xfId="5720" xr:uid="{00000000-0005-0000-0000-000077070000}"/>
    <cellStyle name="Comma 2 2 5 3 2" xfId="6019" xr:uid="{00000000-0005-0000-0000-000078070000}"/>
    <cellStyle name="Comma 2 2 5 4" xfId="5875" xr:uid="{00000000-0005-0000-0000-000079070000}"/>
    <cellStyle name="Comma 2 2 6" xfId="3940" xr:uid="{00000000-0005-0000-0000-00007A070000}"/>
    <cellStyle name="Comma 2 2 6 2" xfId="5722" xr:uid="{00000000-0005-0000-0000-00007B070000}"/>
    <cellStyle name="Comma 2 2 6 2 2" xfId="6021" xr:uid="{00000000-0005-0000-0000-00007C070000}"/>
    <cellStyle name="Comma 2 2 6 3" xfId="5912" xr:uid="{00000000-0005-0000-0000-00007D070000}"/>
    <cellStyle name="Comma 2 2 7" xfId="5709" xr:uid="{00000000-0005-0000-0000-00007E070000}"/>
    <cellStyle name="Comma 2 2 7 2" xfId="6008" xr:uid="{00000000-0005-0000-0000-00007F070000}"/>
    <cellStyle name="Comma 2 2 8" xfId="4" xr:uid="{00000000-0005-0000-0000-000080070000}"/>
    <cellStyle name="Comma 2 2 9" xfId="5863" xr:uid="{00000000-0005-0000-0000-000081070000}"/>
    <cellStyle name="Comma 2 3" xfId="1839" xr:uid="{00000000-0005-0000-0000-000082070000}"/>
    <cellStyle name="Comma 2 3 10" xfId="3996" xr:uid="{00000000-0005-0000-0000-000083070000}"/>
    <cellStyle name="Comma 2 3 10 2" xfId="4562" xr:uid="{00000000-0005-0000-0000-000084070000}"/>
    <cellStyle name="Comma 2 3 10 2 2" xfId="5724" xr:uid="{00000000-0005-0000-0000-000085070000}"/>
    <cellStyle name="Comma 2 3 10 2 2 2" xfId="6023" xr:uid="{00000000-0005-0000-0000-000086070000}"/>
    <cellStyle name="Comma 2 3 10 3" xfId="5723" xr:uid="{00000000-0005-0000-0000-000087070000}"/>
    <cellStyle name="Comma 2 3 10 3 2" xfId="6022" xr:uid="{00000000-0005-0000-0000-000088070000}"/>
    <cellStyle name="Comma 2 3 11" xfId="4561" xr:uid="{00000000-0005-0000-0000-000089070000}"/>
    <cellStyle name="Comma 2 3 11 2" xfId="5725" xr:uid="{00000000-0005-0000-0000-00008A070000}"/>
    <cellStyle name="Comma 2 3 11 2 2" xfId="6024" xr:uid="{00000000-0005-0000-0000-00008B070000}"/>
    <cellStyle name="Comma 2 3 2" xfId="1840" xr:uid="{00000000-0005-0000-0000-00008C070000}"/>
    <cellStyle name="Comma 2 3 2 2" xfId="1841" xr:uid="{00000000-0005-0000-0000-00008D070000}"/>
    <cellStyle name="Comma 2 3 2 2 2" xfId="3953" xr:uid="{00000000-0005-0000-0000-00008E070000}"/>
    <cellStyle name="Comma 2 3 2 2 2 2" xfId="3999" xr:uid="{00000000-0005-0000-0000-00008F070000}"/>
    <cellStyle name="Comma 2 3 2 2 2 2 2" xfId="4566" xr:uid="{00000000-0005-0000-0000-000090070000}"/>
    <cellStyle name="Comma 2 3 2 2 2 2 2 2" xfId="5728" xr:uid="{00000000-0005-0000-0000-000091070000}"/>
    <cellStyle name="Comma 2 3 2 2 2 2 2 2 2" xfId="6027" xr:uid="{00000000-0005-0000-0000-000092070000}"/>
    <cellStyle name="Comma 2 3 2 2 2 2 2 3" xfId="5978" xr:uid="{00000000-0005-0000-0000-000093070000}"/>
    <cellStyle name="Comma 2 3 2 2 2 2 3" xfId="5727" xr:uid="{00000000-0005-0000-0000-000094070000}"/>
    <cellStyle name="Comma 2 3 2 2 2 2 3 2" xfId="6026" xr:uid="{00000000-0005-0000-0000-000095070000}"/>
    <cellStyle name="Comma 2 3 2 2 2 2 4" xfId="5967" xr:uid="{00000000-0005-0000-0000-000096070000}"/>
    <cellStyle name="Comma 2 3 2 2 2 3" xfId="4565" xr:uid="{00000000-0005-0000-0000-000097070000}"/>
    <cellStyle name="Comma 2 3 2 2 2 3 2" xfId="5729" xr:uid="{00000000-0005-0000-0000-000098070000}"/>
    <cellStyle name="Comma 2 3 2 2 2 3 2 2" xfId="6028" xr:uid="{00000000-0005-0000-0000-000099070000}"/>
    <cellStyle name="Comma 2 3 2 2 2 3 3" xfId="5977" xr:uid="{00000000-0005-0000-0000-00009A070000}"/>
    <cellStyle name="Comma 2 3 2 2 2 4" xfId="5726" xr:uid="{00000000-0005-0000-0000-00009B070000}"/>
    <cellStyle name="Comma 2 3 2 2 2 4 2" xfId="6025" xr:uid="{00000000-0005-0000-0000-00009C070000}"/>
    <cellStyle name="Comma 2 3 2 2 2 5" xfId="5925" xr:uid="{00000000-0005-0000-0000-00009D070000}"/>
    <cellStyle name="Comma 2 3 2 2 3" xfId="3998" xr:uid="{00000000-0005-0000-0000-00009E070000}"/>
    <cellStyle name="Comma 2 3 2 2 3 2" xfId="4567" xr:uid="{00000000-0005-0000-0000-00009F070000}"/>
    <cellStyle name="Comma 2 3 2 2 3 2 2" xfId="5731" xr:uid="{00000000-0005-0000-0000-0000A0070000}"/>
    <cellStyle name="Comma 2 3 2 2 3 2 2 2" xfId="6030" xr:uid="{00000000-0005-0000-0000-0000A1070000}"/>
    <cellStyle name="Comma 2 3 2 2 3 3" xfId="5730" xr:uid="{00000000-0005-0000-0000-0000A2070000}"/>
    <cellStyle name="Comma 2 3 2 2 3 3 2" xfId="6029" xr:uid="{00000000-0005-0000-0000-0000A3070000}"/>
    <cellStyle name="Comma 2 3 2 2 4" xfId="4564" xr:uid="{00000000-0005-0000-0000-0000A4070000}"/>
    <cellStyle name="Comma 2 3 2 2 4 2" xfId="5732" xr:uid="{00000000-0005-0000-0000-0000A5070000}"/>
    <cellStyle name="Comma 2 3 2 2 4 2 2" xfId="6031" xr:uid="{00000000-0005-0000-0000-0000A6070000}"/>
    <cellStyle name="Comma 2 3 2 3" xfId="1842" xr:uid="{00000000-0005-0000-0000-0000A7070000}"/>
    <cellStyle name="Comma 2 3 2 3 2" xfId="3954" xr:uid="{00000000-0005-0000-0000-0000A8070000}"/>
    <cellStyle name="Comma 2 3 2 3 2 2" xfId="4001" xr:uid="{00000000-0005-0000-0000-0000A9070000}"/>
    <cellStyle name="Comma 2 3 2 3 2 2 2" xfId="4570" xr:uid="{00000000-0005-0000-0000-0000AA070000}"/>
    <cellStyle name="Comma 2 3 2 3 2 2 2 2" xfId="5735" xr:uid="{00000000-0005-0000-0000-0000AB070000}"/>
    <cellStyle name="Comma 2 3 2 3 2 2 2 2 2" xfId="6034" xr:uid="{00000000-0005-0000-0000-0000AC070000}"/>
    <cellStyle name="Comma 2 3 2 3 2 2 2 3" xfId="5980" xr:uid="{00000000-0005-0000-0000-0000AD070000}"/>
    <cellStyle name="Comma 2 3 2 3 2 2 3" xfId="5734" xr:uid="{00000000-0005-0000-0000-0000AE070000}"/>
    <cellStyle name="Comma 2 3 2 3 2 2 3 2" xfId="6033" xr:uid="{00000000-0005-0000-0000-0000AF070000}"/>
    <cellStyle name="Comma 2 3 2 3 2 2 4" xfId="5968" xr:uid="{00000000-0005-0000-0000-0000B0070000}"/>
    <cellStyle name="Comma 2 3 2 3 2 3" xfId="4569" xr:uid="{00000000-0005-0000-0000-0000B1070000}"/>
    <cellStyle name="Comma 2 3 2 3 2 3 2" xfId="5736" xr:uid="{00000000-0005-0000-0000-0000B2070000}"/>
    <cellStyle name="Comma 2 3 2 3 2 3 2 2" xfId="6035" xr:uid="{00000000-0005-0000-0000-0000B3070000}"/>
    <cellStyle name="Comma 2 3 2 3 2 3 3" xfId="5979" xr:uid="{00000000-0005-0000-0000-0000B4070000}"/>
    <cellStyle name="Comma 2 3 2 3 2 4" xfId="5733" xr:uid="{00000000-0005-0000-0000-0000B5070000}"/>
    <cellStyle name="Comma 2 3 2 3 2 4 2" xfId="6032" xr:uid="{00000000-0005-0000-0000-0000B6070000}"/>
    <cellStyle name="Comma 2 3 2 3 2 5" xfId="5926" xr:uid="{00000000-0005-0000-0000-0000B7070000}"/>
    <cellStyle name="Comma 2 3 2 3 3" xfId="4000" xr:uid="{00000000-0005-0000-0000-0000B8070000}"/>
    <cellStyle name="Comma 2 3 2 3 3 2" xfId="4571" xr:uid="{00000000-0005-0000-0000-0000B9070000}"/>
    <cellStyle name="Comma 2 3 2 3 3 2 2" xfId="5738" xr:uid="{00000000-0005-0000-0000-0000BA070000}"/>
    <cellStyle name="Comma 2 3 2 3 3 2 2 2" xfId="6037" xr:uid="{00000000-0005-0000-0000-0000BB070000}"/>
    <cellStyle name="Comma 2 3 2 3 3 3" xfId="5737" xr:uid="{00000000-0005-0000-0000-0000BC070000}"/>
    <cellStyle name="Comma 2 3 2 3 3 3 2" xfId="6036" xr:uid="{00000000-0005-0000-0000-0000BD070000}"/>
    <cellStyle name="Comma 2 3 2 3 4" xfId="4568" xr:uid="{00000000-0005-0000-0000-0000BE070000}"/>
    <cellStyle name="Comma 2 3 2 3 4 2" xfId="5739" xr:uid="{00000000-0005-0000-0000-0000BF070000}"/>
    <cellStyle name="Comma 2 3 2 3 4 2 2" xfId="6038" xr:uid="{00000000-0005-0000-0000-0000C0070000}"/>
    <cellStyle name="Comma 2 3 2 4" xfId="1843" xr:uid="{00000000-0005-0000-0000-0000C1070000}"/>
    <cellStyle name="Comma 2 3 2 4 2" xfId="3955" xr:uid="{00000000-0005-0000-0000-0000C2070000}"/>
    <cellStyle name="Comma 2 3 2 4 2 2" xfId="4003" xr:uid="{00000000-0005-0000-0000-0000C3070000}"/>
    <cellStyle name="Comma 2 3 2 4 2 2 2" xfId="4574" xr:uid="{00000000-0005-0000-0000-0000C4070000}"/>
    <cellStyle name="Comma 2 3 2 4 2 2 2 2" xfId="5742" xr:uid="{00000000-0005-0000-0000-0000C5070000}"/>
    <cellStyle name="Comma 2 3 2 4 2 2 2 2 2" xfId="6041" xr:uid="{00000000-0005-0000-0000-0000C6070000}"/>
    <cellStyle name="Comma 2 3 2 4 2 2 2 3" xfId="5982" xr:uid="{00000000-0005-0000-0000-0000C7070000}"/>
    <cellStyle name="Comma 2 3 2 4 2 2 3" xfId="5741" xr:uid="{00000000-0005-0000-0000-0000C8070000}"/>
    <cellStyle name="Comma 2 3 2 4 2 2 3 2" xfId="6040" xr:uid="{00000000-0005-0000-0000-0000C9070000}"/>
    <cellStyle name="Comma 2 3 2 4 2 2 4" xfId="5969" xr:uid="{00000000-0005-0000-0000-0000CA070000}"/>
    <cellStyle name="Comma 2 3 2 4 2 3" xfId="4573" xr:uid="{00000000-0005-0000-0000-0000CB070000}"/>
    <cellStyle name="Comma 2 3 2 4 2 3 2" xfId="5743" xr:uid="{00000000-0005-0000-0000-0000CC070000}"/>
    <cellStyle name="Comma 2 3 2 4 2 3 2 2" xfId="6042" xr:uid="{00000000-0005-0000-0000-0000CD070000}"/>
    <cellStyle name="Comma 2 3 2 4 2 3 3" xfId="5981" xr:uid="{00000000-0005-0000-0000-0000CE070000}"/>
    <cellStyle name="Comma 2 3 2 4 2 4" xfId="5740" xr:uid="{00000000-0005-0000-0000-0000CF070000}"/>
    <cellStyle name="Comma 2 3 2 4 2 4 2" xfId="6039" xr:uid="{00000000-0005-0000-0000-0000D0070000}"/>
    <cellStyle name="Comma 2 3 2 4 2 5" xfId="5927" xr:uid="{00000000-0005-0000-0000-0000D1070000}"/>
    <cellStyle name="Comma 2 3 2 4 3" xfId="4002" xr:uid="{00000000-0005-0000-0000-0000D2070000}"/>
    <cellStyle name="Comma 2 3 2 4 3 2" xfId="4575" xr:uid="{00000000-0005-0000-0000-0000D3070000}"/>
    <cellStyle name="Comma 2 3 2 4 3 2 2" xfId="5745" xr:uid="{00000000-0005-0000-0000-0000D4070000}"/>
    <cellStyle name="Comma 2 3 2 4 3 2 2 2" xfId="6044" xr:uid="{00000000-0005-0000-0000-0000D5070000}"/>
    <cellStyle name="Comma 2 3 2 4 3 3" xfId="5744" xr:uid="{00000000-0005-0000-0000-0000D6070000}"/>
    <cellStyle name="Comma 2 3 2 4 3 3 2" xfId="6043" xr:uid="{00000000-0005-0000-0000-0000D7070000}"/>
    <cellStyle name="Comma 2 3 2 4 4" xfId="4572" xr:uid="{00000000-0005-0000-0000-0000D8070000}"/>
    <cellStyle name="Comma 2 3 2 4 4 2" xfId="5746" xr:uid="{00000000-0005-0000-0000-0000D9070000}"/>
    <cellStyle name="Comma 2 3 2 4 4 2 2" xfId="6045" xr:uid="{00000000-0005-0000-0000-0000DA070000}"/>
    <cellStyle name="Comma 2 3 2 5" xfId="1844" xr:uid="{00000000-0005-0000-0000-0000DB070000}"/>
    <cellStyle name="Comma 2 3 2 5 2" xfId="3956" xr:uid="{00000000-0005-0000-0000-0000DC070000}"/>
    <cellStyle name="Comma 2 3 2 5 2 2" xfId="4005" xr:uid="{00000000-0005-0000-0000-0000DD070000}"/>
    <cellStyle name="Comma 2 3 2 5 2 2 2" xfId="4578" xr:uid="{00000000-0005-0000-0000-0000DE070000}"/>
    <cellStyle name="Comma 2 3 2 5 2 2 2 2" xfId="5750" xr:uid="{00000000-0005-0000-0000-0000DF070000}"/>
    <cellStyle name="Comma 2 3 2 5 2 2 2 2 2" xfId="6049" xr:uid="{00000000-0005-0000-0000-0000E0070000}"/>
    <cellStyle name="Comma 2 3 2 5 2 2 2 3" xfId="5985" xr:uid="{00000000-0005-0000-0000-0000E1070000}"/>
    <cellStyle name="Comma 2 3 2 5 2 2 3" xfId="5749" xr:uid="{00000000-0005-0000-0000-0000E2070000}"/>
    <cellStyle name="Comma 2 3 2 5 2 2 3 2" xfId="6048" xr:uid="{00000000-0005-0000-0000-0000E3070000}"/>
    <cellStyle name="Comma 2 3 2 5 2 2 4" xfId="5971" xr:uid="{00000000-0005-0000-0000-0000E4070000}"/>
    <cellStyle name="Comma 2 3 2 5 2 3" xfId="4577" xr:uid="{00000000-0005-0000-0000-0000E5070000}"/>
    <cellStyle name="Comma 2 3 2 5 2 3 2" xfId="5751" xr:uid="{00000000-0005-0000-0000-0000E6070000}"/>
    <cellStyle name="Comma 2 3 2 5 2 3 2 2" xfId="6050" xr:uid="{00000000-0005-0000-0000-0000E7070000}"/>
    <cellStyle name="Comma 2 3 2 5 2 3 3" xfId="5984" xr:uid="{00000000-0005-0000-0000-0000E8070000}"/>
    <cellStyle name="Comma 2 3 2 5 2 4" xfId="5748" xr:uid="{00000000-0005-0000-0000-0000E9070000}"/>
    <cellStyle name="Comma 2 3 2 5 2 4 2" xfId="6047" xr:uid="{00000000-0005-0000-0000-0000EA070000}"/>
    <cellStyle name="Comma 2 3 2 5 2 5" xfId="5928" xr:uid="{00000000-0005-0000-0000-0000EB070000}"/>
    <cellStyle name="Comma 2 3 2 5 3" xfId="4004" xr:uid="{00000000-0005-0000-0000-0000EC070000}"/>
    <cellStyle name="Comma 2 3 2 5 3 2" xfId="4579" xr:uid="{00000000-0005-0000-0000-0000ED070000}"/>
    <cellStyle name="Comma 2 3 2 5 3 2 2" xfId="5753" xr:uid="{00000000-0005-0000-0000-0000EE070000}"/>
    <cellStyle name="Comma 2 3 2 5 3 2 2 2" xfId="6052" xr:uid="{00000000-0005-0000-0000-0000EF070000}"/>
    <cellStyle name="Comma 2 3 2 5 3 2 3" xfId="5986" xr:uid="{00000000-0005-0000-0000-0000F0070000}"/>
    <cellStyle name="Comma 2 3 2 5 3 3" xfId="5752" xr:uid="{00000000-0005-0000-0000-0000F1070000}"/>
    <cellStyle name="Comma 2 3 2 5 3 3 2" xfId="6051" xr:uid="{00000000-0005-0000-0000-0000F2070000}"/>
    <cellStyle name="Comma 2 3 2 5 3 4" xfId="5970" xr:uid="{00000000-0005-0000-0000-0000F3070000}"/>
    <cellStyle name="Comma 2 3 2 5 4" xfId="4576" xr:uid="{00000000-0005-0000-0000-0000F4070000}"/>
    <cellStyle name="Comma 2 3 2 5 4 2" xfId="5754" xr:uid="{00000000-0005-0000-0000-0000F5070000}"/>
    <cellStyle name="Comma 2 3 2 5 4 2 2" xfId="6053" xr:uid="{00000000-0005-0000-0000-0000F6070000}"/>
    <cellStyle name="Comma 2 3 2 5 4 3" xfId="5983" xr:uid="{00000000-0005-0000-0000-0000F7070000}"/>
    <cellStyle name="Comma 2 3 2 5 5" xfId="5747" xr:uid="{00000000-0005-0000-0000-0000F8070000}"/>
    <cellStyle name="Comma 2 3 2 5 5 2" xfId="6046" xr:uid="{00000000-0005-0000-0000-0000F9070000}"/>
    <cellStyle name="Comma 2 3 2 5 6" xfId="5876" xr:uid="{00000000-0005-0000-0000-0000FA070000}"/>
    <cellStyle name="Comma 2 3 2 6" xfId="1845" xr:uid="{00000000-0005-0000-0000-0000FB070000}"/>
    <cellStyle name="Comma 2 3 2 7" xfId="3997" xr:uid="{00000000-0005-0000-0000-0000FC070000}"/>
    <cellStyle name="Comma 2 3 2 7 2" xfId="4580" xr:uid="{00000000-0005-0000-0000-0000FD070000}"/>
    <cellStyle name="Comma 2 3 2 7 2 2" xfId="5756" xr:uid="{00000000-0005-0000-0000-0000FE070000}"/>
    <cellStyle name="Comma 2 3 2 7 2 2 2" xfId="6055" xr:uid="{00000000-0005-0000-0000-0000FF070000}"/>
    <cellStyle name="Comma 2 3 2 7 3" xfId="5755" xr:uid="{00000000-0005-0000-0000-000000080000}"/>
    <cellStyle name="Comma 2 3 2 7 3 2" xfId="6054" xr:uid="{00000000-0005-0000-0000-000001080000}"/>
    <cellStyle name="Comma 2 3 2 8" xfId="4563" xr:uid="{00000000-0005-0000-0000-000002080000}"/>
    <cellStyle name="Comma 2 3 2 8 2" xfId="5757" xr:uid="{00000000-0005-0000-0000-000003080000}"/>
    <cellStyle name="Comma 2 3 2 8 2 2" xfId="6056" xr:uid="{00000000-0005-0000-0000-000004080000}"/>
    <cellStyle name="Comma 2 3 3" xfId="1846" xr:uid="{00000000-0005-0000-0000-000005080000}"/>
    <cellStyle name="Comma 2 3 3 2" xfId="3957" xr:uid="{00000000-0005-0000-0000-000006080000}"/>
    <cellStyle name="Comma 2 3 3 2 2" xfId="4007" xr:uid="{00000000-0005-0000-0000-000007080000}"/>
    <cellStyle name="Comma 2 3 3 2 2 2" xfId="4583" xr:uid="{00000000-0005-0000-0000-000008080000}"/>
    <cellStyle name="Comma 2 3 3 2 2 2 2" xfId="5760" xr:uid="{00000000-0005-0000-0000-000009080000}"/>
    <cellStyle name="Comma 2 3 3 2 2 2 2 2" xfId="6059" xr:uid="{00000000-0005-0000-0000-00000A080000}"/>
    <cellStyle name="Comma 2 3 3 2 2 2 3" xfId="5988" xr:uid="{00000000-0005-0000-0000-00000B080000}"/>
    <cellStyle name="Comma 2 3 3 2 2 3" xfId="5759" xr:uid="{00000000-0005-0000-0000-00000C080000}"/>
    <cellStyle name="Comma 2 3 3 2 2 3 2" xfId="6058" xr:uid="{00000000-0005-0000-0000-00000D080000}"/>
    <cellStyle name="Comma 2 3 3 2 2 4" xfId="5972" xr:uid="{00000000-0005-0000-0000-00000E080000}"/>
    <cellStyle name="Comma 2 3 3 2 3" xfId="4582" xr:uid="{00000000-0005-0000-0000-00000F080000}"/>
    <cellStyle name="Comma 2 3 3 2 3 2" xfId="5761" xr:uid="{00000000-0005-0000-0000-000010080000}"/>
    <cellStyle name="Comma 2 3 3 2 3 2 2" xfId="6060" xr:uid="{00000000-0005-0000-0000-000011080000}"/>
    <cellStyle name="Comma 2 3 3 2 3 3" xfId="5987" xr:uid="{00000000-0005-0000-0000-000012080000}"/>
    <cellStyle name="Comma 2 3 3 2 4" xfId="5758" xr:uid="{00000000-0005-0000-0000-000013080000}"/>
    <cellStyle name="Comma 2 3 3 2 4 2" xfId="6057" xr:uid="{00000000-0005-0000-0000-000014080000}"/>
    <cellStyle name="Comma 2 3 3 2 5" xfId="5929" xr:uid="{00000000-0005-0000-0000-000015080000}"/>
    <cellStyle name="Comma 2 3 3 3" xfId="4006" xr:uid="{00000000-0005-0000-0000-000016080000}"/>
    <cellStyle name="Comma 2 3 3 3 2" xfId="4584" xr:uid="{00000000-0005-0000-0000-000017080000}"/>
    <cellStyle name="Comma 2 3 3 3 2 2" xfId="5763" xr:uid="{00000000-0005-0000-0000-000018080000}"/>
    <cellStyle name="Comma 2 3 3 3 2 2 2" xfId="6062" xr:uid="{00000000-0005-0000-0000-000019080000}"/>
    <cellStyle name="Comma 2 3 3 3 3" xfId="5762" xr:uid="{00000000-0005-0000-0000-00001A080000}"/>
    <cellStyle name="Comma 2 3 3 3 3 2" xfId="6061" xr:uid="{00000000-0005-0000-0000-00001B080000}"/>
    <cellStyle name="Comma 2 3 3 4" xfId="4581" xr:uid="{00000000-0005-0000-0000-00001C080000}"/>
    <cellStyle name="Comma 2 3 3 4 2" xfId="5764" xr:uid="{00000000-0005-0000-0000-00001D080000}"/>
    <cellStyle name="Comma 2 3 3 4 2 2" xfId="6063" xr:uid="{00000000-0005-0000-0000-00001E080000}"/>
    <cellStyle name="Comma 2 3 4" xfId="1847" xr:uid="{00000000-0005-0000-0000-00001F080000}"/>
    <cellStyle name="Comma 2 3 4 2" xfId="3958" xr:uid="{00000000-0005-0000-0000-000020080000}"/>
    <cellStyle name="Comma 2 3 4 2 2" xfId="4009" xr:uid="{00000000-0005-0000-0000-000021080000}"/>
    <cellStyle name="Comma 2 3 4 2 2 2" xfId="4587" xr:uid="{00000000-0005-0000-0000-000022080000}"/>
    <cellStyle name="Comma 2 3 4 2 2 2 2" xfId="5767" xr:uid="{00000000-0005-0000-0000-000023080000}"/>
    <cellStyle name="Comma 2 3 4 2 2 2 2 2" xfId="6066" xr:uid="{00000000-0005-0000-0000-000024080000}"/>
    <cellStyle name="Comma 2 3 4 2 2 2 3" xfId="5990" xr:uid="{00000000-0005-0000-0000-000025080000}"/>
    <cellStyle name="Comma 2 3 4 2 2 3" xfId="5766" xr:uid="{00000000-0005-0000-0000-000026080000}"/>
    <cellStyle name="Comma 2 3 4 2 2 3 2" xfId="6065" xr:uid="{00000000-0005-0000-0000-000027080000}"/>
    <cellStyle name="Comma 2 3 4 2 2 4" xfId="5973" xr:uid="{00000000-0005-0000-0000-000028080000}"/>
    <cellStyle name="Comma 2 3 4 2 3" xfId="4586" xr:uid="{00000000-0005-0000-0000-000029080000}"/>
    <cellStyle name="Comma 2 3 4 2 3 2" xfId="5768" xr:uid="{00000000-0005-0000-0000-00002A080000}"/>
    <cellStyle name="Comma 2 3 4 2 3 2 2" xfId="6067" xr:uid="{00000000-0005-0000-0000-00002B080000}"/>
    <cellStyle name="Comma 2 3 4 2 3 3" xfId="5989" xr:uid="{00000000-0005-0000-0000-00002C080000}"/>
    <cellStyle name="Comma 2 3 4 2 4" xfId="5765" xr:uid="{00000000-0005-0000-0000-00002D080000}"/>
    <cellStyle name="Comma 2 3 4 2 4 2" xfId="6064" xr:uid="{00000000-0005-0000-0000-00002E080000}"/>
    <cellStyle name="Comma 2 3 4 2 5" xfId="5930" xr:uid="{00000000-0005-0000-0000-00002F080000}"/>
    <cellStyle name="Comma 2 3 4 3" xfId="4008" xr:uid="{00000000-0005-0000-0000-000030080000}"/>
    <cellStyle name="Comma 2 3 4 3 2" xfId="4588" xr:uid="{00000000-0005-0000-0000-000031080000}"/>
    <cellStyle name="Comma 2 3 4 3 2 2" xfId="5770" xr:uid="{00000000-0005-0000-0000-000032080000}"/>
    <cellStyle name="Comma 2 3 4 3 2 2 2" xfId="6069" xr:uid="{00000000-0005-0000-0000-000033080000}"/>
    <cellStyle name="Comma 2 3 4 3 3" xfId="5769" xr:uid="{00000000-0005-0000-0000-000034080000}"/>
    <cellStyle name="Comma 2 3 4 3 3 2" xfId="6068" xr:uid="{00000000-0005-0000-0000-000035080000}"/>
    <cellStyle name="Comma 2 3 4 4" xfId="4585" xr:uid="{00000000-0005-0000-0000-000036080000}"/>
    <cellStyle name="Comma 2 3 4 4 2" xfId="5771" xr:uid="{00000000-0005-0000-0000-000037080000}"/>
    <cellStyle name="Comma 2 3 4 4 2 2" xfId="6070" xr:uid="{00000000-0005-0000-0000-000038080000}"/>
    <cellStyle name="Comma 2 3 5" xfId="1848" xr:uid="{00000000-0005-0000-0000-000039080000}"/>
    <cellStyle name="Comma 2 3 5 2" xfId="3959" xr:uid="{00000000-0005-0000-0000-00003A080000}"/>
    <cellStyle name="Comma 2 3 5 2 2" xfId="4011" xr:uid="{00000000-0005-0000-0000-00003B080000}"/>
    <cellStyle name="Comma 2 3 5 2 2 2" xfId="4591" xr:uid="{00000000-0005-0000-0000-00003C080000}"/>
    <cellStyle name="Comma 2 3 5 2 2 2 2" xfId="5774" xr:uid="{00000000-0005-0000-0000-00003D080000}"/>
    <cellStyle name="Comma 2 3 5 2 2 2 2 2" xfId="6073" xr:uid="{00000000-0005-0000-0000-00003E080000}"/>
    <cellStyle name="Comma 2 3 5 2 2 2 3" xfId="5992" xr:uid="{00000000-0005-0000-0000-00003F080000}"/>
    <cellStyle name="Comma 2 3 5 2 2 3" xfId="5773" xr:uid="{00000000-0005-0000-0000-000040080000}"/>
    <cellStyle name="Comma 2 3 5 2 2 3 2" xfId="6072" xr:uid="{00000000-0005-0000-0000-000041080000}"/>
    <cellStyle name="Comma 2 3 5 2 2 4" xfId="5974" xr:uid="{00000000-0005-0000-0000-000042080000}"/>
    <cellStyle name="Comma 2 3 5 2 3" xfId="4590" xr:uid="{00000000-0005-0000-0000-000043080000}"/>
    <cellStyle name="Comma 2 3 5 2 3 2" xfId="5775" xr:uid="{00000000-0005-0000-0000-000044080000}"/>
    <cellStyle name="Comma 2 3 5 2 3 2 2" xfId="6074" xr:uid="{00000000-0005-0000-0000-000045080000}"/>
    <cellStyle name="Comma 2 3 5 2 3 3" xfId="5991" xr:uid="{00000000-0005-0000-0000-000046080000}"/>
    <cellStyle name="Comma 2 3 5 2 4" xfId="5772" xr:uid="{00000000-0005-0000-0000-000047080000}"/>
    <cellStyle name="Comma 2 3 5 2 4 2" xfId="6071" xr:uid="{00000000-0005-0000-0000-000048080000}"/>
    <cellStyle name="Comma 2 3 5 2 5" xfId="5931" xr:uid="{00000000-0005-0000-0000-000049080000}"/>
    <cellStyle name="Comma 2 3 5 3" xfId="4010" xr:uid="{00000000-0005-0000-0000-00004A080000}"/>
    <cellStyle name="Comma 2 3 5 3 2" xfId="4592" xr:uid="{00000000-0005-0000-0000-00004B080000}"/>
    <cellStyle name="Comma 2 3 5 3 2 2" xfId="5777" xr:uid="{00000000-0005-0000-0000-00004C080000}"/>
    <cellStyle name="Comma 2 3 5 3 2 2 2" xfId="6076" xr:uid="{00000000-0005-0000-0000-00004D080000}"/>
    <cellStyle name="Comma 2 3 5 3 3" xfId="5776" xr:uid="{00000000-0005-0000-0000-00004E080000}"/>
    <cellStyle name="Comma 2 3 5 3 3 2" xfId="6075" xr:uid="{00000000-0005-0000-0000-00004F080000}"/>
    <cellStyle name="Comma 2 3 5 4" xfId="4589" xr:uid="{00000000-0005-0000-0000-000050080000}"/>
    <cellStyle name="Comma 2 3 5 4 2" xfId="5778" xr:uid="{00000000-0005-0000-0000-000051080000}"/>
    <cellStyle name="Comma 2 3 5 4 2 2" xfId="6077" xr:uid="{00000000-0005-0000-0000-000052080000}"/>
    <cellStyle name="Comma 2 3 6" xfId="1849" xr:uid="{00000000-0005-0000-0000-000053080000}"/>
    <cellStyle name="Comma 2 3 6 2" xfId="3960" xr:uid="{00000000-0005-0000-0000-000054080000}"/>
    <cellStyle name="Comma 2 3 6 2 2" xfId="5780" xr:uid="{00000000-0005-0000-0000-000055080000}"/>
    <cellStyle name="Comma 2 3 6 2 2 2" xfId="6079" xr:uid="{00000000-0005-0000-0000-000056080000}"/>
    <cellStyle name="Comma 2 3 6 2 3" xfId="5932" xr:uid="{00000000-0005-0000-0000-000057080000}"/>
    <cellStyle name="Comma 2 3 6 3" xfId="5779" xr:uid="{00000000-0005-0000-0000-000058080000}"/>
    <cellStyle name="Comma 2 3 6 3 2" xfId="6078" xr:uid="{00000000-0005-0000-0000-000059080000}"/>
    <cellStyle name="Comma 2 3 6 4" xfId="5877" xr:uid="{00000000-0005-0000-0000-00005A080000}"/>
    <cellStyle name="Comma 2 3 7" xfId="1850" xr:uid="{00000000-0005-0000-0000-00005B080000}"/>
    <cellStyle name="Comma 2 3 7 2" xfId="3961" xr:uid="{00000000-0005-0000-0000-00005C080000}"/>
    <cellStyle name="Comma 2 3 7 2 2" xfId="4013" xr:uid="{00000000-0005-0000-0000-00005D080000}"/>
    <cellStyle name="Comma 2 3 7 2 2 2" xfId="4595" xr:uid="{00000000-0005-0000-0000-00005E080000}"/>
    <cellStyle name="Comma 2 3 7 2 2 2 2" xfId="5784" xr:uid="{00000000-0005-0000-0000-00005F080000}"/>
    <cellStyle name="Comma 2 3 7 2 2 2 2 2" xfId="6083" xr:uid="{00000000-0005-0000-0000-000060080000}"/>
    <cellStyle name="Comma 2 3 7 2 2 2 3" xfId="5995" xr:uid="{00000000-0005-0000-0000-000061080000}"/>
    <cellStyle name="Comma 2 3 7 2 2 3" xfId="5783" xr:uid="{00000000-0005-0000-0000-000062080000}"/>
    <cellStyle name="Comma 2 3 7 2 2 3 2" xfId="6082" xr:uid="{00000000-0005-0000-0000-000063080000}"/>
    <cellStyle name="Comma 2 3 7 2 2 4" xfId="5976" xr:uid="{00000000-0005-0000-0000-000064080000}"/>
    <cellStyle name="Comma 2 3 7 2 3" xfId="4594" xr:uid="{00000000-0005-0000-0000-000065080000}"/>
    <cellStyle name="Comma 2 3 7 2 3 2" xfId="5785" xr:uid="{00000000-0005-0000-0000-000066080000}"/>
    <cellStyle name="Comma 2 3 7 2 3 2 2" xfId="6084" xr:uid="{00000000-0005-0000-0000-000067080000}"/>
    <cellStyle name="Comma 2 3 7 2 3 3" xfId="5994" xr:uid="{00000000-0005-0000-0000-000068080000}"/>
    <cellStyle name="Comma 2 3 7 2 4" xfId="5782" xr:uid="{00000000-0005-0000-0000-000069080000}"/>
    <cellStyle name="Comma 2 3 7 2 4 2" xfId="6081" xr:uid="{00000000-0005-0000-0000-00006A080000}"/>
    <cellStyle name="Comma 2 3 7 2 5" xfId="5933" xr:uid="{00000000-0005-0000-0000-00006B080000}"/>
    <cellStyle name="Comma 2 3 7 3" xfId="4012" xr:uid="{00000000-0005-0000-0000-00006C080000}"/>
    <cellStyle name="Comma 2 3 7 3 2" xfId="4596" xr:uid="{00000000-0005-0000-0000-00006D080000}"/>
    <cellStyle name="Comma 2 3 7 3 2 2" xfId="5787" xr:uid="{00000000-0005-0000-0000-00006E080000}"/>
    <cellStyle name="Comma 2 3 7 3 2 2 2" xfId="6086" xr:uid="{00000000-0005-0000-0000-00006F080000}"/>
    <cellStyle name="Comma 2 3 7 3 2 3" xfId="5996" xr:uid="{00000000-0005-0000-0000-000070080000}"/>
    <cellStyle name="Comma 2 3 7 3 3" xfId="5786" xr:uid="{00000000-0005-0000-0000-000071080000}"/>
    <cellStyle name="Comma 2 3 7 3 3 2" xfId="6085" xr:uid="{00000000-0005-0000-0000-000072080000}"/>
    <cellStyle name="Comma 2 3 7 3 4" xfId="5975" xr:uid="{00000000-0005-0000-0000-000073080000}"/>
    <cellStyle name="Comma 2 3 7 4" xfId="4593" xr:uid="{00000000-0005-0000-0000-000074080000}"/>
    <cellStyle name="Comma 2 3 7 4 2" xfId="5788" xr:uid="{00000000-0005-0000-0000-000075080000}"/>
    <cellStyle name="Comma 2 3 7 4 2 2" xfId="6087" xr:uid="{00000000-0005-0000-0000-000076080000}"/>
    <cellStyle name="Comma 2 3 7 4 3" xfId="5993" xr:uid="{00000000-0005-0000-0000-000077080000}"/>
    <cellStyle name="Comma 2 3 7 5" xfId="5781" xr:uid="{00000000-0005-0000-0000-000078080000}"/>
    <cellStyle name="Comma 2 3 7 5 2" xfId="6080" xr:uid="{00000000-0005-0000-0000-000079080000}"/>
    <cellStyle name="Comma 2 3 7 6" xfId="5878" xr:uid="{00000000-0005-0000-0000-00007A080000}"/>
    <cellStyle name="Comma 2 3 8" xfId="1851" xr:uid="{00000000-0005-0000-0000-00007B080000}"/>
    <cellStyle name="Comma 2 3 8 2" xfId="3962" xr:uid="{00000000-0005-0000-0000-00007C080000}"/>
    <cellStyle name="Comma 2 3 8 2 2" xfId="5790" xr:uid="{00000000-0005-0000-0000-00007D080000}"/>
    <cellStyle name="Comma 2 3 8 2 2 2" xfId="6089" xr:uid="{00000000-0005-0000-0000-00007E080000}"/>
    <cellStyle name="Comma 2 3 8 2 3" xfId="5934" xr:uid="{00000000-0005-0000-0000-00007F080000}"/>
    <cellStyle name="Comma 2 3 8 3" xfId="5789" xr:uid="{00000000-0005-0000-0000-000080080000}"/>
    <cellStyle name="Comma 2 3 8 3 2" xfId="6088" xr:uid="{00000000-0005-0000-0000-000081080000}"/>
    <cellStyle name="Comma 2 3 8 4" xfId="5879" xr:uid="{00000000-0005-0000-0000-000082080000}"/>
    <cellStyle name="Comma 2 3 9" xfId="1852" xr:uid="{00000000-0005-0000-0000-000083080000}"/>
    <cellStyle name="Comma 2 3 9 2" xfId="3963" xr:uid="{00000000-0005-0000-0000-000084080000}"/>
    <cellStyle name="Comma 2 3 9 2 2" xfId="5792" xr:uid="{00000000-0005-0000-0000-000085080000}"/>
    <cellStyle name="Comma 2 3 9 2 2 2" xfId="6091" xr:uid="{00000000-0005-0000-0000-000086080000}"/>
    <cellStyle name="Comma 2 3 9 2 3" xfId="5935" xr:uid="{00000000-0005-0000-0000-000087080000}"/>
    <cellStyle name="Comma 2 3 9 3" xfId="5791" xr:uid="{00000000-0005-0000-0000-000088080000}"/>
    <cellStyle name="Comma 2 3 9 3 2" xfId="6090" xr:uid="{00000000-0005-0000-0000-000089080000}"/>
    <cellStyle name="Comma 2 3 9 4" xfId="5880" xr:uid="{00000000-0005-0000-0000-00008A080000}"/>
    <cellStyle name="Comma 2 4" xfId="1853" xr:uid="{00000000-0005-0000-0000-00008B080000}"/>
    <cellStyle name="Comma 2 4 2" xfId="1854" xr:uid="{00000000-0005-0000-0000-00008C080000}"/>
    <cellStyle name="Comma 2 4 2 2" xfId="3964" xr:uid="{00000000-0005-0000-0000-00008D080000}"/>
    <cellStyle name="Comma 2 4 2 2 2" xfId="5794" xr:uid="{00000000-0005-0000-0000-00008E080000}"/>
    <cellStyle name="Comma 2 4 2 2 2 2" xfId="6093" xr:uid="{00000000-0005-0000-0000-00008F080000}"/>
    <cellStyle name="Comma 2 4 2 2 3" xfId="5936" xr:uid="{00000000-0005-0000-0000-000090080000}"/>
    <cellStyle name="Comma 2 4 2 3" xfId="5793" xr:uid="{00000000-0005-0000-0000-000091080000}"/>
    <cellStyle name="Comma 2 4 2 3 2" xfId="6092" xr:uid="{00000000-0005-0000-0000-000092080000}"/>
    <cellStyle name="Comma 2 4 2 4" xfId="5881" xr:uid="{00000000-0005-0000-0000-000093080000}"/>
    <cellStyle name="Comma 2 4 3" xfId="1855" xr:uid="{00000000-0005-0000-0000-000094080000}"/>
    <cellStyle name="Comma 2 4 3 2" xfId="3965" xr:uid="{00000000-0005-0000-0000-000095080000}"/>
    <cellStyle name="Comma 2 4 3 2 2" xfId="5796" xr:uid="{00000000-0005-0000-0000-000096080000}"/>
    <cellStyle name="Comma 2 4 3 2 2 2" xfId="6095" xr:uid="{00000000-0005-0000-0000-000097080000}"/>
    <cellStyle name="Comma 2 4 3 2 3" xfId="5937" xr:uid="{00000000-0005-0000-0000-000098080000}"/>
    <cellStyle name="Comma 2 4 3 3" xfId="5795" xr:uid="{00000000-0005-0000-0000-000099080000}"/>
    <cellStyle name="Comma 2 4 3 3 2" xfId="6094" xr:uid="{00000000-0005-0000-0000-00009A080000}"/>
    <cellStyle name="Comma 2 4 3 4" xfId="5882" xr:uid="{00000000-0005-0000-0000-00009B080000}"/>
    <cellStyle name="Comma 2 5" xfId="1856" xr:uid="{00000000-0005-0000-0000-00009C080000}"/>
    <cellStyle name="Comma 2 5 2" xfId="3966" xr:uid="{00000000-0005-0000-0000-00009D080000}"/>
    <cellStyle name="Comma 2 5 2 2" xfId="5798" xr:uid="{00000000-0005-0000-0000-00009E080000}"/>
    <cellStyle name="Comma 2 5 2 2 2" xfId="6097" xr:uid="{00000000-0005-0000-0000-00009F080000}"/>
    <cellStyle name="Comma 2 5 2 3" xfId="5938" xr:uid="{00000000-0005-0000-0000-0000A0080000}"/>
    <cellStyle name="Comma 2 5 3" xfId="5797" xr:uid="{00000000-0005-0000-0000-0000A1080000}"/>
    <cellStyle name="Comma 2 5 3 2" xfId="6096" xr:uid="{00000000-0005-0000-0000-0000A2080000}"/>
    <cellStyle name="Comma 2 5 4" xfId="5883" xr:uid="{00000000-0005-0000-0000-0000A3080000}"/>
    <cellStyle name="Comma 2 6" xfId="3946" xr:uid="{00000000-0005-0000-0000-0000A4080000}"/>
    <cellStyle name="Comma 2 6 2" xfId="5799" xr:uid="{00000000-0005-0000-0000-0000A5080000}"/>
    <cellStyle name="Comma 2 6 2 2" xfId="6098" xr:uid="{00000000-0005-0000-0000-0000A6080000}"/>
    <cellStyle name="Comma 2 6 3" xfId="5918" xr:uid="{00000000-0005-0000-0000-0000A7080000}"/>
    <cellStyle name="Comma 2 7" xfId="5708" xr:uid="{00000000-0005-0000-0000-0000A8080000}"/>
    <cellStyle name="Comma 2 7 2" xfId="6007" xr:uid="{00000000-0005-0000-0000-0000A9080000}"/>
    <cellStyle name="Comma 2 8" xfId="5869" xr:uid="{00000000-0005-0000-0000-0000AA080000}"/>
    <cellStyle name="Comma 2 9" xfId="6163" xr:uid="{18208A30-D7CC-4A52-9421-C5516466D741}"/>
    <cellStyle name="Comma 2_Compare" xfId="1857" xr:uid="{00000000-0005-0000-0000-0000AB080000}"/>
    <cellStyle name="Comma 20" xfId="1858" xr:uid="{00000000-0005-0000-0000-0000AC080000}"/>
    <cellStyle name="Comma 20 2" xfId="3967" xr:uid="{00000000-0005-0000-0000-0000AD080000}"/>
    <cellStyle name="Comma 20 2 2" xfId="5801" xr:uid="{00000000-0005-0000-0000-0000AE080000}"/>
    <cellStyle name="Comma 20 2 2 2" xfId="6100" xr:uid="{00000000-0005-0000-0000-0000AF080000}"/>
    <cellStyle name="Comma 20 2 3" xfId="5939" xr:uid="{00000000-0005-0000-0000-0000B0080000}"/>
    <cellStyle name="Comma 20 3" xfId="5800" xr:uid="{00000000-0005-0000-0000-0000B1080000}"/>
    <cellStyle name="Comma 20 3 2" xfId="6099" xr:uid="{00000000-0005-0000-0000-0000B2080000}"/>
    <cellStyle name="Comma 20 4" xfId="5884" xr:uid="{00000000-0005-0000-0000-0000B3080000}"/>
    <cellStyle name="Comma 3" xfId="1859" xr:uid="{00000000-0005-0000-0000-0000B4080000}"/>
    <cellStyle name="Comma 3 2" xfId="1860" xr:uid="{00000000-0005-0000-0000-0000B5080000}"/>
    <cellStyle name="Comma 3 3" xfId="1861" xr:uid="{00000000-0005-0000-0000-0000B6080000}"/>
    <cellStyle name="Comma 3 3 2" xfId="1862" xr:uid="{00000000-0005-0000-0000-0000B7080000}"/>
    <cellStyle name="Comma 3 3 2 2" xfId="3970" xr:uid="{00000000-0005-0000-0000-0000B8080000}"/>
    <cellStyle name="Comma 3 3 2 2 2" xfId="5805" xr:uid="{00000000-0005-0000-0000-0000B9080000}"/>
    <cellStyle name="Comma 3 3 2 2 2 2" xfId="6104" xr:uid="{00000000-0005-0000-0000-0000BA080000}"/>
    <cellStyle name="Comma 3 3 2 2 3" xfId="5942" xr:uid="{00000000-0005-0000-0000-0000BB080000}"/>
    <cellStyle name="Comma 3 3 2 3" xfId="5804" xr:uid="{00000000-0005-0000-0000-0000BC080000}"/>
    <cellStyle name="Comma 3 3 2 3 2" xfId="6103" xr:uid="{00000000-0005-0000-0000-0000BD080000}"/>
    <cellStyle name="Comma 3 3 2 4" xfId="5887" xr:uid="{00000000-0005-0000-0000-0000BE080000}"/>
    <cellStyle name="Comma 3 3 3" xfId="3969" xr:uid="{00000000-0005-0000-0000-0000BF080000}"/>
    <cellStyle name="Comma 3 3 3 2" xfId="5806" xr:uid="{00000000-0005-0000-0000-0000C0080000}"/>
    <cellStyle name="Comma 3 3 3 2 2" xfId="6105" xr:uid="{00000000-0005-0000-0000-0000C1080000}"/>
    <cellStyle name="Comma 3 3 3 3" xfId="5941" xr:uid="{00000000-0005-0000-0000-0000C2080000}"/>
    <cellStyle name="Comma 3 3 4" xfId="5803" xr:uid="{00000000-0005-0000-0000-0000C3080000}"/>
    <cellStyle name="Comma 3 3 4 2" xfId="6102" xr:uid="{00000000-0005-0000-0000-0000C4080000}"/>
    <cellStyle name="Comma 3 3 5" xfId="5886" xr:uid="{00000000-0005-0000-0000-0000C5080000}"/>
    <cellStyle name="Comma 3 4" xfId="1863" xr:uid="{00000000-0005-0000-0000-0000C6080000}"/>
    <cellStyle name="Comma 3 4 2" xfId="3971" xr:uid="{00000000-0005-0000-0000-0000C7080000}"/>
    <cellStyle name="Comma 3 4 2 2" xfId="5808" xr:uid="{00000000-0005-0000-0000-0000C8080000}"/>
    <cellStyle name="Comma 3 4 2 2 2" xfId="6107" xr:uid="{00000000-0005-0000-0000-0000C9080000}"/>
    <cellStyle name="Comma 3 4 2 3" xfId="5943" xr:uid="{00000000-0005-0000-0000-0000CA080000}"/>
    <cellStyle name="Comma 3 4 3" xfId="5807" xr:uid="{00000000-0005-0000-0000-0000CB080000}"/>
    <cellStyle name="Comma 3 4 3 2" xfId="6106" xr:uid="{00000000-0005-0000-0000-0000CC080000}"/>
    <cellStyle name="Comma 3 4 4" xfId="5888" xr:uid="{00000000-0005-0000-0000-0000CD080000}"/>
    <cellStyle name="Comma 3 5" xfId="1864" xr:uid="{00000000-0005-0000-0000-0000CE080000}"/>
    <cellStyle name="Comma 3 5 2" xfId="3972" xr:uid="{00000000-0005-0000-0000-0000CF080000}"/>
    <cellStyle name="Comma 3 5 2 2" xfId="5810" xr:uid="{00000000-0005-0000-0000-0000D0080000}"/>
    <cellStyle name="Comma 3 5 2 2 2" xfId="6109" xr:uid="{00000000-0005-0000-0000-0000D1080000}"/>
    <cellStyle name="Comma 3 5 2 3" xfId="5944" xr:uid="{00000000-0005-0000-0000-0000D2080000}"/>
    <cellStyle name="Comma 3 5 3" xfId="5809" xr:uid="{00000000-0005-0000-0000-0000D3080000}"/>
    <cellStyle name="Comma 3 5 3 2" xfId="6108" xr:uid="{00000000-0005-0000-0000-0000D4080000}"/>
    <cellStyle name="Comma 3 5 4" xfId="5889" xr:uid="{00000000-0005-0000-0000-0000D5080000}"/>
    <cellStyle name="Comma 3 6" xfId="3968" xr:uid="{00000000-0005-0000-0000-0000D6080000}"/>
    <cellStyle name="Comma 3 6 2" xfId="5811" xr:uid="{00000000-0005-0000-0000-0000D7080000}"/>
    <cellStyle name="Comma 3 6 2 2" xfId="6110" xr:uid="{00000000-0005-0000-0000-0000D8080000}"/>
    <cellStyle name="Comma 3 6 3" xfId="5940" xr:uid="{00000000-0005-0000-0000-0000D9080000}"/>
    <cellStyle name="Comma 3 7" xfId="5802" xr:uid="{00000000-0005-0000-0000-0000DA080000}"/>
    <cellStyle name="Comma 3 7 2" xfId="6101" xr:uid="{00000000-0005-0000-0000-0000DB080000}"/>
    <cellStyle name="Comma 3 8" xfId="5885" xr:uid="{00000000-0005-0000-0000-0000DC080000}"/>
    <cellStyle name="Comma 4" xfId="1865" xr:uid="{00000000-0005-0000-0000-0000DD080000}"/>
    <cellStyle name="Comma 4 2" xfId="1866" xr:uid="{00000000-0005-0000-0000-0000DE080000}"/>
    <cellStyle name="Comma 4 2 2" xfId="1867" xr:uid="{00000000-0005-0000-0000-0000DF080000}"/>
    <cellStyle name="Comma 4 2 2 2" xfId="3975" xr:uid="{00000000-0005-0000-0000-0000E0080000}"/>
    <cellStyle name="Comma 4 2 2 2 2" xfId="5815" xr:uid="{00000000-0005-0000-0000-0000E1080000}"/>
    <cellStyle name="Comma 4 2 2 2 2 2" xfId="6114" xr:uid="{00000000-0005-0000-0000-0000E2080000}"/>
    <cellStyle name="Comma 4 2 2 2 3" xfId="5947" xr:uid="{00000000-0005-0000-0000-0000E3080000}"/>
    <cellStyle name="Comma 4 2 2 3" xfId="5814" xr:uid="{00000000-0005-0000-0000-0000E4080000}"/>
    <cellStyle name="Comma 4 2 2 3 2" xfId="6113" xr:uid="{00000000-0005-0000-0000-0000E5080000}"/>
    <cellStyle name="Comma 4 2 2 4" xfId="5892" xr:uid="{00000000-0005-0000-0000-0000E6080000}"/>
    <cellStyle name="Comma 4 2 3" xfId="3974" xr:uid="{00000000-0005-0000-0000-0000E7080000}"/>
    <cellStyle name="Comma 4 2 3 2" xfId="5816" xr:uid="{00000000-0005-0000-0000-0000E8080000}"/>
    <cellStyle name="Comma 4 2 3 2 2" xfId="6115" xr:uid="{00000000-0005-0000-0000-0000E9080000}"/>
    <cellStyle name="Comma 4 2 3 3" xfId="5946" xr:uid="{00000000-0005-0000-0000-0000EA080000}"/>
    <cellStyle name="Comma 4 2 4" xfId="5813" xr:uid="{00000000-0005-0000-0000-0000EB080000}"/>
    <cellStyle name="Comma 4 2 4 2" xfId="6112" xr:uid="{00000000-0005-0000-0000-0000EC080000}"/>
    <cellStyle name="Comma 4 2 5" xfId="5891" xr:uid="{00000000-0005-0000-0000-0000ED080000}"/>
    <cellStyle name="Comma 4 3" xfId="1868" xr:uid="{00000000-0005-0000-0000-0000EE080000}"/>
    <cellStyle name="Comma 4 3 2" xfId="1869" xr:uid="{00000000-0005-0000-0000-0000EF080000}"/>
    <cellStyle name="Comma 4 3 2 2" xfId="3977" xr:uid="{00000000-0005-0000-0000-0000F0080000}"/>
    <cellStyle name="Comma 4 3 2 2 2" xfId="5819" xr:uid="{00000000-0005-0000-0000-0000F1080000}"/>
    <cellStyle name="Comma 4 3 2 2 2 2" xfId="6118" xr:uid="{00000000-0005-0000-0000-0000F2080000}"/>
    <cellStyle name="Comma 4 3 2 2 3" xfId="5949" xr:uid="{00000000-0005-0000-0000-0000F3080000}"/>
    <cellStyle name="Comma 4 3 2 3" xfId="5818" xr:uid="{00000000-0005-0000-0000-0000F4080000}"/>
    <cellStyle name="Comma 4 3 2 3 2" xfId="6117" xr:uid="{00000000-0005-0000-0000-0000F5080000}"/>
    <cellStyle name="Comma 4 3 2 4" xfId="5894" xr:uid="{00000000-0005-0000-0000-0000F6080000}"/>
    <cellStyle name="Comma 4 3 3" xfId="3976" xr:uid="{00000000-0005-0000-0000-0000F7080000}"/>
    <cellStyle name="Comma 4 3 3 2" xfId="5820" xr:uid="{00000000-0005-0000-0000-0000F8080000}"/>
    <cellStyle name="Comma 4 3 3 2 2" xfId="6119" xr:uid="{00000000-0005-0000-0000-0000F9080000}"/>
    <cellStyle name="Comma 4 3 3 3" xfId="5948" xr:uid="{00000000-0005-0000-0000-0000FA080000}"/>
    <cellStyle name="Comma 4 3 4" xfId="5817" xr:uid="{00000000-0005-0000-0000-0000FB080000}"/>
    <cellStyle name="Comma 4 3 4 2" xfId="6116" xr:uid="{00000000-0005-0000-0000-0000FC080000}"/>
    <cellStyle name="Comma 4 3 5" xfId="5893" xr:uid="{00000000-0005-0000-0000-0000FD080000}"/>
    <cellStyle name="Comma 4 4" xfId="1870" xr:uid="{00000000-0005-0000-0000-0000FE080000}"/>
    <cellStyle name="Comma 4 4 2" xfId="3978" xr:uid="{00000000-0005-0000-0000-0000FF080000}"/>
    <cellStyle name="Comma 4 4 2 2" xfId="5822" xr:uid="{00000000-0005-0000-0000-000000090000}"/>
    <cellStyle name="Comma 4 4 2 2 2" xfId="6121" xr:uid="{00000000-0005-0000-0000-000001090000}"/>
    <cellStyle name="Comma 4 4 2 3" xfId="5950" xr:uid="{00000000-0005-0000-0000-000002090000}"/>
    <cellStyle name="Comma 4 4 3" xfId="5821" xr:uid="{00000000-0005-0000-0000-000003090000}"/>
    <cellStyle name="Comma 4 4 3 2" xfId="6120" xr:uid="{00000000-0005-0000-0000-000004090000}"/>
    <cellStyle name="Comma 4 4 4" xfId="5895" xr:uid="{00000000-0005-0000-0000-000005090000}"/>
    <cellStyle name="Comma 4 5" xfId="1871" xr:uid="{00000000-0005-0000-0000-000006090000}"/>
    <cellStyle name="Comma 4 5 2" xfId="3979" xr:uid="{00000000-0005-0000-0000-000007090000}"/>
    <cellStyle name="Comma 4 5 2 2" xfId="5824" xr:uid="{00000000-0005-0000-0000-000008090000}"/>
    <cellStyle name="Comma 4 5 2 2 2" xfId="6123" xr:uid="{00000000-0005-0000-0000-000009090000}"/>
    <cellStyle name="Comma 4 5 2 3" xfId="5951" xr:uid="{00000000-0005-0000-0000-00000A090000}"/>
    <cellStyle name="Comma 4 5 3" xfId="5823" xr:uid="{00000000-0005-0000-0000-00000B090000}"/>
    <cellStyle name="Comma 4 5 3 2" xfId="6122" xr:uid="{00000000-0005-0000-0000-00000C090000}"/>
    <cellStyle name="Comma 4 5 4" xfId="5896" xr:uid="{00000000-0005-0000-0000-00000D090000}"/>
    <cellStyle name="Comma 4 6" xfId="3973" xr:uid="{00000000-0005-0000-0000-00000E090000}"/>
    <cellStyle name="Comma 4 6 2" xfId="5825" xr:uid="{00000000-0005-0000-0000-00000F090000}"/>
    <cellStyle name="Comma 4 6 2 2" xfId="6124" xr:uid="{00000000-0005-0000-0000-000010090000}"/>
    <cellStyle name="Comma 4 6 3" xfId="5945" xr:uid="{00000000-0005-0000-0000-000011090000}"/>
    <cellStyle name="Comma 4 7" xfId="5812" xr:uid="{00000000-0005-0000-0000-000012090000}"/>
    <cellStyle name="Comma 4 7 2" xfId="6111" xr:uid="{00000000-0005-0000-0000-000013090000}"/>
    <cellStyle name="Comma 4 8" xfId="5890" xr:uid="{00000000-0005-0000-0000-000014090000}"/>
    <cellStyle name="Comma 5" xfId="1872" xr:uid="{00000000-0005-0000-0000-000015090000}"/>
    <cellStyle name="Comma 5 2" xfId="1873" xr:uid="{00000000-0005-0000-0000-000016090000}"/>
    <cellStyle name="Comma 5 2 2" xfId="3981" xr:uid="{00000000-0005-0000-0000-000017090000}"/>
    <cellStyle name="Comma 5 2 2 2" xfId="5828" xr:uid="{00000000-0005-0000-0000-000018090000}"/>
    <cellStyle name="Comma 5 2 2 2 2" xfId="6127" xr:uid="{00000000-0005-0000-0000-000019090000}"/>
    <cellStyle name="Comma 5 2 2 3" xfId="5953" xr:uid="{00000000-0005-0000-0000-00001A090000}"/>
    <cellStyle name="Comma 5 2 3" xfId="5827" xr:uid="{00000000-0005-0000-0000-00001B090000}"/>
    <cellStyle name="Comma 5 2 3 2" xfId="6126" xr:uid="{00000000-0005-0000-0000-00001C090000}"/>
    <cellStyle name="Comma 5 2 4" xfId="5898" xr:uid="{00000000-0005-0000-0000-00001D090000}"/>
    <cellStyle name="Comma 5 3" xfId="1874" xr:uid="{00000000-0005-0000-0000-00001E090000}"/>
    <cellStyle name="Comma 5 3 2" xfId="3982" xr:uid="{00000000-0005-0000-0000-00001F090000}"/>
    <cellStyle name="Comma 5 3 2 2" xfId="5830" xr:uid="{00000000-0005-0000-0000-000020090000}"/>
    <cellStyle name="Comma 5 3 2 2 2" xfId="6129" xr:uid="{00000000-0005-0000-0000-000021090000}"/>
    <cellStyle name="Comma 5 3 2 3" xfId="5954" xr:uid="{00000000-0005-0000-0000-000022090000}"/>
    <cellStyle name="Comma 5 3 3" xfId="5829" xr:uid="{00000000-0005-0000-0000-000023090000}"/>
    <cellStyle name="Comma 5 3 3 2" xfId="6128" xr:uid="{00000000-0005-0000-0000-000024090000}"/>
    <cellStyle name="Comma 5 3 4" xfId="5899" xr:uid="{00000000-0005-0000-0000-000025090000}"/>
    <cellStyle name="Comma 5 4" xfId="3980" xr:uid="{00000000-0005-0000-0000-000026090000}"/>
    <cellStyle name="Comma 5 4 2" xfId="5831" xr:uid="{00000000-0005-0000-0000-000027090000}"/>
    <cellStyle name="Comma 5 4 2 2" xfId="6130" xr:uid="{00000000-0005-0000-0000-000028090000}"/>
    <cellStyle name="Comma 5 4 3" xfId="5952" xr:uid="{00000000-0005-0000-0000-000029090000}"/>
    <cellStyle name="Comma 5 5" xfId="5826" xr:uid="{00000000-0005-0000-0000-00002A090000}"/>
    <cellStyle name="Comma 5 5 2" xfId="6125" xr:uid="{00000000-0005-0000-0000-00002B090000}"/>
    <cellStyle name="Comma 5 6" xfId="5897" xr:uid="{00000000-0005-0000-0000-00002C090000}"/>
    <cellStyle name="Comma 6" xfId="1875" xr:uid="{00000000-0005-0000-0000-00002D090000}"/>
    <cellStyle name="Comma 6 2" xfId="1876" xr:uid="{00000000-0005-0000-0000-00002E090000}"/>
    <cellStyle name="Comma 6 2 2" xfId="3984" xr:uid="{00000000-0005-0000-0000-00002F090000}"/>
    <cellStyle name="Comma 6 2 2 2" xfId="5834" xr:uid="{00000000-0005-0000-0000-000030090000}"/>
    <cellStyle name="Comma 6 2 2 2 2" xfId="6133" xr:uid="{00000000-0005-0000-0000-000031090000}"/>
    <cellStyle name="Comma 6 2 2 3" xfId="5956" xr:uid="{00000000-0005-0000-0000-000032090000}"/>
    <cellStyle name="Comma 6 2 3" xfId="5833" xr:uid="{00000000-0005-0000-0000-000033090000}"/>
    <cellStyle name="Comma 6 2 3 2" xfId="6132" xr:uid="{00000000-0005-0000-0000-000034090000}"/>
    <cellStyle name="Comma 6 2 4" xfId="5901" xr:uid="{00000000-0005-0000-0000-000035090000}"/>
    <cellStyle name="Comma 6 3" xfId="1877" xr:uid="{00000000-0005-0000-0000-000036090000}"/>
    <cellStyle name="Comma 6 3 2" xfId="3985" xr:uid="{00000000-0005-0000-0000-000037090000}"/>
    <cellStyle name="Comma 6 3 2 2" xfId="5836" xr:uid="{00000000-0005-0000-0000-000038090000}"/>
    <cellStyle name="Comma 6 3 2 2 2" xfId="6135" xr:uid="{00000000-0005-0000-0000-000039090000}"/>
    <cellStyle name="Comma 6 3 2 3" xfId="5957" xr:uid="{00000000-0005-0000-0000-00003A090000}"/>
    <cellStyle name="Comma 6 3 3" xfId="5835" xr:uid="{00000000-0005-0000-0000-00003B090000}"/>
    <cellStyle name="Comma 6 3 3 2" xfId="6134" xr:uid="{00000000-0005-0000-0000-00003C090000}"/>
    <cellStyle name="Comma 6 3 4" xfId="5902" xr:uid="{00000000-0005-0000-0000-00003D090000}"/>
    <cellStyle name="Comma 6 4" xfId="3983" xr:uid="{00000000-0005-0000-0000-00003E090000}"/>
    <cellStyle name="Comma 6 4 2" xfId="5837" xr:uid="{00000000-0005-0000-0000-00003F090000}"/>
    <cellStyle name="Comma 6 4 2 2" xfId="6136" xr:uid="{00000000-0005-0000-0000-000040090000}"/>
    <cellStyle name="Comma 6 4 3" xfId="5955" xr:uid="{00000000-0005-0000-0000-000041090000}"/>
    <cellStyle name="Comma 6 5" xfId="5832" xr:uid="{00000000-0005-0000-0000-000042090000}"/>
    <cellStyle name="Comma 6 5 2" xfId="6131" xr:uid="{00000000-0005-0000-0000-000043090000}"/>
    <cellStyle name="Comma 6 6" xfId="5900" xr:uid="{00000000-0005-0000-0000-000044090000}"/>
    <cellStyle name="Comma 7" xfId="1878" xr:uid="{00000000-0005-0000-0000-000045090000}"/>
    <cellStyle name="Comma 7 2" xfId="3986" xr:uid="{00000000-0005-0000-0000-000046090000}"/>
    <cellStyle name="Comma 7 2 2" xfId="5839" xr:uid="{00000000-0005-0000-0000-000047090000}"/>
    <cellStyle name="Comma 7 2 2 2" xfId="6138" xr:uid="{00000000-0005-0000-0000-000048090000}"/>
    <cellStyle name="Comma 7 2 3" xfId="5958" xr:uid="{00000000-0005-0000-0000-000049090000}"/>
    <cellStyle name="Comma 7 3" xfId="5838" xr:uid="{00000000-0005-0000-0000-00004A090000}"/>
    <cellStyle name="Comma 7 3 2" xfId="6137" xr:uid="{00000000-0005-0000-0000-00004B090000}"/>
    <cellStyle name="Comma 7 4" xfId="5903" xr:uid="{00000000-0005-0000-0000-00004C090000}"/>
    <cellStyle name="Comma 8" xfId="1879" xr:uid="{00000000-0005-0000-0000-00004D090000}"/>
    <cellStyle name="Comma 8 2" xfId="3987" xr:uid="{00000000-0005-0000-0000-00004E090000}"/>
    <cellStyle name="Comma 8 2 2" xfId="5841" xr:uid="{00000000-0005-0000-0000-00004F090000}"/>
    <cellStyle name="Comma 8 2 2 2" xfId="6140" xr:uid="{00000000-0005-0000-0000-000050090000}"/>
    <cellStyle name="Comma 8 2 3" xfId="5959" xr:uid="{00000000-0005-0000-0000-000051090000}"/>
    <cellStyle name="Comma 8 3" xfId="5840" xr:uid="{00000000-0005-0000-0000-000052090000}"/>
    <cellStyle name="Comma 8 3 2" xfId="6139" xr:uid="{00000000-0005-0000-0000-000053090000}"/>
    <cellStyle name="Comma 8 4" xfId="5904" xr:uid="{00000000-0005-0000-0000-000054090000}"/>
    <cellStyle name="Comma 9" xfId="1880" xr:uid="{00000000-0005-0000-0000-000055090000}"/>
    <cellStyle name="Comma 9 2" xfId="3988" xr:uid="{00000000-0005-0000-0000-000056090000}"/>
    <cellStyle name="Comma 9 2 2" xfId="5843" xr:uid="{00000000-0005-0000-0000-000057090000}"/>
    <cellStyle name="Comma 9 2 2 2" xfId="6142" xr:uid="{00000000-0005-0000-0000-000058090000}"/>
    <cellStyle name="Comma 9 2 3" xfId="5960" xr:uid="{00000000-0005-0000-0000-000059090000}"/>
    <cellStyle name="Comma 9 3" xfId="5842" xr:uid="{00000000-0005-0000-0000-00005A090000}"/>
    <cellStyle name="Comma 9 3 2" xfId="6141" xr:uid="{00000000-0005-0000-0000-00005B090000}"/>
    <cellStyle name="Comma 9 4" xfId="5905" xr:uid="{00000000-0005-0000-0000-00005C090000}"/>
    <cellStyle name="comma zerodec" xfId="1881" xr:uid="{00000000-0005-0000-0000-00005D090000}"/>
    <cellStyle name="Comma0" xfId="1882" xr:uid="{00000000-0005-0000-0000-00005E090000}"/>
    <cellStyle name="Copied" xfId="1883" xr:uid="{00000000-0005-0000-0000-00005F090000}"/>
    <cellStyle name="CountryTitle" xfId="1884" xr:uid="{00000000-0005-0000-0000-000060090000}"/>
    <cellStyle name="CrudeDisplay" xfId="1885" xr:uid="{00000000-0005-0000-0000-000061090000}"/>
    <cellStyle name="Curren - Style3" xfId="1886" xr:uid="{00000000-0005-0000-0000-000062090000}"/>
    <cellStyle name="Curren - Style3 10" xfId="1887" xr:uid="{00000000-0005-0000-0000-000063090000}"/>
    <cellStyle name="Curren - Style3 11" xfId="1888" xr:uid="{00000000-0005-0000-0000-000064090000}"/>
    <cellStyle name="Curren - Style3 12" xfId="1889" xr:uid="{00000000-0005-0000-0000-000065090000}"/>
    <cellStyle name="Curren - Style3 13" xfId="1890" xr:uid="{00000000-0005-0000-0000-000066090000}"/>
    <cellStyle name="Curren - Style3 14" xfId="1891" xr:uid="{00000000-0005-0000-0000-000067090000}"/>
    <cellStyle name="Curren - Style3 15" xfId="1892" xr:uid="{00000000-0005-0000-0000-000068090000}"/>
    <cellStyle name="Curren - Style3 16" xfId="1893" xr:uid="{00000000-0005-0000-0000-000069090000}"/>
    <cellStyle name="Curren - Style3 17" xfId="1894" xr:uid="{00000000-0005-0000-0000-00006A090000}"/>
    <cellStyle name="Curren - Style3 18" xfId="1895" xr:uid="{00000000-0005-0000-0000-00006B090000}"/>
    <cellStyle name="Curren - Style3 19" xfId="1896" xr:uid="{00000000-0005-0000-0000-00006C090000}"/>
    <cellStyle name="Curren - Style3 2" xfId="1897" xr:uid="{00000000-0005-0000-0000-00006D090000}"/>
    <cellStyle name="Curren - Style3 20" xfId="1898" xr:uid="{00000000-0005-0000-0000-00006E090000}"/>
    <cellStyle name="Curren - Style3 21" xfId="1899" xr:uid="{00000000-0005-0000-0000-00006F090000}"/>
    <cellStyle name="Curren - Style3 22" xfId="1900" xr:uid="{00000000-0005-0000-0000-000070090000}"/>
    <cellStyle name="Curren - Style3 23" xfId="1901" xr:uid="{00000000-0005-0000-0000-000071090000}"/>
    <cellStyle name="Curren - Style3 24" xfId="1902" xr:uid="{00000000-0005-0000-0000-000072090000}"/>
    <cellStyle name="Curren - Style3 3" xfId="1903" xr:uid="{00000000-0005-0000-0000-000073090000}"/>
    <cellStyle name="Curren - Style3 4" xfId="1904" xr:uid="{00000000-0005-0000-0000-000074090000}"/>
    <cellStyle name="Curren - Style3 5" xfId="1905" xr:uid="{00000000-0005-0000-0000-000075090000}"/>
    <cellStyle name="Curren - Style3 6" xfId="1906" xr:uid="{00000000-0005-0000-0000-000076090000}"/>
    <cellStyle name="Curren - Style3 7" xfId="1907" xr:uid="{00000000-0005-0000-0000-000077090000}"/>
    <cellStyle name="Curren - Style3 8" xfId="1908" xr:uid="{00000000-0005-0000-0000-000078090000}"/>
    <cellStyle name="Curren - Style3 9" xfId="1909" xr:uid="{00000000-0005-0000-0000-000079090000}"/>
    <cellStyle name="Curren - Style4" xfId="1910" xr:uid="{00000000-0005-0000-0000-00007A090000}"/>
    <cellStyle name="Curren - Style4 10" xfId="1911" xr:uid="{00000000-0005-0000-0000-00007B090000}"/>
    <cellStyle name="Curren - Style4 11" xfId="1912" xr:uid="{00000000-0005-0000-0000-00007C090000}"/>
    <cellStyle name="Curren - Style4 12" xfId="1913" xr:uid="{00000000-0005-0000-0000-00007D090000}"/>
    <cellStyle name="Curren - Style4 13" xfId="1914" xr:uid="{00000000-0005-0000-0000-00007E090000}"/>
    <cellStyle name="Curren - Style4 14" xfId="1915" xr:uid="{00000000-0005-0000-0000-00007F090000}"/>
    <cellStyle name="Curren - Style4 15" xfId="1916" xr:uid="{00000000-0005-0000-0000-000080090000}"/>
    <cellStyle name="Curren - Style4 16" xfId="1917" xr:uid="{00000000-0005-0000-0000-000081090000}"/>
    <cellStyle name="Curren - Style4 17" xfId="1918" xr:uid="{00000000-0005-0000-0000-000082090000}"/>
    <cellStyle name="Curren - Style4 18" xfId="1919" xr:uid="{00000000-0005-0000-0000-000083090000}"/>
    <cellStyle name="Curren - Style4 19" xfId="1920" xr:uid="{00000000-0005-0000-0000-000084090000}"/>
    <cellStyle name="Curren - Style4 2" xfId="1921" xr:uid="{00000000-0005-0000-0000-000085090000}"/>
    <cellStyle name="Curren - Style4 20" xfId="1922" xr:uid="{00000000-0005-0000-0000-000086090000}"/>
    <cellStyle name="Curren - Style4 21" xfId="1923" xr:uid="{00000000-0005-0000-0000-000087090000}"/>
    <cellStyle name="Curren - Style4 22" xfId="1924" xr:uid="{00000000-0005-0000-0000-000088090000}"/>
    <cellStyle name="Curren - Style4 23" xfId="1925" xr:uid="{00000000-0005-0000-0000-000089090000}"/>
    <cellStyle name="Curren - Style4 24" xfId="1926" xr:uid="{00000000-0005-0000-0000-00008A090000}"/>
    <cellStyle name="Curren - Style4 3" xfId="1927" xr:uid="{00000000-0005-0000-0000-00008B090000}"/>
    <cellStyle name="Curren - Style4 4" xfId="1928" xr:uid="{00000000-0005-0000-0000-00008C090000}"/>
    <cellStyle name="Curren - Style4 5" xfId="1929" xr:uid="{00000000-0005-0000-0000-00008D090000}"/>
    <cellStyle name="Curren - Style4 6" xfId="1930" xr:uid="{00000000-0005-0000-0000-00008E090000}"/>
    <cellStyle name="Curren - Style4 7" xfId="1931" xr:uid="{00000000-0005-0000-0000-00008F090000}"/>
    <cellStyle name="Curren - Style4 8" xfId="1932" xr:uid="{00000000-0005-0000-0000-000090090000}"/>
    <cellStyle name="Curren - Style4 9" xfId="1933" xr:uid="{00000000-0005-0000-0000-000091090000}"/>
    <cellStyle name="Currency 2" xfId="1934" xr:uid="{00000000-0005-0000-0000-000092090000}"/>
    <cellStyle name="Currency 3" xfId="1935" xr:uid="{00000000-0005-0000-0000-000093090000}"/>
    <cellStyle name="Currency 3 2" xfId="3989" xr:uid="{00000000-0005-0000-0000-000094090000}"/>
    <cellStyle name="Currency 3 2 2" xfId="5845" xr:uid="{00000000-0005-0000-0000-000095090000}"/>
    <cellStyle name="Currency 3 2 2 2" xfId="6144" xr:uid="{00000000-0005-0000-0000-000096090000}"/>
    <cellStyle name="Currency 3 2 3" xfId="5961" xr:uid="{00000000-0005-0000-0000-000097090000}"/>
    <cellStyle name="Currency 3 3" xfId="5844" xr:uid="{00000000-0005-0000-0000-000098090000}"/>
    <cellStyle name="Currency 3 3 2" xfId="6143" xr:uid="{00000000-0005-0000-0000-000099090000}"/>
    <cellStyle name="Currency 3 4" xfId="5906" xr:uid="{00000000-0005-0000-0000-00009A090000}"/>
    <cellStyle name="Currency 4" xfId="1936" xr:uid="{00000000-0005-0000-0000-00009B090000}"/>
    <cellStyle name="Currency 4 2" xfId="3990" xr:uid="{00000000-0005-0000-0000-00009C090000}"/>
    <cellStyle name="Currency 4 2 2" xfId="5847" xr:uid="{00000000-0005-0000-0000-00009D090000}"/>
    <cellStyle name="Currency 4 2 2 2" xfId="6146" xr:uid="{00000000-0005-0000-0000-00009E090000}"/>
    <cellStyle name="Currency 4 2 3" xfId="5962" xr:uid="{00000000-0005-0000-0000-00009F090000}"/>
    <cellStyle name="Currency 4 3" xfId="5846" xr:uid="{00000000-0005-0000-0000-0000A0090000}"/>
    <cellStyle name="Currency 4 3 2" xfId="6145" xr:uid="{00000000-0005-0000-0000-0000A1090000}"/>
    <cellStyle name="Currency 4 4" xfId="5907" xr:uid="{00000000-0005-0000-0000-0000A2090000}"/>
    <cellStyle name="Currency0" xfId="1937" xr:uid="{00000000-0005-0000-0000-0000A3090000}"/>
    <cellStyle name="Currency1" xfId="1938" xr:uid="{00000000-0005-0000-0000-0000A4090000}"/>
    <cellStyle name="Dash" xfId="1939" xr:uid="{00000000-0005-0000-0000-0000A5090000}"/>
    <cellStyle name="Dash 2" xfId="1940" xr:uid="{00000000-0005-0000-0000-0000A6090000}"/>
    <cellStyle name="Dash 2 2" xfId="1941" xr:uid="{00000000-0005-0000-0000-0000A7090000}"/>
    <cellStyle name="Date" xfId="1942" xr:uid="{00000000-0005-0000-0000-0000A8090000}"/>
    <cellStyle name="Dollar (zero dec)" xfId="1943" xr:uid="{00000000-0005-0000-0000-0000A9090000}"/>
    <cellStyle name="Entered" xfId="1944" xr:uid="{00000000-0005-0000-0000-0000AA090000}"/>
    <cellStyle name="Explanatory Text 10" xfId="1945" xr:uid="{00000000-0005-0000-0000-0000AB090000}"/>
    <cellStyle name="Explanatory Text 10 2" xfId="1946" xr:uid="{00000000-0005-0000-0000-0000AC090000}"/>
    <cellStyle name="Explanatory Text 10 3" xfId="1947" xr:uid="{00000000-0005-0000-0000-0000AD090000}"/>
    <cellStyle name="Explanatory Text 11" xfId="1948" xr:uid="{00000000-0005-0000-0000-0000AE090000}"/>
    <cellStyle name="Explanatory Text 11 2" xfId="1949" xr:uid="{00000000-0005-0000-0000-0000AF090000}"/>
    <cellStyle name="Explanatory Text 11 3" xfId="1950" xr:uid="{00000000-0005-0000-0000-0000B0090000}"/>
    <cellStyle name="Explanatory Text 12" xfId="1951" xr:uid="{00000000-0005-0000-0000-0000B1090000}"/>
    <cellStyle name="Explanatory Text 12 2" xfId="1952" xr:uid="{00000000-0005-0000-0000-0000B2090000}"/>
    <cellStyle name="Explanatory Text 13" xfId="1953" xr:uid="{00000000-0005-0000-0000-0000B3090000}"/>
    <cellStyle name="Explanatory Text 13 2" xfId="1954" xr:uid="{00000000-0005-0000-0000-0000B4090000}"/>
    <cellStyle name="Explanatory Text 14" xfId="1955" xr:uid="{00000000-0005-0000-0000-0000B5090000}"/>
    <cellStyle name="Explanatory Text 15" xfId="1956" xr:uid="{00000000-0005-0000-0000-0000B6090000}"/>
    <cellStyle name="Explanatory Text 2" xfId="1957" xr:uid="{00000000-0005-0000-0000-0000B7090000}"/>
    <cellStyle name="Explanatory Text 2 10" xfId="1958" xr:uid="{00000000-0005-0000-0000-0000B8090000}"/>
    <cellStyle name="Explanatory Text 2 11" xfId="1959" xr:uid="{00000000-0005-0000-0000-0000B9090000}"/>
    <cellStyle name="Explanatory Text 2 12" xfId="1960" xr:uid="{00000000-0005-0000-0000-0000BA090000}"/>
    <cellStyle name="Explanatory Text 2 13" xfId="1961" xr:uid="{00000000-0005-0000-0000-0000BB090000}"/>
    <cellStyle name="Explanatory Text 2 14" xfId="1962" xr:uid="{00000000-0005-0000-0000-0000BC090000}"/>
    <cellStyle name="Explanatory Text 2 2" xfId="1963" xr:uid="{00000000-0005-0000-0000-0000BD090000}"/>
    <cellStyle name="Explanatory Text 2 2 2" xfId="1964" xr:uid="{00000000-0005-0000-0000-0000BE090000}"/>
    <cellStyle name="Explanatory Text 2 2 3" xfId="1965" xr:uid="{00000000-0005-0000-0000-0000BF090000}"/>
    <cellStyle name="Explanatory Text 2 3" xfId="1966" xr:uid="{00000000-0005-0000-0000-0000C0090000}"/>
    <cellStyle name="Explanatory Text 2 3 2" xfId="1967" xr:uid="{00000000-0005-0000-0000-0000C1090000}"/>
    <cellStyle name="Explanatory Text 2 4" xfId="1968" xr:uid="{00000000-0005-0000-0000-0000C2090000}"/>
    <cellStyle name="Explanatory Text 2 5" xfId="1969" xr:uid="{00000000-0005-0000-0000-0000C3090000}"/>
    <cellStyle name="Explanatory Text 2 6" xfId="1970" xr:uid="{00000000-0005-0000-0000-0000C4090000}"/>
    <cellStyle name="Explanatory Text 2 7" xfId="1971" xr:uid="{00000000-0005-0000-0000-0000C5090000}"/>
    <cellStyle name="Explanatory Text 2 8" xfId="1972" xr:uid="{00000000-0005-0000-0000-0000C6090000}"/>
    <cellStyle name="Explanatory Text 2 9" xfId="1973" xr:uid="{00000000-0005-0000-0000-0000C7090000}"/>
    <cellStyle name="Explanatory Text 3" xfId="1974" xr:uid="{00000000-0005-0000-0000-0000C8090000}"/>
    <cellStyle name="Explanatory Text 3 2" xfId="1975" xr:uid="{00000000-0005-0000-0000-0000C9090000}"/>
    <cellStyle name="Explanatory Text 3 3" xfId="1976" xr:uid="{00000000-0005-0000-0000-0000CA090000}"/>
    <cellStyle name="Explanatory Text 3 4" xfId="1977" xr:uid="{00000000-0005-0000-0000-0000CB090000}"/>
    <cellStyle name="Explanatory Text 3 5" xfId="1978" xr:uid="{00000000-0005-0000-0000-0000CC090000}"/>
    <cellStyle name="Explanatory Text 3 6" xfId="1979" xr:uid="{00000000-0005-0000-0000-0000CD090000}"/>
    <cellStyle name="Explanatory Text 3 7" xfId="1980" xr:uid="{00000000-0005-0000-0000-0000CE090000}"/>
    <cellStyle name="Explanatory Text 3 8" xfId="1981" xr:uid="{00000000-0005-0000-0000-0000CF090000}"/>
    <cellStyle name="Explanatory Text 4" xfId="1982" xr:uid="{00000000-0005-0000-0000-0000D0090000}"/>
    <cellStyle name="Explanatory Text 4 2" xfId="1983" xr:uid="{00000000-0005-0000-0000-0000D1090000}"/>
    <cellStyle name="Explanatory Text 4 3" xfId="1984" xr:uid="{00000000-0005-0000-0000-0000D2090000}"/>
    <cellStyle name="Explanatory Text 4 4" xfId="1985" xr:uid="{00000000-0005-0000-0000-0000D3090000}"/>
    <cellStyle name="Explanatory Text 4 5" xfId="1986" xr:uid="{00000000-0005-0000-0000-0000D4090000}"/>
    <cellStyle name="Explanatory Text 4 6" xfId="1987" xr:uid="{00000000-0005-0000-0000-0000D5090000}"/>
    <cellStyle name="Explanatory Text 5" xfId="1988" xr:uid="{00000000-0005-0000-0000-0000D6090000}"/>
    <cellStyle name="Explanatory Text 5 2" xfId="1989" xr:uid="{00000000-0005-0000-0000-0000D7090000}"/>
    <cellStyle name="Explanatory Text 5 3" xfId="1990" xr:uid="{00000000-0005-0000-0000-0000D8090000}"/>
    <cellStyle name="Explanatory Text 5 4" xfId="1991" xr:uid="{00000000-0005-0000-0000-0000D9090000}"/>
    <cellStyle name="Explanatory Text 5 5" xfId="1992" xr:uid="{00000000-0005-0000-0000-0000DA090000}"/>
    <cellStyle name="Explanatory Text 6" xfId="1993" xr:uid="{00000000-0005-0000-0000-0000DB090000}"/>
    <cellStyle name="Explanatory Text 6 2" xfId="1994" xr:uid="{00000000-0005-0000-0000-0000DC090000}"/>
    <cellStyle name="Explanatory Text 6 3" xfId="1995" xr:uid="{00000000-0005-0000-0000-0000DD090000}"/>
    <cellStyle name="Explanatory Text 6 4" xfId="1996" xr:uid="{00000000-0005-0000-0000-0000DE090000}"/>
    <cellStyle name="Explanatory Text 7" xfId="1997" xr:uid="{00000000-0005-0000-0000-0000DF090000}"/>
    <cellStyle name="Explanatory Text 7 2" xfId="1998" xr:uid="{00000000-0005-0000-0000-0000E0090000}"/>
    <cellStyle name="Explanatory Text 7 3" xfId="1999" xr:uid="{00000000-0005-0000-0000-0000E1090000}"/>
    <cellStyle name="Explanatory Text 7 4" xfId="2000" xr:uid="{00000000-0005-0000-0000-0000E2090000}"/>
    <cellStyle name="Explanatory Text 8" xfId="2001" xr:uid="{00000000-0005-0000-0000-0000E3090000}"/>
    <cellStyle name="Explanatory Text 8 2" xfId="2002" xr:uid="{00000000-0005-0000-0000-0000E4090000}"/>
    <cellStyle name="Explanatory Text 8 3" xfId="2003" xr:uid="{00000000-0005-0000-0000-0000E5090000}"/>
    <cellStyle name="Explanatory Text 9" xfId="2004" xr:uid="{00000000-0005-0000-0000-0000E6090000}"/>
    <cellStyle name="Explanatory Text 9 2" xfId="2005" xr:uid="{00000000-0005-0000-0000-0000E7090000}"/>
    <cellStyle name="Explanatory Text 9 3" xfId="2006" xr:uid="{00000000-0005-0000-0000-0000E8090000}"/>
    <cellStyle name="FIGURES" xfId="2007" xr:uid="{00000000-0005-0000-0000-0000E9090000}"/>
    <cellStyle name="Fixed" xfId="2008" xr:uid="{00000000-0005-0000-0000-0000EA090000}"/>
    <cellStyle name="Good 10" xfId="2009" xr:uid="{00000000-0005-0000-0000-0000EB090000}"/>
    <cellStyle name="Good 10 2" xfId="2010" xr:uid="{00000000-0005-0000-0000-0000EC090000}"/>
    <cellStyle name="Good 10 3" xfId="2011" xr:uid="{00000000-0005-0000-0000-0000ED090000}"/>
    <cellStyle name="Good 11" xfId="2012" xr:uid="{00000000-0005-0000-0000-0000EE090000}"/>
    <cellStyle name="Good 11 2" xfId="2013" xr:uid="{00000000-0005-0000-0000-0000EF090000}"/>
    <cellStyle name="Good 11 3" xfId="2014" xr:uid="{00000000-0005-0000-0000-0000F0090000}"/>
    <cellStyle name="Good 12" xfId="2015" xr:uid="{00000000-0005-0000-0000-0000F1090000}"/>
    <cellStyle name="Good 12 2" xfId="2016" xr:uid="{00000000-0005-0000-0000-0000F2090000}"/>
    <cellStyle name="Good 13" xfId="2017" xr:uid="{00000000-0005-0000-0000-0000F3090000}"/>
    <cellStyle name="Good 13 2" xfId="2018" xr:uid="{00000000-0005-0000-0000-0000F4090000}"/>
    <cellStyle name="Good 14" xfId="2019" xr:uid="{00000000-0005-0000-0000-0000F5090000}"/>
    <cellStyle name="Good 15" xfId="2020" xr:uid="{00000000-0005-0000-0000-0000F6090000}"/>
    <cellStyle name="Good 2" xfId="2021" xr:uid="{00000000-0005-0000-0000-0000F7090000}"/>
    <cellStyle name="Good 2 10" xfId="2022" xr:uid="{00000000-0005-0000-0000-0000F8090000}"/>
    <cellStyle name="Good 2 11" xfId="2023" xr:uid="{00000000-0005-0000-0000-0000F9090000}"/>
    <cellStyle name="Good 2 12" xfId="2024" xr:uid="{00000000-0005-0000-0000-0000FA090000}"/>
    <cellStyle name="Good 2 13" xfId="2025" xr:uid="{00000000-0005-0000-0000-0000FB090000}"/>
    <cellStyle name="Good 2 14" xfId="2026" xr:uid="{00000000-0005-0000-0000-0000FC090000}"/>
    <cellStyle name="Good 2 2" xfId="2027" xr:uid="{00000000-0005-0000-0000-0000FD090000}"/>
    <cellStyle name="Good 2 2 2" xfId="2028" xr:uid="{00000000-0005-0000-0000-0000FE090000}"/>
    <cellStyle name="Good 2 2 3" xfId="2029" xr:uid="{00000000-0005-0000-0000-0000FF090000}"/>
    <cellStyle name="Good 2 3" xfId="2030" xr:uid="{00000000-0005-0000-0000-0000000A0000}"/>
    <cellStyle name="Good 2 3 2" xfId="2031" xr:uid="{00000000-0005-0000-0000-0000010A0000}"/>
    <cellStyle name="Good 2 4" xfId="2032" xr:uid="{00000000-0005-0000-0000-0000020A0000}"/>
    <cellStyle name="Good 2 5" xfId="2033" xr:uid="{00000000-0005-0000-0000-0000030A0000}"/>
    <cellStyle name="Good 2 6" xfId="2034" xr:uid="{00000000-0005-0000-0000-0000040A0000}"/>
    <cellStyle name="Good 2 7" xfId="2035" xr:uid="{00000000-0005-0000-0000-0000050A0000}"/>
    <cellStyle name="Good 2 8" xfId="2036" xr:uid="{00000000-0005-0000-0000-0000060A0000}"/>
    <cellStyle name="Good 2 9" xfId="2037" xr:uid="{00000000-0005-0000-0000-0000070A0000}"/>
    <cellStyle name="Good 3" xfId="2038" xr:uid="{00000000-0005-0000-0000-0000080A0000}"/>
    <cellStyle name="Good 3 2" xfId="2039" xr:uid="{00000000-0005-0000-0000-0000090A0000}"/>
    <cellStyle name="Good 3 3" xfId="2040" xr:uid="{00000000-0005-0000-0000-00000A0A0000}"/>
    <cellStyle name="Good 3 4" xfId="2041" xr:uid="{00000000-0005-0000-0000-00000B0A0000}"/>
    <cellStyle name="Good 3 5" xfId="2042" xr:uid="{00000000-0005-0000-0000-00000C0A0000}"/>
    <cellStyle name="Good 3 6" xfId="2043" xr:uid="{00000000-0005-0000-0000-00000D0A0000}"/>
    <cellStyle name="Good 3 7" xfId="2044" xr:uid="{00000000-0005-0000-0000-00000E0A0000}"/>
    <cellStyle name="Good 3 8" xfId="2045" xr:uid="{00000000-0005-0000-0000-00000F0A0000}"/>
    <cellStyle name="Good 4" xfId="2046" xr:uid="{00000000-0005-0000-0000-0000100A0000}"/>
    <cellStyle name="Good 4 2" xfId="2047" xr:uid="{00000000-0005-0000-0000-0000110A0000}"/>
    <cellStyle name="Good 4 3" xfId="2048" xr:uid="{00000000-0005-0000-0000-0000120A0000}"/>
    <cellStyle name="Good 4 4" xfId="2049" xr:uid="{00000000-0005-0000-0000-0000130A0000}"/>
    <cellStyle name="Good 4 5" xfId="2050" xr:uid="{00000000-0005-0000-0000-0000140A0000}"/>
    <cellStyle name="Good 4 6" xfId="2051" xr:uid="{00000000-0005-0000-0000-0000150A0000}"/>
    <cellStyle name="Good 5" xfId="2052" xr:uid="{00000000-0005-0000-0000-0000160A0000}"/>
    <cellStyle name="Good 5 2" xfId="2053" xr:uid="{00000000-0005-0000-0000-0000170A0000}"/>
    <cellStyle name="Good 5 3" xfId="2054" xr:uid="{00000000-0005-0000-0000-0000180A0000}"/>
    <cellStyle name="Good 5 4" xfId="2055" xr:uid="{00000000-0005-0000-0000-0000190A0000}"/>
    <cellStyle name="Good 5 5" xfId="2056" xr:uid="{00000000-0005-0000-0000-00001A0A0000}"/>
    <cellStyle name="Good 6" xfId="2057" xr:uid="{00000000-0005-0000-0000-00001B0A0000}"/>
    <cellStyle name="Good 6 2" xfId="2058" xr:uid="{00000000-0005-0000-0000-00001C0A0000}"/>
    <cellStyle name="Good 6 3" xfId="2059" xr:uid="{00000000-0005-0000-0000-00001D0A0000}"/>
    <cellStyle name="Good 6 4" xfId="2060" xr:uid="{00000000-0005-0000-0000-00001E0A0000}"/>
    <cellStyle name="Good 7" xfId="2061" xr:uid="{00000000-0005-0000-0000-00001F0A0000}"/>
    <cellStyle name="Good 7 2" xfId="2062" xr:uid="{00000000-0005-0000-0000-0000200A0000}"/>
    <cellStyle name="Good 7 3" xfId="2063" xr:uid="{00000000-0005-0000-0000-0000210A0000}"/>
    <cellStyle name="Good 7 4" xfId="2064" xr:uid="{00000000-0005-0000-0000-0000220A0000}"/>
    <cellStyle name="Good 8" xfId="2065" xr:uid="{00000000-0005-0000-0000-0000230A0000}"/>
    <cellStyle name="Good 8 2" xfId="2066" xr:uid="{00000000-0005-0000-0000-0000240A0000}"/>
    <cellStyle name="Good 8 3" xfId="2067" xr:uid="{00000000-0005-0000-0000-0000250A0000}"/>
    <cellStyle name="Good 9" xfId="2068" xr:uid="{00000000-0005-0000-0000-0000260A0000}"/>
    <cellStyle name="Good 9 2" xfId="2069" xr:uid="{00000000-0005-0000-0000-0000270A0000}"/>
    <cellStyle name="Good 9 3" xfId="2070" xr:uid="{00000000-0005-0000-0000-0000280A0000}"/>
    <cellStyle name="Grey" xfId="2071" xr:uid="{00000000-0005-0000-0000-0000290A0000}"/>
    <cellStyle name="Grey 10" xfId="2072" xr:uid="{00000000-0005-0000-0000-00002A0A0000}"/>
    <cellStyle name="Grey 11" xfId="2073" xr:uid="{00000000-0005-0000-0000-00002B0A0000}"/>
    <cellStyle name="Grey 12" xfId="2074" xr:uid="{00000000-0005-0000-0000-00002C0A0000}"/>
    <cellStyle name="Grey 13" xfId="2075" xr:uid="{00000000-0005-0000-0000-00002D0A0000}"/>
    <cellStyle name="Grey 14" xfId="2076" xr:uid="{00000000-0005-0000-0000-00002E0A0000}"/>
    <cellStyle name="Grey 15" xfId="2077" xr:uid="{00000000-0005-0000-0000-00002F0A0000}"/>
    <cellStyle name="Grey 16" xfId="2078" xr:uid="{00000000-0005-0000-0000-0000300A0000}"/>
    <cellStyle name="Grey 17" xfId="2079" xr:uid="{00000000-0005-0000-0000-0000310A0000}"/>
    <cellStyle name="Grey 18" xfId="2080" xr:uid="{00000000-0005-0000-0000-0000320A0000}"/>
    <cellStyle name="Grey 19" xfId="2081" xr:uid="{00000000-0005-0000-0000-0000330A0000}"/>
    <cellStyle name="Grey 2" xfId="2082" xr:uid="{00000000-0005-0000-0000-0000340A0000}"/>
    <cellStyle name="Grey 20" xfId="2083" xr:uid="{00000000-0005-0000-0000-0000350A0000}"/>
    <cellStyle name="Grey 21" xfId="2084" xr:uid="{00000000-0005-0000-0000-0000360A0000}"/>
    <cellStyle name="Grey 22" xfId="2085" xr:uid="{00000000-0005-0000-0000-0000370A0000}"/>
    <cellStyle name="Grey 23" xfId="2086" xr:uid="{00000000-0005-0000-0000-0000380A0000}"/>
    <cellStyle name="Grey 24" xfId="2087" xr:uid="{00000000-0005-0000-0000-0000390A0000}"/>
    <cellStyle name="Grey 25" xfId="2088" xr:uid="{00000000-0005-0000-0000-00003A0A0000}"/>
    <cellStyle name="Grey 26" xfId="2089" xr:uid="{00000000-0005-0000-0000-00003B0A0000}"/>
    <cellStyle name="Grey 27" xfId="2090" xr:uid="{00000000-0005-0000-0000-00003C0A0000}"/>
    <cellStyle name="Grey 28" xfId="2091" xr:uid="{00000000-0005-0000-0000-00003D0A0000}"/>
    <cellStyle name="Grey 3" xfId="2092" xr:uid="{00000000-0005-0000-0000-00003E0A0000}"/>
    <cellStyle name="Grey 4" xfId="2093" xr:uid="{00000000-0005-0000-0000-00003F0A0000}"/>
    <cellStyle name="Grey 5" xfId="2094" xr:uid="{00000000-0005-0000-0000-0000400A0000}"/>
    <cellStyle name="Grey 6" xfId="2095" xr:uid="{00000000-0005-0000-0000-0000410A0000}"/>
    <cellStyle name="Grey 7" xfId="2096" xr:uid="{00000000-0005-0000-0000-0000420A0000}"/>
    <cellStyle name="Grey 8" xfId="2097" xr:uid="{00000000-0005-0000-0000-0000430A0000}"/>
    <cellStyle name="Grey 9" xfId="2098" xr:uid="{00000000-0005-0000-0000-0000440A0000}"/>
    <cellStyle name="Header1" xfId="2099" xr:uid="{00000000-0005-0000-0000-0000450A0000}"/>
    <cellStyle name="header1 2" xfId="2100" xr:uid="{00000000-0005-0000-0000-0000460A0000}"/>
    <cellStyle name="Header2" xfId="2101" xr:uid="{00000000-0005-0000-0000-0000470A0000}"/>
    <cellStyle name="header2 2" xfId="2102" xr:uid="{00000000-0005-0000-0000-0000480A0000}"/>
    <cellStyle name="header3" xfId="2103" xr:uid="{00000000-0005-0000-0000-0000490A0000}"/>
    <cellStyle name="Heading 1 10" xfId="2104" xr:uid="{00000000-0005-0000-0000-00004A0A0000}"/>
    <cellStyle name="Heading 1 10 2" xfId="2105" xr:uid="{00000000-0005-0000-0000-00004B0A0000}"/>
    <cellStyle name="Heading 1 10 3" xfId="2106" xr:uid="{00000000-0005-0000-0000-00004C0A0000}"/>
    <cellStyle name="Heading 1 11" xfId="2107" xr:uid="{00000000-0005-0000-0000-00004D0A0000}"/>
    <cellStyle name="Heading 1 11 2" xfId="2108" xr:uid="{00000000-0005-0000-0000-00004E0A0000}"/>
    <cellStyle name="Heading 1 11 3" xfId="2109" xr:uid="{00000000-0005-0000-0000-00004F0A0000}"/>
    <cellStyle name="Heading 1 12" xfId="2110" xr:uid="{00000000-0005-0000-0000-0000500A0000}"/>
    <cellStyle name="Heading 1 12 2" xfId="2111" xr:uid="{00000000-0005-0000-0000-0000510A0000}"/>
    <cellStyle name="Heading 1 13" xfId="2112" xr:uid="{00000000-0005-0000-0000-0000520A0000}"/>
    <cellStyle name="Heading 1 13 2" xfId="2113" xr:uid="{00000000-0005-0000-0000-0000530A0000}"/>
    <cellStyle name="Heading 1 14" xfId="2114" xr:uid="{00000000-0005-0000-0000-0000540A0000}"/>
    <cellStyle name="Heading 1 15" xfId="2115" xr:uid="{00000000-0005-0000-0000-0000550A0000}"/>
    <cellStyle name="Heading 1 2" xfId="2116" xr:uid="{00000000-0005-0000-0000-0000560A0000}"/>
    <cellStyle name="Heading 1 2 10" xfId="2117" xr:uid="{00000000-0005-0000-0000-0000570A0000}"/>
    <cellStyle name="Heading 1 2 11" xfId="2118" xr:uid="{00000000-0005-0000-0000-0000580A0000}"/>
    <cellStyle name="Heading 1 2 12" xfId="2119" xr:uid="{00000000-0005-0000-0000-0000590A0000}"/>
    <cellStyle name="Heading 1 2 13" xfId="2120" xr:uid="{00000000-0005-0000-0000-00005A0A0000}"/>
    <cellStyle name="Heading 1 2 14" xfId="2121" xr:uid="{00000000-0005-0000-0000-00005B0A0000}"/>
    <cellStyle name="Heading 1 2 2" xfId="2122" xr:uid="{00000000-0005-0000-0000-00005C0A0000}"/>
    <cellStyle name="Heading 1 2 2 2" xfId="2123" xr:uid="{00000000-0005-0000-0000-00005D0A0000}"/>
    <cellStyle name="Heading 1 2 2 3" xfId="2124" xr:uid="{00000000-0005-0000-0000-00005E0A0000}"/>
    <cellStyle name="Heading 1 2 3" xfId="2125" xr:uid="{00000000-0005-0000-0000-00005F0A0000}"/>
    <cellStyle name="Heading 1 2 3 2" xfId="2126" xr:uid="{00000000-0005-0000-0000-0000600A0000}"/>
    <cellStyle name="Heading 1 2 4" xfId="2127" xr:uid="{00000000-0005-0000-0000-0000610A0000}"/>
    <cellStyle name="Heading 1 2 5" xfId="2128" xr:uid="{00000000-0005-0000-0000-0000620A0000}"/>
    <cellStyle name="Heading 1 2 6" xfId="2129" xr:uid="{00000000-0005-0000-0000-0000630A0000}"/>
    <cellStyle name="Heading 1 2 7" xfId="2130" xr:uid="{00000000-0005-0000-0000-0000640A0000}"/>
    <cellStyle name="Heading 1 2 8" xfId="2131" xr:uid="{00000000-0005-0000-0000-0000650A0000}"/>
    <cellStyle name="Heading 1 2 9" xfId="2132" xr:uid="{00000000-0005-0000-0000-0000660A0000}"/>
    <cellStyle name="Heading 1 3" xfId="2133" xr:uid="{00000000-0005-0000-0000-0000670A0000}"/>
    <cellStyle name="Heading 1 3 2" xfId="2134" xr:uid="{00000000-0005-0000-0000-0000680A0000}"/>
    <cellStyle name="Heading 1 3 3" xfId="2135" xr:uid="{00000000-0005-0000-0000-0000690A0000}"/>
    <cellStyle name="Heading 1 3 4" xfId="2136" xr:uid="{00000000-0005-0000-0000-00006A0A0000}"/>
    <cellStyle name="Heading 1 3 5" xfId="2137" xr:uid="{00000000-0005-0000-0000-00006B0A0000}"/>
    <cellStyle name="Heading 1 3 6" xfId="2138" xr:uid="{00000000-0005-0000-0000-00006C0A0000}"/>
    <cellStyle name="Heading 1 3 7" xfId="2139" xr:uid="{00000000-0005-0000-0000-00006D0A0000}"/>
    <cellStyle name="Heading 1 3 8" xfId="2140" xr:uid="{00000000-0005-0000-0000-00006E0A0000}"/>
    <cellStyle name="Heading 1 4" xfId="2141" xr:uid="{00000000-0005-0000-0000-00006F0A0000}"/>
    <cellStyle name="Heading 1 4 2" xfId="2142" xr:uid="{00000000-0005-0000-0000-0000700A0000}"/>
    <cellStyle name="Heading 1 4 3" xfId="2143" xr:uid="{00000000-0005-0000-0000-0000710A0000}"/>
    <cellStyle name="Heading 1 4 4" xfId="2144" xr:uid="{00000000-0005-0000-0000-0000720A0000}"/>
    <cellStyle name="Heading 1 4 5" xfId="2145" xr:uid="{00000000-0005-0000-0000-0000730A0000}"/>
    <cellStyle name="Heading 1 4 6" xfId="2146" xr:uid="{00000000-0005-0000-0000-0000740A0000}"/>
    <cellStyle name="Heading 1 5" xfId="2147" xr:uid="{00000000-0005-0000-0000-0000750A0000}"/>
    <cellStyle name="Heading 1 5 2" xfId="2148" xr:uid="{00000000-0005-0000-0000-0000760A0000}"/>
    <cellStyle name="Heading 1 5 3" xfId="2149" xr:uid="{00000000-0005-0000-0000-0000770A0000}"/>
    <cellStyle name="Heading 1 5 4" xfId="2150" xr:uid="{00000000-0005-0000-0000-0000780A0000}"/>
    <cellStyle name="Heading 1 5 5" xfId="2151" xr:uid="{00000000-0005-0000-0000-0000790A0000}"/>
    <cellStyle name="Heading 1 6" xfId="2152" xr:uid="{00000000-0005-0000-0000-00007A0A0000}"/>
    <cellStyle name="Heading 1 6 2" xfId="2153" xr:uid="{00000000-0005-0000-0000-00007B0A0000}"/>
    <cellStyle name="Heading 1 6 3" xfId="2154" xr:uid="{00000000-0005-0000-0000-00007C0A0000}"/>
    <cellStyle name="Heading 1 6 4" xfId="2155" xr:uid="{00000000-0005-0000-0000-00007D0A0000}"/>
    <cellStyle name="Heading 1 7" xfId="2156" xr:uid="{00000000-0005-0000-0000-00007E0A0000}"/>
    <cellStyle name="Heading 1 7 2" xfId="2157" xr:uid="{00000000-0005-0000-0000-00007F0A0000}"/>
    <cellStyle name="Heading 1 7 3" xfId="2158" xr:uid="{00000000-0005-0000-0000-0000800A0000}"/>
    <cellStyle name="Heading 1 7 4" xfId="2159" xr:uid="{00000000-0005-0000-0000-0000810A0000}"/>
    <cellStyle name="Heading 1 8" xfId="2160" xr:uid="{00000000-0005-0000-0000-0000820A0000}"/>
    <cellStyle name="Heading 1 8 2" xfId="2161" xr:uid="{00000000-0005-0000-0000-0000830A0000}"/>
    <cellStyle name="Heading 1 8 3" xfId="2162" xr:uid="{00000000-0005-0000-0000-0000840A0000}"/>
    <cellStyle name="Heading 1 9" xfId="2163" xr:uid="{00000000-0005-0000-0000-0000850A0000}"/>
    <cellStyle name="Heading 1 9 2" xfId="2164" xr:uid="{00000000-0005-0000-0000-0000860A0000}"/>
    <cellStyle name="Heading 1 9 3" xfId="2165" xr:uid="{00000000-0005-0000-0000-0000870A0000}"/>
    <cellStyle name="Heading 2 10" xfId="2166" xr:uid="{00000000-0005-0000-0000-0000880A0000}"/>
    <cellStyle name="Heading 2 10 2" xfId="2167" xr:uid="{00000000-0005-0000-0000-0000890A0000}"/>
    <cellStyle name="Heading 2 10 3" xfId="2168" xr:uid="{00000000-0005-0000-0000-00008A0A0000}"/>
    <cellStyle name="Heading 2 11" xfId="2169" xr:uid="{00000000-0005-0000-0000-00008B0A0000}"/>
    <cellStyle name="Heading 2 11 2" xfId="2170" xr:uid="{00000000-0005-0000-0000-00008C0A0000}"/>
    <cellStyle name="Heading 2 11 3" xfId="2171" xr:uid="{00000000-0005-0000-0000-00008D0A0000}"/>
    <cellStyle name="Heading 2 12" xfId="2172" xr:uid="{00000000-0005-0000-0000-00008E0A0000}"/>
    <cellStyle name="Heading 2 12 2" xfId="2173" xr:uid="{00000000-0005-0000-0000-00008F0A0000}"/>
    <cellStyle name="Heading 2 13" xfId="2174" xr:uid="{00000000-0005-0000-0000-0000900A0000}"/>
    <cellStyle name="Heading 2 13 2" xfId="2175" xr:uid="{00000000-0005-0000-0000-0000910A0000}"/>
    <cellStyle name="Heading 2 14" xfId="2176" xr:uid="{00000000-0005-0000-0000-0000920A0000}"/>
    <cellStyle name="Heading 2 15" xfId="2177" xr:uid="{00000000-0005-0000-0000-0000930A0000}"/>
    <cellStyle name="Heading 2 2" xfId="2178" xr:uid="{00000000-0005-0000-0000-0000940A0000}"/>
    <cellStyle name="Heading 2 2 10" xfId="2179" xr:uid="{00000000-0005-0000-0000-0000950A0000}"/>
    <cellStyle name="Heading 2 2 11" xfId="2180" xr:uid="{00000000-0005-0000-0000-0000960A0000}"/>
    <cellStyle name="Heading 2 2 12" xfId="2181" xr:uid="{00000000-0005-0000-0000-0000970A0000}"/>
    <cellStyle name="Heading 2 2 13" xfId="2182" xr:uid="{00000000-0005-0000-0000-0000980A0000}"/>
    <cellStyle name="Heading 2 2 14" xfId="2183" xr:uid="{00000000-0005-0000-0000-0000990A0000}"/>
    <cellStyle name="Heading 2 2 2" xfId="2184" xr:uid="{00000000-0005-0000-0000-00009A0A0000}"/>
    <cellStyle name="Heading 2 2 2 2" xfId="2185" xr:uid="{00000000-0005-0000-0000-00009B0A0000}"/>
    <cellStyle name="Heading 2 2 2 3" xfId="2186" xr:uid="{00000000-0005-0000-0000-00009C0A0000}"/>
    <cellStyle name="Heading 2 2 3" xfId="2187" xr:uid="{00000000-0005-0000-0000-00009D0A0000}"/>
    <cellStyle name="Heading 2 2 3 2" xfId="2188" xr:uid="{00000000-0005-0000-0000-00009E0A0000}"/>
    <cellStyle name="Heading 2 2 4" xfId="2189" xr:uid="{00000000-0005-0000-0000-00009F0A0000}"/>
    <cellStyle name="Heading 2 2 5" xfId="2190" xr:uid="{00000000-0005-0000-0000-0000A00A0000}"/>
    <cellStyle name="Heading 2 2 6" xfId="2191" xr:uid="{00000000-0005-0000-0000-0000A10A0000}"/>
    <cellStyle name="Heading 2 2 7" xfId="2192" xr:uid="{00000000-0005-0000-0000-0000A20A0000}"/>
    <cellStyle name="Heading 2 2 8" xfId="2193" xr:uid="{00000000-0005-0000-0000-0000A30A0000}"/>
    <cellStyle name="Heading 2 2 9" xfId="2194" xr:uid="{00000000-0005-0000-0000-0000A40A0000}"/>
    <cellStyle name="Heading 2 3" xfId="2195" xr:uid="{00000000-0005-0000-0000-0000A50A0000}"/>
    <cellStyle name="Heading 2 3 2" xfId="2196" xr:uid="{00000000-0005-0000-0000-0000A60A0000}"/>
    <cellStyle name="Heading 2 3 3" xfId="2197" xr:uid="{00000000-0005-0000-0000-0000A70A0000}"/>
    <cellStyle name="Heading 2 3 4" xfId="2198" xr:uid="{00000000-0005-0000-0000-0000A80A0000}"/>
    <cellStyle name="Heading 2 3 5" xfId="2199" xr:uid="{00000000-0005-0000-0000-0000A90A0000}"/>
    <cellStyle name="Heading 2 3 6" xfId="2200" xr:uid="{00000000-0005-0000-0000-0000AA0A0000}"/>
    <cellStyle name="Heading 2 3 7" xfId="2201" xr:uid="{00000000-0005-0000-0000-0000AB0A0000}"/>
    <cellStyle name="Heading 2 3 8" xfId="2202" xr:uid="{00000000-0005-0000-0000-0000AC0A0000}"/>
    <cellStyle name="Heading 2 4" xfId="2203" xr:uid="{00000000-0005-0000-0000-0000AD0A0000}"/>
    <cellStyle name="Heading 2 4 2" xfId="2204" xr:uid="{00000000-0005-0000-0000-0000AE0A0000}"/>
    <cellStyle name="Heading 2 4 3" xfId="2205" xr:uid="{00000000-0005-0000-0000-0000AF0A0000}"/>
    <cellStyle name="Heading 2 4 4" xfId="2206" xr:uid="{00000000-0005-0000-0000-0000B00A0000}"/>
    <cellStyle name="Heading 2 4 5" xfId="2207" xr:uid="{00000000-0005-0000-0000-0000B10A0000}"/>
    <cellStyle name="Heading 2 4 6" xfId="2208" xr:uid="{00000000-0005-0000-0000-0000B20A0000}"/>
    <cellStyle name="Heading 2 5" xfId="2209" xr:uid="{00000000-0005-0000-0000-0000B30A0000}"/>
    <cellStyle name="Heading 2 5 2" xfId="2210" xr:uid="{00000000-0005-0000-0000-0000B40A0000}"/>
    <cellStyle name="Heading 2 5 3" xfId="2211" xr:uid="{00000000-0005-0000-0000-0000B50A0000}"/>
    <cellStyle name="Heading 2 5 4" xfId="2212" xr:uid="{00000000-0005-0000-0000-0000B60A0000}"/>
    <cellStyle name="Heading 2 5 5" xfId="2213" xr:uid="{00000000-0005-0000-0000-0000B70A0000}"/>
    <cellStyle name="Heading 2 6" xfId="2214" xr:uid="{00000000-0005-0000-0000-0000B80A0000}"/>
    <cellStyle name="Heading 2 6 2" xfId="2215" xr:uid="{00000000-0005-0000-0000-0000B90A0000}"/>
    <cellStyle name="Heading 2 6 3" xfId="2216" xr:uid="{00000000-0005-0000-0000-0000BA0A0000}"/>
    <cellStyle name="Heading 2 6 4" xfId="2217" xr:uid="{00000000-0005-0000-0000-0000BB0A0000}"/>
    <cellStyle name="Heading 2 7" xfId="2218" xr:uid="{00000000-0005-0000-0000-0000BC0A0000}"/>
    <cellStyle name="Heading 2 7 2" xfId="2219" xr:uid="{00000000-0005-0000-0000-0000BD0A0000}"/>
    <cellStyle name="Heading 2 7 3" xfId="2220" xr:uid="{00000000-0005-0000-0000-0000BE0A0000}"/>
    <cellStyle name="Heading 2 7 4" xfId="2221" xr:uid="{00000000-0005-0000-0000-0000BF0A0000}"/>
    <cellStyle name="Heading 2 8" xfId="2222" xr:uid="{00000000-0005-0000-0000-0000C00A0000}"/>
    <cellStyle name="Heading 2 8 2" xfId="2223" xr:uid="{00000000-0005-0000-0000-0000C10A0000}"/>
    <cellStyle name="Heading 2 8 3" xfId="2224" xr:uid="{00000000-0005-0000-0000-0000C20A0000}"/>
    <cellStyle name="Heading 2 9" xfId="2225" xr:uid="{00000000-0005-0000-0000-0000C30A0000}"/>
    <cellStyle name="Heading 2 9 2" xfId="2226" xr:uid="{00000000-0005-0000-0000-0000C40A0000}"/>
    <cellStyle name="Heading 2 9 3" xfId="2227" xr:uid="{00000000-0005-0000-0000-0000C50A0000}"/>
    <cellStyle name="Heading 3 10" xfId="2228" xr:uid="{00000000-0005-0000-0000-0000C60A0000}"/>
    <cellStyle name="Heading 3 10 2" xfId="2229" xr:uid="{00000000-0005-0000-0000-0000C70A0000}"/>
    <cellStyle name="Heading 3 10 3" xfId="2230" xr:uid="{00000000-0005-0000-0000-0000C80A0000}"/>
    <cellStyle name="Heading 3 11" xfId="2231" xr:uid="{00000000-0005-0000-0000-0000C90A0000}"/>
    <cellStyle name="Heading 3 11 2" xfId="2232" xr:uid="{00000000-0005-0000-0000-0000CA0A0000}"/>
    <cellStyle name="Heading 3 11 3" xfId="2233" xr:uid="{00000000-0005-0000-0000-0000CB0A0000}"/>
    <cellStyle name="Heading 3 12" xfId="2234" xr:uid="{00000000-0005-0000-0000-0000CC0A0000}"/>
    <cellStyle name="Heading 3 12 2" xfId="2235" xr:uid="{00000000-0005-0000-0000-0000CD0A0000}"/>
    <cellStyle name="Heading 3 13" xfId="2236" xr:uid="{00000000-0005-0000-0000-0000CE0A0000}"/>
    <cellStyle name="Heading 3 13 2" xfId="2237" xr:uid="{00000000-0005-0000-0000-0000CF0A0000}"/>
    <cellStyle name="Heading 3 14" xfId="2238" xr:uid="{00000000-0005-0000-0000-0000D00A0000}"/>
    <cellStyle name="Heading 3 15" xfId="2239" xr:uid="{00000000-0005-0000-0000-0000D10A0000}"/>
    <cellStyle name="Heading 3 2" xfId="2240" xr:uid="{00000000-0005-0000-0000-0000D20A0000}"/>
    <cellStyle name="Heading 3 2 10" xfId="2241" xr:uid="{00000000-0005-0000-0000-0000D30A0000}"/>
    <cellStyle name="Heading 3 2 11" xfId="2242" xr:uid="{00000000-0005-0000-0000-0000D40A0000}"/>
    <cellStyle name="Heading 3 2 12" xfId="2243" xr:uid="{00000000-0005-0000-0000-0000D50A0000}"/>
    <cellStyle name="Heading 3 2 13" xfId="2244" xr:uid="{00000000-0005-0000-0000-0000D60A0000}"/>
    <cellStyle name="Heading 3 2 14" xfId="2245" xr:uid="{00000000-0005-0000-0000-0000D70A0000}"/>
    <cellStyle name="Heading 3 2 2" xfId="2246" xr:uid="{00000000-0005-0000-0000-0000D80A0000}"/>
    <cellStyle name="Heading 3 2 2 2" xfId="2247" xr:uid="{00000000-0005-0000-0000-0000D90A0000}"/>
    <cellStyle name="Heading 3 2 2 3" xfId="2248" xr:uid="{00000000-0005-0000-0000-0000DA0A0000}"/>
    <cellStyle name="Heading 3 2 3" xfId="2249" xr:uid="{00000000-0005-0000-0000-0000DB0A0000}"/>
    <cellStyle name="Heading 3 2 3 2" xfId="2250" xr:uid="{00000000-0005-0000-0000-0000DC0A0000}"/>
    <cellStyle name="Heading 3 2 4" xfId="2251" xr:uid="{00000000-0005-0000-0000-0000DD0A0000}"/>
    <cellStyle name="Heading 3 2 5" xfId="2252" xr:uid="{00000000-0005-0000-0000-0000DE0A0000}"/>
    <cellStyle name="Heading 3 2 6" xfId="2253" xr:uid="{00000000-0005-0000-0000-0000DF0A0000}"/>
    <cellStyle name="Heading 3 2 7" xfId="2254" xr:uid="{00000000-0005-0000-0000-0000E00A0000}"/>
    <cellStyle name="Heading 3 2 8" xfId="2255" xr:uid="{00000000-0005-0000-0000-0000E10A0000}"/>
    <cellStyle name="Heading 3 2 9" xfId="2256" xr:uid="{00000000-0005-0000-0000-0000E20A0000}"/>
    <cellStyle name="Heading 3 3" xfId="2257" xr:uid="{00000000-0005-0000-0000-0000E30A0000}"/>
    <cellStyle name="Heading 3 3 2" xfId="2258" xr:uid="{00000000-0005-0000-0000-0000E40A0000}"/>
    <cellStyle name="Heading 3 3 3" xfId="2259" xr:uid="{00000000-0005-0000-0000-0000E50A0000}"/>
    <cellStyle name="Heading 3 3 4" xfId="2260" xr:uid="{00000000-0005-0000-0000-0000E60A0000}"/>
    <cellStyle name="Heading 3 3 5" xfId="2261" xr:uid="{00000000-0005-0000-0000-0000E70A0000}"/>
    <cellStyle name="Heading 3 3 6" xfId="2262" xr:uid="{00000000-0005-0000-0000-0000E80A0000}"/>
    <cellStyle name="Heading 3 3 7" xfId="2263" xr:uid="{00000000-0005-0000-0000-0000E90A0000}"/>
    <cellStyle name="Heading 3 3 8" xfId="2264" xr:uid="{00000000-0005-0000-0000-0000EA0A0000}"/>
    <cellStyle name="Heading 3 4" xfId="2265" xr:uid="{00000000-0005-0000-0000-0000EB0A0000}"/>
    <cellStyle name="Heading 3 4 2" xfId="2266" xr:uid="{00000000-0005-0000-0000-0000EC0A0000}"/>
    <cellStyle name="Heading 3 4 3" xfId="2267" xr:uid="{00000000-0005-0000-0000-0000ED0A0000}"/>
    <cellStyle name="Heading 3 4 4" xfId="2268" xr:uid="{00000000-0005-0000-0000-0000EE0A0000}"/>
    <cellStyle name="Heading 3 4 5" xfId="2269" xr:uid="{00000000-0005-0000-0000-0000EF0A0000}"/>
    <cellStyle name="Heading 3 4 6" xfId="2270" xr:uid="{00000000-0005-0000-0000-0000F00A0000}"/>
    <cellStyle name="Heading 3 5" xfId="2271" xr:uid="{00000000-0005-0000-0000-0000F10A0000}"/>
    <cellStyle name="Heading 3 5 2" xfId="2272" xr:uid="{00000000-0005-0000-0000-0000F20A0000}"/>
    <cellStyle name="Heading 3 5 3" xfId="2273" xr:uid="{00000000-0005-0000-0000-0000F30A0000}"/>
    <cellStyle name="Heading 3 5 4" xfId="2274" xr:uid="{00000000-0005-0000-0000-0000F40A0000}"/>
    <cellStyle name="Heading 3 5 5" xfId="2275" xr:uid="{00000000-0005-0000-0000-0000F50A0000}"/>
    <cellStyle name="Heading 3 6" xfId="2276" xr:uid="{00000000-0005-0000-0000-0000F60A0000}"/>
    <cellStyle name="Heading 3 6 2" xfId="2277" xr:uid="{00000000-0005-0000-0000-0000F70A0000}"/>
    <cellStyle name="Heading 3 6 3" xfId="2278" xr:uid="{00000000-0005-0000-0000-0000F80A0000}"/>
    <cellStyle name="Heading 3 6 4" xfId="2279" xr:uid="{00000000-0005-0000-0000-0000F90A0000}"/>
    <cellStyle name="Heading 3 7" xfId="2280" xr:uid="{00000000-0005-0000-0000-0000FA0A0000}"/>
    <cellStyle name="Heading 3 7 2" xfId="2281" xr:uid="{00000000-0005-0000-0000-0000FB0A0000}"/>
    <cellStyle name="Heading 3 7 3" xfId="2282" xr:uid="{00000000-0005-0000-0000-0000FC0A0000}"/>
    <cellStyle name="Heading 3 7 4" xfId="2283" xr:uid="{00000000-0005-0000-0000-0000FD0A0000}"/>
    <cellStyle name="Heading 3 8" xfId="2284" xr:uid="{00000000-0005-0000-0000-0000FE0A0000}"/>
    <cellStyle name="Heading 3 8 2" xfId="2285" xr:uid="{00000000-0005-0000-0000-0000FF0A0000}"/>
    <cellStyle name="Heading 3 8 3" xfId="2286" xr:uid="{00000000-0005-0000-0000-0000000B0000}"/>
    <cellStyle name="Heading 3 9" xfId="2287" xr:uid="{00000000-0005-0000-0000-0000010B0000}"/>
    <cellStyle name="Heading 3 9 2" xfId="2288" xr:uid="{00000000-0005-0000-0000-0000020B0000}"/>
    <cellStyle name="Heading 3 9 3" xfId="2289" xr:uid="{00000000-0005-0000-0000-0000030B0000}"/>
    <cellStyle name="Heading 4 10" xfId="2290" xr:uid="{00000000-0005-0000-0000-0000040B0000}"/>
    <cellStyle name="Heading 4 10 2" xfId="2291" xr:uid="{00000000-0005-0000-0000-0000050B0000}"/>
    <cellStyle name="Heading 4 10 3" xfId="2292" xr:uid="{00000000-0005-0000-0000-0000060B0000}"/>
    <cellStyle name="Heading 4 11" xfId="2293" xr:uid="{00000000-0005-0000-0000-0000070B0000}"/>
    <cellStyle name="Heading 4 11 2" xfId="2294" xr:uid="{00000000-0005-0000-0000-0000080B0000}"/>
    <cellStyle name="Heading 4 11 3" xfId="2295" xr:uid="{00000000-0005-0000-0000-0000090B0000}"/>
    <cellStyle name="Heading 4 12" xfId="2296" xr:uid="{00000000-0005-0000-0000-00000A0B0000}"/>
    <cellStyle name="Heading 4 12 2" xfId="2297" xr:uid="{00000000-0005-0000-0000-00000B0B0000}"/>
    <cellStyle name="Heading 4 13" xfId="2298" xr:uid="{00000000-0005-0000-0000-00000C0B0000}"/>
    <cellStyle name="Heading 4 13 2" xfId="2299" xr:uid="{00000000-0005-0000-0000-00000D0B0000}"/>
    <cellStyle name="Heading 4 14" xfId="2300" xr:uid="{00000000-0005-0000-0000-00000E0B0000}"/>
    <cellStyle name="Heading 4 15" xfId="2301" xr:uid="{00000000-0005-0000-0000-00000F0B0000}"/>
    <cellStyle name="Heading 4 2" xfId="2302" xr:uid="{00000000-0005-0000-0000-0000100B0000}"/>
    <cellStyle name="Heading 4 2 10" xfId="2303" xr:uid="{00000000-0005-0000-0000-0000110B0000}"/>
    <cellStyle name="Heading 4 2 11" xfId="2304" xr:uid="{00000000-0005-0000-0000-0000120B0000}"/>
    <cellStyle name="Heading 4 2 12" xfId="2305" xr:uid="{00000000-0005-0000-0000-0000130B0000}"/>
    <cellStyle name="Heading 4 2 13" xfId="2306" xr:uid="{00000000-0005-0000-0000-0000140B0000}"/>
    <cellStyle name="Heading 4 2 14" xfId="2307" xr:uid="{00000000-0005-0000-0000-0000150B0000}"/>
    <cellStyle name="Heading 4 2 2" xfId="2308" xr:uid="{00000000-0005-0000-0000-0000160B0000}"/>
    <cellStyle name="Heading 4 2 2 2" xfId="2309" xr:uid="{00000000-0005-0000-0000-0000170B0000}"/>
    <cellStyle name="Heading 4 2 2 3" xfId="2310" xr:uid="{00000000-0005-0000-0000-0000180B0000}"/>
    <cellStyle name="Heading 4 2 3" xfId="2311" xr:uid="{00000000-0005-0000-0000-0000190B0000}"/>
    <cellStyle name="Heading 4 2 3 2" xfId="2312" xr:uid="{00000000-0005-0000-0000-00001A0B0000}"/>
    <cellStyle name="Heading 4 2 4" xfId="2313" xr:uid="{00000000-0005-0000-0000-00001B0B0000}"/>
    <cellStyle name="Heading 4 2 5" xfId="2314" xr:uid="{00000000-0005-0000-0000-00001C0B0000}"/>
    <cellStyle name="Heading 4 2 6" xfId="2315" xr:uid="{00000000-0005-0000-0000-00001D0B0000}"/>
    <cellStyle name="Heading 4 2 7" xfId="2316" xr:uid="{00000000-0005-0000-0000-00001E0B0000}"/>
    <cellStyle name="Heading 4 2 8" xfId="2317" xr:uid="{00000000-0005-0000-0000-00001F0B0000}"/>
    <cellStyle name="Heading 4 2 9" xfId="2318" xr:uid="{00000000-0005-0000-0000-0000200B0000}"/>
    <cellStyle name="Heading 4 3" xfId="2319" xr:uid="{00000000-0005-0000-0000-0000210B0000}"/>
    <cellStyle name="Heading 4 3 2" xfId="2320" xr:uid="{00000000-0005-0000-0000-0000220B0000}"/>
    <cellStyle name="Heading 4 3 3" xfId="2321" xr:uid="{00000000-0005-0000-0000-0000230B0000}"/>
    <cellStyle name="Heading 4 3 4" xfId="2322" xr:uid="{00000000-0005-0000-0000-0000240B0000}"/>
    <cellStyle name="Heading 4 3 5" xfId="2323" xr:uid="{00000000-0005-0000-0000-0000250B0000}"/>
    <cellStyle name="Heading 4 3 6" xfId="2324" xr:uid="{00000000-0005-0000-0000-0000260B0000}"/>
    <cellStyle name="Heading 4 3 7" xfId="2325" xr:uid="{00000000-0005-0000-0000-0000270B0000}"/>
    <cellStyle name="Heading 4 3 8" xfId="2326" xr:uid="{00000000-0005-0000-0000-0000280B0000}"/>
    <cellStyle name="Heading 4 4" xfId="2327" xr:uid="{00000000-0005-0000-0000-0000290B0000}"/>
    <cellStyle name="Heading 4 4 2" xfId="2328" xr:uid="{00000000-0005-0000-0000-00002A0B0000}"/>
    <cellStyle name="Heading 4 4 3" xfId="2329" xr:uid="{00000000-0005-0000-0000-00002B0B0000}"/>
    <cellStyle name="Heading 4 4 4" xfId="2330" xr:uid="{00000000-0005-0000-0000-00002C0B0000}"/>
    <cellStyle name="Heading 4 4 5" xfId="2331" xr:uid="{00000000-0005-0000-0000-00002D0B0000}"/>
    <cellStyle name="Heading 4 4 6" xfId="2332" xr:uid="{00000000-0005-0000-0000-00002E0B0000}"/>
    <cellStyle name="Heading 4 5" xfId="2333" xr:uid="{00000000-0005-0000-0000-00002F0B0000}"/>
    <cellStyle name="Heading 4 5 2" xfId="2334" xr:uid="{00000000-0005-0000-0000-0000300B0000}"/>
    <cellStyle name="Heading 4 5 3" xfId="2335" xr:uid="{00000000-0005-0000-0000-0000310B0000}"/>
    <cellStyle name="Heading 4 5 4" xfId="2336" xr:uid="{00000000-0005-0000-0000-0000320B0000}"/>
    <cellStyle name="Heading 4 5 5" xfId="2337" xr:uid="{00000000-0005-0000-0000-0000330B0000}"/>
    <cellStyle name="Heading 4 6" xfId="2338" xr:uid="{00000000-0005-0000-0000-0000340B0000}"/>
    <cellStyle name="Heading 4 6 2" xfId="2339" xr:uid="{00000000-0005-0000-0000-0000350B0000}"/>
    <cellStyle name="Heading 4 6 3" xfId="2340" xr:uid="{00000000-0005-0000-0000-0000360B0000}"/>
    <cellStyle name="Heading 4 6 4" xfId="2341" xr:uid="{00000000-0005-0000-0000-0000370B0000}"/>
    <cellStyle name="Heading 4 7" xfId="2342" xr:uid="{00000000-0005-0000-0000-0000380B0000}"/>
    <cellStyle name="Heading 4 7 2" xfId="2343" xr:uid="{00000000-0005-0000-0000-0000390B0000}"/>
    <cellStyle name="Heading 4 7 3" xfId="2344" xr:uid="{00000000-0005-0000-0000-00003A0B0000}"/>
    <cellStyle name="Heading 4 7 4" xfId="2345" xr:uid="{00000000-0005-0000-0000-00003B0B0000}"/>
    <cellStyle name="Heading 4 8" xfId="2346" xr:uid="{00000000-0005-0000-0000-00003C0B0000}"/>
    <cellStyle name="Heading 4 8 2" xfId="2347" xr:uid="{00000000-0005-0000-0000-00003D0B0000}"/>
    <cellStyle name="Heading 4 8 3" xfId="2348" xr:uid="{00000000-0005-0000-0000-00003E0B0000}"/>
    <cellStyle name="Heading 4 9" xfId="2349" xr:uid="{00000000-0005-0000-0000-00003F0B0000}"/>
    <cellStyle name="Heading 4 9 2" xfId="2350" xr:uid="{00000000-0005-0000-0000-0000400B0000}"/>
    <cellStyle name="Heading 4 9 3" xfId="2351" xr:uid="{00000000-0005-0000-0000-0000410B0000}"/>
    <cellStyle name="Hyperlink 2" xfId="2352" xr:uid="{00000000-0005-0000-0000-0000420B0000}"/>
    <cellStyle name="Inflow" xfId="2353" xr:uid="{00000000-0005-0000-0000-0000430B0000}"/>
    <cellStyle name="Input [yellow]" xfId="2354" xr:uid="{00000000-0005-0000-0000-0000440B0000}"/>
    <cellStyle name="Input [yellow] 10" xfId="2355" xr:uid="{00000000-0005-0000-0000-0000450B0000}"/>
    <cellStyle name="Input [yellow] 11" xfId="2356" xr:uid="{00000000-0005-0000-0000-0000460B0000}"/>
    <cellStyle name="Input [yellow] 12" xfId="2357" xr:uid="{00000000-0005-0000-0000-0000470B0000}"/>
    <cellStyle name="Input [yellow] 13" xfId="2358" xr:uid="{00000000-0005-0000-0000-0000480B0000}"/>
    <cellStyle name="Input [yellow] 14" xfId="2359" xr:uid="{00000000-0005-0000-0000-0000490B0000}"/>
    <cellStyle name="Input [yellow] 15" xfId="2360" xr:uid="{00000000-0005-0000-0000-00004A0B0000}"/>
    <cellStyle name="Input [yellow] 16" xfId="2361" xr:uid="{00000000-0005-0000-0000-00004B0B0000}"/>
    <cellStyle name="Input [yellow] 17" xfId="2362" xr:uid="{00000000-0005-0000-0000-00004C0B0000}"/>
    <cellStyle name="Input [yellow] 18" xfId="2363" xr:uid="{00000000-0005-0000-0000-00004D0B0000}"/>
    <cellStyle name="Input [yellow] 19" xfId="2364" xr:uid="{00000000-0005-0000-0000-00004E0B0000}"/>
    <cellStyle name="Input [yellow] 2" xfId="2365" xr:uid="{00000000-0005-0000-0000-00004F0B0000}"/>
    <cellStyle name="Input [yellow] 20" xfId="2366" xr:uid="{00000000-0005-0000-0000-0000500B0000}"/>
    <cellStyle name="Input [yellow] 21" xfId="2367" xr:uid="{00000000-0005-0000-0000-0000510B0000}"/>
    <cellStyle name="Input [yellow] 22" xfId="2368" xr:uid="{00000000-0005-0000-0000-0000520B0000}"/>
    <cellStyle name="Input [yellow] 23" xfId="2369" xr:uid="{00000000-0005-0000-0000-0000530B0000}"/>
    <cellStyle name="Input [yellow] 24" xfId="2370" xr:uid="{00000000-0005-0000-0000-0000540B0000}"/>
    <cellStyle name="Input [yellow] 25" xfId="2371" xr:uid="{00000000-0005-0000-0000-0000550B0000}"/>
    <cellStyle name="Input [yellow] 26" xfId="2372" xr:uid="{00000000-0005-0000-0000-0000560B0000}"/>
    <cellStyle name="Input [yellow] 27" xfId="2373" xr:uid="{00000000-0005-0000-0000-0000570B0000}"/>
    <cellStyle name="Input [yellow] 28" xfId="2374" xr:uid="{00000000-0005-0000-0000-0000580B0000}"/>
    <cellStyle name="Input [yellow] 3" xfId="2375" xr:uid="{00000000-0005-0000-0000-0000590B0000}"/>
    <cellStyle name="Input [yellow] 4" xfId="2376" xr:uid="{00000000-0005-0000-0000-00005A0B0000}"/>
    <cellStyle name="Input [yellow] 5" xfId="2377" xr:uid="{00000000-0005-0000-0000-00005B0B0000}"/>
    <cellStyle name="Input [yellow] 6" xfId="2378" xr:uid="{00000000-0005-0000-0000-00005C0B0000}"/>
    <cellStyle name="Input [yellow] 7" xfId="2379" xr:uid="{00000000-0005-0000-0000-00005D0B0000}"/>
    <cellStyle name="Input [yellow] 8" xfId="2380" xr:uid="{00000000-0005-0000-0000-00005E0B0000}"/>
    <cellStyle name="Input [yellow] 9" xfId="2381" xr:uid="{00000000-0005-0000-0000-00005F0B0000}"/>
    <cellStyle name="Input 10" xfId="2382" xr:uid="{00000000-0005-0000-0000-0000600B0000}"/>
    <cellStyle name="Input 10 2" xfId="2383" xr:uid="{00000000-0005-0000-0000-0000610B0000}"/>
    <cellStyle name="Input 10 3" xfId="2384" xr:uid="{00000000-0005-0000-0000-0000620B0000}"/>
    <cellStyle name="Input 10 4" xfId="2385" xr:uid="{00000000-0005-0000-0000-0000630B0000}"/>
    <cellStyle name="Input 11" xfId="2386" xr:uid="{00000000-0005-0000-0000-0000640B0000}"/>
    <cellStyle name="Input 11 2" xfId="2387" xr:uid="{00000000-0005-0000-0000-0000650B0000}"/>
    <cellStyle name="Input 11 3" xfId="2388" xr:uid="{00000000-0005-0000-0000-0000660B0000}"/>
    <cellStyle name="Input 11 4" xfId="2389" xr:uid="{00000000-0005-0000-0000-0000670B0000}"/>
    <cellStyle name="Input 12" xfId="2390" xr:uid="{00000000-0005-0000-0000-0000680B0000}"/>
    <cellStyle name="Input 12 2" xfId="2391" xr:uid="{00000000-0005-0000-0000-0000690B0000}"/>
    <cellStyle name="Input 12 3" xfId="2392" xr:uid="{00000000-0005-0000-0000-00006A0B0000}"/>
    <cellStyle name="Input 13" xfId="2393" xr:uid="{00000000-0005-0000-0000-00006B0B0000}"/>
    <cellStyle name="Input 13 2" xfId="2394" xr:uid="{00000000-0005-0000-0000-00006C0B0000}"/>
    <cellStyle name="Input 13 3" xfId="2395" xr:uid="{00000000-0005-0000-0000-00006D0B0000}"/>
    <cellStyle name="Input 14" xfId="2396" xr:uid="{00000000-0005-0000-0000-00006E0B0000}"/>
    <cellStyle name="Input 14 2" xfId="2397" xr:uid="{00000000-0005-0000-0000-00006F0B0000}"/>
    <cellStyle name="Input 15" xfId="2398" xr:uid="{00000000-0005-0000-0000-0000700B0000}"/>
    <cellStyle name="Input 15 2" xfId="2399" xr:uid="{00000000-0005-0000-0000-0000710B0000}"/>
    <cellStyle name="Input 16" xfId="2400" xr:uid="{00000000-0005-0000-0000-0000720B0000}"/>
    <cellStyle name="Input 17" xfId="2401" xr:uid="{00000000-0005-0000-0000-0000730B0000}"/>
    <cellStyle name="Input 18" xfId="2402" xr:uid="{00000000-0005-0000-0000-0000740B0000}"/>
    <cellStyle name="Input 19" xfId="2403" xr:uid="{00000000-0005-0000-0000-0000750B0000}"/>
    <cellStyle name="Input 2" xfId="2404" xr:uid="{00000000-0005-0000-0000-0000760B0000}"/>
    <cellStyle name="Input 2 10" xfId="2405" xr:uid="{00000000-0005-0000-0000-0000770B0000}"/>
    <cellStyle name="Input 2 11" xfId="2406" xr:uid="{00000000-0005-0000-0000-0000780B0000}"/>
    <cellStyle name="Input 2 12" xfId="2407" xr:uid="{00000000-0005-0000-0000-0000790B0000}"/>
    <cellStyle name="Input 2 13" xfId="2408" xr:uid="{00000000-0005-0000-0000-00007A0B0000}"/>
    <cellStyle name="Input 2 14" xfId="2409" xr:uid="{00000000-0005-0000-0000-00007B0B0000}"/>
    <cellStyle name="Input 2 2" xfId="2410" xr:uid="{00000000-0005-0000-0000-00007C0B0000}"/>
    <cellStyle name="Input 2 2 2" xfId="2411" xr:uid="{00000000-0005-0000-0000-00007D0B0000}"/>
    <cellStyle name="Input 2 2 3" xfId="2412" xr:uid="{00000000-0005-0000-0000-00007E0B0000}"/>
    <cellStyle name="Input 2 3" xfId="2413" xr:uid="{00000000-0005-0000-0000-00007F0B0000}"/>
    <cellStyle name="Input 2 3 2" xfId="2414" xr:uid="{00000000-0005-0000-0000-0000800B0000}"/>
    <cellStyle name="Input 2 4" xfId="2415" xr:uid="{00000000-0005-0000-0000-0000810B0000}"/>
    <cellStyle name="Input 2 5" xfId="2416" xr:uid="{00000000-0005-0000-0000-0000820B0000}"/>
    <cellStyle name="Input 2 6" xfId="2417" xr:uid="{00000000-0005-0000-0000-0000830B0000}"/>
    <cellStyle name="Input 2 7" xfId="2418" xr:uid="{00000000-0005-0000-0000-0000840B0000}"/>
    <cellStyle name="Input 2 8" xfId="2419" xr:uid="{00000000-0005-0000-0000-0000850B0000}"/>
    <cellStyle name="Input 2 9" xfId="2420" xr:uid="{00000000-0005-0000-0000-0000860B0000}"/>
    <cellStyle name="Input 20" xfId="2421" xr:uid="{00000000-0005-0000-0000-0000870B0000}"/>
    <cellStyle name="Input 21" xfId="2422" xr:uid="{00000000-0005-0000-0000-0000880B0000}"/>
    <cellStyle name="Input 22" xfId="2423" xr:uid="{00000000-0005-0000-0000-0000890B0000}"/>
    <cellStyle name="Input 23" xfId="2424" xr:uid="{00000000-0005-0000-0000-00008A0B0000}"/>
    <cellStyle name="Input 24" xfId="2425" xr:uid="{00000000-0005-0000-0000-00008B0B0000}"/>
    <cellStyle name="Input 25" xfId="2426" xr:uid="{00000000-0005-0000-0000-00008C0B0000}"/>
    <cellStyle name="Input 26" xfId="2427" xr:uid="{00000000-0005-0000-0000-00008D0B0000}"/>
    <cellStyle name="Input 27" xfId="2428" xr:uid="{00000000-0005-0000-0000-00008E0B0000}"/>
    <cellStyle name="Input 28" xfId="2429" xr:uid="{00000000-0005-0000-0000-00008F0B0000}"/>
    <cellStyle name="Input 3" xfId="2430" xr:uid="{00000000-0005-0000-0000-0000900B0000}"/>
    <cellStyle name="Input 3 2" xfId="2431" xr:uid="{00000000-0005-0000-0000-0000910B0000}"/>
    <cellStyle name="Input 3 3" xfId="2432" xr:uid="{00000000-0005-0000-0000-0000920B0000}"/>
    <cellStyle name="Input 3 4" xfId="2433" xr:uid="{00000000-0005-0000-0000-0000930B0000}"/>
    <cellStyle name="Input 3 5" xfId="2434" xr:uid="{00000000-0005-0000-0000-0000940B0000}"/>
    <cellStyle name="Input 3 6" xfId="2435" xr:uid="{00000000-0005-0000-0000-0000950B0000}"/>
    <cellStyle name="Input 3 7" xfId="2436" xr:uid="{00000000-0005-0000-0000-0000960B0000}"/>
    <cellStyle name="Input 3 8" xfId="2437" xr:uid="{00000000-0005-0000-0000-0000970B0000}"/>
    <cellStyle name="Input 4" xfId="2438" xr:uid="{00000000-0005-0000-0000-0000980B0000}"/>
    <cellStyle name="Input 4 2" xfId="2439" xr:uid="{00000000-0005-0000-0000-0000990B0000}"/>
    <cellStyle name="Input 4 3" xfId="2440" xr:uid="{00000000-0005-0000-0000-00009A0B0000}"/>
    <cellStyle name="Input 4 4" xfId="2441" xr:uid="{00000000-0005-0000-0000-00009B0B0000}"/>
    <cellStyle name="Input 4 5" xfId="2442" xr:uid="{00000000-0005-0000-0000-00009C0B0000}"/>
    <cellStyle name="Input 4 6" xfId="2443" xr:uid="{00000000-0005-0000-0000-00009D0B0000}"/>
    <cellStyle name="Input 4 7" xfId="2444" xr:uid="{00000000-0005-0000-0000-00009E0B0000}"/>
    <cellStyle name="Input 5" xfId="2445" xr:uid="{00000000-0005-0000-0000-00009F0B0000}"/>
    <cellStyle name="Input 5 2" xfId="2446" xr:uid="{00000000-0005-0000-0000-0000A00B0000}"/>
    <cellStyle name="Input 5 3" xfId="2447" xr:uid="{00000000-0005-0000-0000-0000A10B0000}"/>
    <cellStyle name="Input 5 4" xfId="2448" xr:uid="{00000000-0005-0000-0000-0000A20B0000}"/>
    <cellStyle name="Input 5 5" xfId="2449" xr:uid="{00000000-0005-0000-0000-0000A30B0000}"/>
    <cellStyle name="Input 5 6" xfId="2450" xr:uid="{00000000-0005-0000-0000-0000A40B0000}"/>
    <cellStyle name="Input 6" xfId="2451" xr:uid="{00000000-0005-0000-0000-0000A50B0000}"/>
    <cellStyle name="Input 6 2" xfId="2452" xr:uid="{00000000-0005-0000-0000-0000A60B0000}"/>
    <cellStyle name="Input 6 3" xfId="2453" xr:uid="{00000000-0005-0000-0000-0000A70B0000}"/>
    <cellStyle name="Input 6 4" xfId="2454" xr:uid="{00000000-0005-0000-0000-0000A80B0000}"/>
    <cellStyle name="Input 6 5" xfId="2455" xr:uid="{00000000-0005-0000-0000-0000A90B0000}"/>
    <cellStyle name="Input 7" xfId="2456" xr:uid="{00000000-0005-0000-0000-0000AA0B0000}"/>
    <cellStyle name="Input 7 2" xfId="2457" xr:uid="{00000000-0005-0000-0000-0000AB0B0000}"/>
    <cellStyle name="Input 7 3" xfId="2458" xr:uid="{00000000-0005-0000-0000-0000AC0B0000}"/>
    <cellStyle name="Input 7 4" xfId="2459" xr:uid="{00000000-0005-0000-0000-0000AD0B0000}"/>
    <cellStyle name="Input 7 5" xfId="2460" xr:uid="{00000000-0005-0000-0000-0000AE0B0000}"/>
    <cellStyle name="Input 8" xfId="2461" xr:uid="{00000000-0005-0000-0000-0000AF0B0000}"/>
    <cellStyle name="Input 8 2" xfId="2462" xr:uid="{00000000-0005-0000-0000-0000B00B0000}"/>
    <cellStyle name="Input 8 3" xfId="2463" xr:uid="{00000000-0005-0000-0000-0000B10B0000}"/>
    <cellStyle name="Input 8 4" xfId="2464" xr:uid="{00000000-0005-0000-0000-0000B20B0000}"/>
    <cellStyle name="Input 9" xfId="2465" xr:uid="{00000000-0005-0000-0000-0000B30B0000}"/>
    <cellStyle name="Input 9 2" xfId="2466" xr:uid="{00000000-0005-0000-0000-0000B40B0000}"/>
    <cellStyle name="Input 9 3" xfId="2467" xr:uid="{00000000-0005-0000-0000-0000B50B0000}"/>
    <cellStyle name="Input 9 4" xfId="2468" xr:uid="{00000000-0005-0000-0000-0000B60B0000}"/>
    <cellStyle name="InputBlueFont" xfId="2469" xr:uid="{00000000-0005-0000-0000-0000B70B0000}"/>
    <cellStyle name="InputBlueFont 2" xfId="2470" xr:uid="{00000000-0005-0000-0000-0000B80B0000}"/>
    <cellStyle name="InputBlueFont 3" xfId="2471" xr:uid="{00000000-0005-0000-0000-0000B90B0000}"/>
    <cellStyle name="InputBlueFont 4" xfId="2472" xr:uid="{00000000-0005-0000-0000-0000BA0B0000}"/>
    <cellStyle name="ITEMS" xfId="2473" xr:uid="{00000000-0005-0000-0000-0000BB0B0000}"/>
    <cellStyle name="Linked Cell 10" xfId="2474" xr:uid="{00000000-0005-0000-0000-0000BC0B0000}"/>
    <cellStyle name="Linked Cell 10 2" xfId="2475" xr:uid="{00000000-0005-0000-0000-0000BD0B0000}"/>
    <cellStyle name="Linked Cell 10 3" xfId="2476" xr:uid="{00000000-0005-0000-0000-0000BE0B0000}"/>
    <cellStyle name="Linked Cell 11" xfId="2477" xr:uid="{00000000-0005-0000-0000-0000BF0B0000}"/>
    <cellStyle name="Linked Cell 11 2" xfId="2478" xr:uid="{00000000-0005-0000-0000-0000C00B0000}"/>
    <cellStyle name="Linked Cell 11 3" xfId="2479" xr:uid="{00000000-0005-0000-0000-0000C10B0000}"/>
    <cellStyle name="Linked Cell 12" xfId="2480" xr:uid="{00000000-0005-0000-0000-0000C20B0000}"/>
    <cellStyle name="Linked Cell 12 2" xfId="2481" xr:uid="{00000000-0005-0000-0000-0000C30B0000}"/>
    <cellStyle name="Linked Cell 13" xfId="2482" xr:uid="{00000000-0005-0000-0000-0000C40B0000}"/>
    <cellStyle name="Linked Cell 13 2" xfId="2483" xr:uid="{00000000-0005-0000-0000-0000C50B0000}"/>
    <cellStyle name="Linked Cell 14" xfId="2484" xr:uid="{00000000-0005-0000-0000-0000C60B0000}"/>
    <cellStyle name="Linked Cell 15" xfId="2485" xr:uid="{00000000-0005-0000-0000-0000C70B0000}"/>
    <cellStyle name="Linked Cell 2" xfId="2486" xr:uid="{00000000-0005-0000-0000-0000C80B0000}"/>
    <cellStyle name="Linked Cell 2 10" xfId="2487" xr:uid="{00000000-0005-0000-0000-0000C90B0000}"/>
    <cellStyle name="Linked Cell 2 11" xfId="2488" xr:uid="{00000000-0005-0000-0000-0000CA0B0000}"/>
    <cellStyle name="Linked Cell 2 12" xfId="2489" xr:uid="{00000000-0005-0000-0000-0000CB0B0000}"/>
    <cellStyle name="Linked Cell 2 13" xfId="2490" xr:uid="{00000000-0005-0000-0000-0000CC0B0000}"/>
    <cellStyle name="Linked Cell 2 14" xfId="2491" xr:uid="{00000000-0005-0000-0000-0000CD0B0000}"/>
    <cellStyle name="Linked Cell 2 2" xfId="2492" xr:uid="{00000000-0005-0000-0000-0000CE0B0000}"/>
    <cellStyle name="Linked Cell 2 2 2" xfId="2493" xr:uid="{00000000-0005-0000-0000-0000CF0B0000}"/>
    <cellStyle name="Linked Cell 2 2 3" xfId="2494" xr:uid="{00000000-0005-0000-0000-0000D00B0000}"/>
    <cellStyle name="Linked Cell 2 3" xfId="2495" xr:uid="{00000000-0005-0000-0000-0000D10B0000}"/>
    <cellStyle name="Linked Cell 2 3 2" xfId="2496" xr:uid="{00000000-0005-0000-0000-0000D20B0000}"/>
    <cellStyle name="Linked Cell 2 4" xfId="2497" xr:uid="{00000000-0005-0000-0000-0000D30B0000}"/>
    <cellStyle name="Linked Cell 2 5" xfId="2498" xr:uid="{00000000-0005-0000-0000-0000D40B0000}"/>
    <cellStyle name="Linked Cell 2 6" xfId="2499" xr:uid="{00000000-0005-0000-0000-0000D50B0000}"/>
    <cellStyle name="Linked Cell 2 7" xfId="2500" xr:uid="{00000000-0005-0000-0000-0000D60B0000}"/>
    <cellStyle name="Linked Cell 2 8" xfId="2501" xr:uid="{00000000-0005-0000-0000-0000D70B0000}"/>
    <cellStyle name="Linked Cell 2 9" xfId="2502" xr:uid="{00000000-0005-0000-0000-0000D80B0000}"/>
    <cellStyle name="Linked Cell 3" xfId="2503" xr:uid="{00000000-0005-0000-0000-0000D90B0000}"/>
    <cellStyle name="Linked Cell 3 2" xfId="2504" xr:uid="{00000000-0005-0000-0000-0000DA0B0000}"/>
    <cellStyle name="Linked Cell 3 3" xfId="2505" xr:uid="{00000000-0005-0000-0000-0000DB0B0000}"/>
    <cellStyle name="Linked Cell 3 4" xfId="2506" xr:uid="{00000000-0005-0000-0000-0000DC0B0000}"/>
    <cellStyle name="Linked Cell 3 5" xfId="2507" xr:uid="{00000000-0005-0000-0000-0000DD0B0000}"/>
    <cellStyle name="Linked Cell 3 6" xfId="2508" xr:uid="{00000000-0005-0000-0000-0000DE0B0000}"/>
    <cellStyle name="Linked Cell 3 7" xfId="2509" xr:uid="{00000000-0005-0000-0000-0000DF0B0000}"/>
    <cellStyle name="Linked Cell 3 8" xfId="2510" xr:uid="{00000000-0005-0000-0000-0000E00B0000}"/>
    <cellStyle name="Linked Cell 4" xfId="2511" xr:uid="{00000000-0005-0000-0000-0000E10B0000}"/>
    <cellStyle name="Linked Cell 4 2" xfId="2512" xr:uid="{00000000-0005-0000-0000-0000E20B0000}"/>
    <cellStyle name="Linked Cell 4 3" xfId="2513" xr:uid="{00000000-0005-0000-0000-0000E30B0000}"/>
    <cellStyle name="Linked Cell 4 4" xfId="2514" xr:uid="{00000000-0005-0000-0000-0000E40B0000}"/>
    <cellStyle name="Linked Cell 4 5" xfId="2515" xr:uid="{00000000-0005-0000-0000-0000E50B0000}"/>
    <cellStyle name="Linked Cell 4 6" xfId="2516" xr:uid="{00000000-0005-0000-0000-0000E60B0000}"/>
    <cellStyle name="Linked Cell 5" xfId="2517" xr:uid="{00000000-0005-0000-0000-0000E70B0000}"/>
    <cellStyle name="Linked Cell 5 2" xfId="2518" xr:uid="{00000000-0005-0000-0000-0000E80B0000}"/>
    <cellStyle name="Linked Cell 5 3" xfId="2519" xr:uid="{00000000-0005-0000-0000-0000E90B0000}"/>
    <cellStyle name="Linked Cell 5 4" xfId="2520" xr:uid="{00000000-0005-0000-0000-0000EA0B0000}"/>
    <cellStyle name="Linked Cell 5 5" xfId="2521" xr:uid="{00000000-0005-0000-0000-0000EB0B0000}"/>
    <cellStyle name="Linked Cell 6" xfId="2522" xr:uid="{00000000-0005-0000-0000-0000EC0B0000}"/>
    <cellStyle name="Linked Cell 6 2" xfId="2523" xr:uid="{00000000-0005-0000-0000-0000ED0B0000}"/>
    <cellStyle name="Linked Cell 6 3" xfId="2524" xr:uid="{00000000-0005-0000-0000-0000EE0B0000}"/>
    <cellStyle name="Linked Cell 6 4" xfId="2525" xr:uid="{00000000-0005-0000-0000-0000EF0B0000}"/>
    <cellStyle name="Linked Cell 7" xfId="2526" xr:uid="{00000000-0005-0000-0000-0000F00B0000}"/>
    <cellStyle name="Linked Cell 7 2" xfId="2527" xr:uid="{00000000-0005-0000-0000-0000F10B0000}"/>
    <cellStyle name="Linked Cell 7 3" xfId="2528" xr:uid="{00000000-0005-0000-0000-0000F20B0000}"/>
    <cellStyle name="Linked Cell 7 4" xfId="2529" xr:uid="{00000000-0005-0000-0000-0000F30B0000}"/>
    <cellStyle name="Linked Cell 8" xfId="2530" xr:uid="{00000000-0005-0000-0000-0000F40B0000}"/>
    <cellStyle name="Linked Cell 8 2" xfId="2531" xr:uid="{00000000-0005-0000-0000-0000F50B0000}"/>
    <cellStyle name="Linked Cell 8 3" xfId="2532" xr:uid="{00000000-0005-0000-0000-0000F60B0000}"/>
    <cellStyle name="Linked Cell 9" xfId="2533" xr:uid="{00000000-0005-0000-0000-0000F70B0000}"/>
    <cellStyle name="Linked Cell 9 2" xfId="2534" xr:uid="{00000000-0005-0000-0000-0000F80B0000}"/>
    <cellStyle name="Linked Cell 9 3" xfId="2535" xr:uid="{00000000-0005-0000-0000-0000F90B0000}"/>
    <cellStyle name="m1 - Style1" xfId="2536" xr:uid="{00000000-0005-0000-0000-0000FA0B0000}"/>
    <cellStyle name="MANKAD" xfId="2537" xr:uid="{00000000-0005-0000-0000-0000FB0B0000}"/>
    <cellStyle name="Milliers [0]_AR1194" xfId="2538" xr:uid="{00000000-0005-0000-0000-0000FC0B0000}"/>
    <cellStyle name="Milliers_AR1194" xfId="2539" xr:uid="{00000000-0005-0000-0000-0000FD0B0000}"/>
    <cellStyle name="Mon?taire [0]_AR1194" xfId="2540" xr:uid="{00000000-0005-0000-0000-0000FE0B0000}"/>
    <cellStyle name="Mon?taire_AR1194" xfId="2541" xr:uid="{00000000-0005-0000-0000-0000FF0B0000}"/>
    <cellStyle name="Neutral 10" xfId="2542" xr:uid="{00000000-0005-0000-0000-0000000C0000}"/>
    <cellStyle name="Neutral 10 2" xfId="2543" xr:uid="{00000000-0005-0000-0000-0000010C0000}"/>
    <cellStyle name="Neutral 10 3" xfId="2544" xr:uid="{00000000-0005-0000-0000-0000020C0000}"/>
    <cellStyle name="Neutral 11" xfId="2545" xr:uid="{00000000-0005-0000-0000-0000030C0000}"/>
    <cellStyle name="Neutral 11 2" xfId="2546" xr:uid="{00000000-0005-0000-0000-0000040C0000}"/>
    <cellStyle name="Neutral 11 3" xfId="2547" xr:uid="{00000000-0005-0000-0000-0000050C0000}"/>
    <cellStyle name="Neutral 12" xfId="2548" xr:uid="{00000000-0005-0000-0000-0000060C0000}"/>
    <cellStyle name="Neutral 12 2" xfId="2549" xr:uid="{00000000-0005-0000-0000-0000070C0000}"/>
    <cellStyle name="Neutral 13" xfId="2550" xr:uid="{00000000-0005-0000-0000-0000080C0000}"/>
    <cellStyle name="Neutral 13 2" xfId="2551" xr:uid="{00000000-0005-0000-0000-0000090C0000}"/>
    <cellStyle name="Neutral 14" xfId="2552" xr:uid="{00000000-0005-0000-0000-00000A0C0000}"/>
    <cellStyle name="Neutral 15" xfId="2553" xr:uid="{00000000-0005-0000-0000-00000B0C0000}"/>
    <cellStyle name="Neutral 2" xfId="2554" xr:uid="{00000000-0005-0000-0000-00000C0C0000}"/>
    <cellStyle name="Neutral 2 10" xfId="2555" xr:uid="{00000000-0005-0000-0000-00000D0C0000}"/>
    <cellStyle name="Neutral 2 11" xfId="2556" xr:uid="{00000000-0005-0000-0000-00000E0C0000}"/>
    <cellStyle name="Neutral 2 12" xfId="2557" xr:uid="{00000000-0005-0000-0000-00000F0C0000}"/>
    <cellStyle name="Neutral 2 13" xfId="2558" xr:uid="{00000000-0005-0000-0000-0000100C0000}"/>
    <cellStyle name="Neutral 2 14" xfId="2559" xr:uid="{00000000-0005-0000-0000-0000110C0000}"/>
    <cellStyle name="Neutral 2 2" xfId="2560" xr:uid="{00000000-0005-0000-0000-0000120C0000}"/>
    <cellStyle name="Neutral 2 2 2" xfId="2561" xr:uid="{00000000-0005-0000-0000-0000130C0000}"/>
    <cellStyle name="Neutral 2 2 3" xfId="2562" xr:uid="{00000000-0005-0000-0000-0000140C0000}"/>
    <cellStyle name="Neutral 2 3" xfId="2563" xr:uid="{00000000-0005-0000-0000-0000150C0000}"/>
    <cellStyle name="Neutral 2 3 2" xfId="2564" xr:uid="{00000000-0005-0000-0000-0000160C0000}"/>
    <cellStyle name="Neutral 2 4" xfId="2565" xr:uid="{00000000-0005-0000-0000-0000170C0000}"/>
    <cellStyle name="Neutral 2 5" xfId="2566" xr:uid="{00000000-0005-0000-0000-0000180C0000}"/>
    <cellStyle name="Neutral 2 6" xfId="2567" xr:uid="{00000000-0005-0000-0000-0000190C0000}"/>
    <cellStyle name="Neutral 2 7" xfId="2568" xr:uid="{00000000-0005-0000-0000-00001A0C0000}"/>
    <cellStyle name="Neutral 2 8" xfId="2569" xr:uid="{00000000-0005-0000-0000-00001B0C0000}"/>
    <cellStyle name="Neutral 2 9" xfId="2570" xr:uid="{00000000-0005-0000-0000-00001C0C0000}"/>
    <cellStyle name="Neutral 3" xfId="2571" xr:uid="{00000000-0005-0000-0000-00001D0C0000}"/>
    <cellStyle name="Neutral 3 2" xfId="2572" xr:uid="{00000000-0005-0000-0000-00001E0C0000}"/>
    <cellStyle name="Neutral 3 3" xfId="2573" xr:uid="{00000000-0005-0000-0000-00001F0C0000}"/>
    <cellStyle name="Neutral 3 4" xfId="2574" xr:uid="{00000000-0005-0000-0000-0000200C0000}"/>
    <cellStyle name="Neutral 3 5" xfId="2575" xr:uid="{00000000-0005-0000-0000-0000210C0000}"/>
    <cellStyle name="Neutral 3 6" xfId="2576" xr:uid="{00000000-0005-0000-0000-0000220C0000}"/>
    <cellStyle name="Neutral 3 7" xfId="2577" xr:uid="{00000000-0005-0000-0000-0000230C0000}"/>
    <cellStyle name="Neutral 3 8" xfId="2578" xr:uid="{00000000-0005-0000-0000-0000240C0000}"/>
    <cellStyle name="Neutral 4" xfId="2579" xr:uid="{00000000-0005-0000-0000-0000250C0000}"/>
    <cellStyle name="Neutral 4 2" xfId="2580" xr:uid="{00000000-0005-0000-0000-0000260C0000}"/>
    <cellStyle name="Neutral 4 3" xfId="2581" xr:uid="{00000000-0005-0000-0000-0000270C0000}"/>
    <cellStyle name="Neutral 4 4" xfId="2582" xr:uid="{00000000-0005-0000-0000-0000280C0000}"/>
    <cellStyle name="Neutral 4 5" xfId="2583" xr:uid="{00000000-0005-0000-0000-0000290C0000}"/>
    <cellStyle name="Neutral 4 6" xfId="2584" xr:uid="{00000000-0005-0000-0000-00002A0C0000}"/>
    <cellStyle name="Neutral 5" xfId="2585" xr:uid="{00000000-0005-0000-0000-00002B0C0000}"/>
    <cellStyle name="Neutral 5 2" xfId="2586" xr:uid="{00000000-0005-0000-0000-00002C0C0000}"/>
    <cellStyle name="Neutral 5 3" xfId="2587" xr:uid="{00000000-0005-0000-0000-00002D0C0000}"/>
    <cellStyle name="Neutral 5 4" xfId="2588" xr:uid="{00000000-0005-0000-0000-00002E0C0000}"/>
    <cellStyle name="Neutral 5 5" xfId="2589" xr:uid="{00000000-0005-0000-0000-00002F0C0000}"/>
    <cellStyle name="Neutral 6" xfId="2590" xr:uid="{00000000-0005-0000-0000-0000300C0000}"/>
    <cellStyle name="Neutral 6 2" xfId="2591" xr:uid="{00000000-0005-0000-0000-0000310C0000}"/>
    <cellStyle name="Neutral 6 3" xfId="2592" xr:uid="{00000000-0005-0000-0000-0000320C0000}"/>
    <cellStyle name="Neutral 6 4" xfId="2593" xr:uid="{00000000-0005-0000-0000-0000330C0000}"/>
    <cellStyle name="Neutral 7" xfId="2594" xr:uid="{00000000-0005-0000-0000-0000340C0000}"/>
    <cellStyle name="Neutral 7 2" xfId="2595" xr:uid="{00000000-0005-0000-0000-0000350C0000}"/>
    <cellStyle name="Neutral 7 3" xfId="2596" xr:uid="{00000000-0005-0000-0000-0000360C0000}"/>
    <cellStyle name="Neutral 7 4" xfId="2597" xr:uid="{00000000-0005-0000-0000-0000370C0000}"/>
    <cellStyle name="Neutral 8" xfId="2598" xr:uid="{00000000-0005-0000-0000-0000380C0000}"/>
    <cellStyle name="Neutral 8 2" xfId="2599" xr:uid="{00000000-0005-0000-0000-0000390C0000}"/>
    <cellStyle name="Neutral 8 3" xfId="2600" xr:uid="{00000000-0005-0000-0000-00003A0C0000}"/>
    <cellStyle name="Neutral 9" xfId="2601" xr:uid="{00000000-0005-0000-0000-00003B0C0000}"/>
    <cellStyle name="Neutral 9 2" xfId="2602" xr:uid="{00000000-0005-0000-0000-00003C0C0000}"/>
    <cellStyle name="Neutral 9 3" xfId="2603" xr:uid="{00000000-0005-0000-0000-00003D0C0000}"/>
    <cellStyle name="no dec" xfId="2604" xr:uid="{00000000-0005-0000-0000-00003E0C0000}"/>
    <cellStyle name="no dec 2" xfId="2605" xr:uid="{00000000-0005-0000-0000-00003F0C0000}"/>
    <cellStyle name="Normal" xfId="0" builtinId="0"/>
    <cellStyle name="Normal - Style1" xfId="2606" xr:uid="{00000000-0005-0000-0000-0000410C0000}"/>
    <cellStyle name="Normal - Style1 10" xfId="2607" xr:uid="{00000000-0005-0000-0000-0000420C0000}"/>
    <cellStyle name="Normal - Style1 11" xfId="2608" xr:uid="{00000000-0005-0000-0000-0000430C0000}"/>
    <cellStyle name="Normal - Style1 2" xfId="2609" xr:uid="{00000000-0005-0000-0000-0000440C0000}"/>
    <cellStyle name="Normal - Style1 2 2" xfId="2610" xr:uid="{00000000-0005-0000-0000-0000450C0000}"/>
    <cellStyle name="Normal - Style1 2 3" xfId="2611" xr:uid="{00000000-0005-0000-0000-0000460C0000}"/>
    <cellStyle name="Normal - Style1 3" xfId="2612" xr:uid="{00000000-0005-0000-0000-0000470C0000}"/>
    <cellStyle name="Normal - Style1 3 2" xfId="2613" xr:uid="{00000000-0005-0000-0000-0000480C0000}"/>
    <cellStyle name="Normal - Style1 3 3" xfId="2614" xr:uid="{00000000-0005-0000-0000-0000490C0000}"/>
    <cellStyle name="Normal - Style1 4" xfId="2615" xr:uid="{00000000-0005-0000-0000-00004A0C0000}"/>
    <cellStyle name="Normal - Style1 4 2" xfId="2616" xr:uid="{00000000-0005-0000-0000-00004B0C0000}"/>
    <cellStyle name="Normal - Style1 4 3" xfId="2617" xr:uid="{00000000-0005-0000-0000-00004C0C0000}"/>
    <cellStyle name="Normal - Style1 5" xfId="2618" xr:uid="{00000000-0005-0000-0000-00004D0C0000}"/>
    <cellStyle name="Normal - Style1 5 2" xfId="2619" xr:uid="{00000000-0005-0000-0000-00004E0C0000}"/>
    <cellStyle name="Normal - Style1 5 3" xfId="2620" xr:uid="{00000000-0005-0000-0000-00004F0C0000}"/>
    <cellStyle name="Normal - Style1 6" xfId="2621" xr:uid="{00000000-0005-0000-0000-0000500C0000}"/>
    <cellStyle name="Normal - Style1 6 2" xfId="2622" xr:uid="{00000000-0005-0000-0000-0000510C0000}"/>
    <cellStyle name="Normal - Style1 6 3" xfId="2623" xr:uid="{00000000-0005-0000-0000-0000520C0000}"/>
    <cellStyle name="Normal - Style1 7" xfId="2624" xr:uid="{00000000-0005-0000-0000-0000530C0000}"/>
    <cellStyle name="Normal - Style1 7 2" xfId="2625" xr:uid="{00000000-0005-0000-0000-0000540C0000}"/>
    <cellStyle name="Normal - Style1 8" xfId="2626" xr:uid="{00000000-0005-0000-0000-0000550C0000}"/>
    <cellStyle name="Normal - Style1 8 2" xfId="2627" xr:uid="{00000000-0005-0000-0000-0000560C0000}"/>
    <cellStyle name="Normal - Style1 9" xfId="2628" xr:uid="{00000000-0005-0000-0000-0000570C0000}"/>
    <cellStyle name="Normal - Style1 9 2" xfId="2629" xr:uid="{00000000-0005-0000-0000-0000580C0000}"/>
    <cellStyle name="Normal - Style5" xfId="2630" xr:uid="{00000000-0005-0000-0000-0000590C0000}"/>
    <cellStyle name="Normal - Style5 10" xfId="2631" xr:uid="{00000000-0005-0000-0000-00005A0C0000}"/>
    <cellStyle name="Normal - Style5 11" xfId="2632" xr:uid="{00000000-0005-0000-0000-00005B0C0000}"/>
    <cellStyle name="Normal - Style5 12" xfId="2633" xr:uid="{00000000-0005-0000-0000-00005C0C0000}"/>
    <cellStyle name="Normal - Style5 13" xfId="2634" xr:uid="{00000000-0005-0000-0000-00005D0C0000}"/>
    <cellStyle name="Normal - Style5 14" xfId="2635" xr:uid="{00000000-0005-0000-0000-00005E0C0000}"/>
    <cellStyle name="Normal - Style5 15" xfId="2636" xr:uid="{00000000-0005-0000-0000-00005F0C0000}"/>
    <cellStyle name="Normal - Style5 16" xfId="2637" xr:uid="{00000000-0005-0000-0000-0000600C0000}"/>
    <cellStyle name="Normal - Style5 17" xfId="2638" xr:uid="{00000000-0005-0000-0000-0000610C0000}"/>
    <cellStyle name="Normal - Style5 18" xfId="2639" xr:uid="{00000000-0005-0000-0000-0000620C0000}"/>
    <cellStyle name="Normal - Style5 19" xfId="2640" xr:uid="{00000000-0005-0000-0000-0000630C0000}"/>
    <cellStyle name="Normal - Style5 2" xfId="2641" xr:uid="{00000000-0005-0000-0000-0000640C0000}"/>
    <cellStyle name="Normal - Style5 20" xfId="2642" xr:uid="{00000000-0005-0000-0000-0000650C0000}"/>
    <cellStyle name="Normal - Style5 21" xfId="2643" xr:uid="{00000000-0005-0000-0000-0000660C0000}"/>
    <cellStyle name="Normal - Style5 22" xfId="2644" xr:uid="{00000000-0005-0000-0000-0000670C0000}"/>
    <cellStyle name="Normal - Style5 23" xfId="2645" xr:uid="{00000000-0005-0000-0000-0000680C0000}"/>
    <cellStyle name="Normal - Style5 24" xfId="2646" xr:uid="{00000000-0005-0000-0000-0000690C0000}"/>
    <cellStyle name="Normal - Style5 3" xfId="2647" xr:uid="{00000000-0005-0000-0000-00006A0C0000}"/>
    <cellStyle name="Normal - Style5 4" xfId="2648" xr:uid="{00000000-0005-0000-0000-00006B0C0000}"/>
    <cellStyle name="Normal - Style5 5" xfId="2649" xr:uid="{00000000-0005-0000-0000-00006C0C0000}"/>
    <cellStyle name="Normal - Style5 6" xfId="2650" xr:uid="{00000000-0005-0000-0000-00006D0C0000}"/>
    <cellStyle name="Normal - Style5 7" xfId="2651" xr:uid="{00000000-0005-0000-0000-00006E0C0000}"/>
    <cellStyle name="Normal - Style5 8" xfId="2652" xr:uid="{00000000-0005-0000-0000-00006F0C0000}"/>
    <cellStyle name="Normal - Style5 9" xfId="2653" xr:uid="{00000000-0005-0000-0000-0000700C0000}"/>
    <cellStyle name="Normal 10" xfId="2654" xr:uid="{00000000-0005-0000-0000-0000710C0000}"/>
    <cellStyle name="Normal 10 10" xfId="4014" xr:uid="{00000000-0005-0000-0000-0000720C0000}"/>
    <cellStyle name="Normal 10 10 2" xfId="4598" xr:uid="{00000000-0005-0000-0000-0000730C0000}"/>
    <cellStyle name="Normal 10 11" xfId="4597" xr:uid="{00000000-0005-0000-0000-0000740C0000}"/>
    <cellStyle name="Normal 10 2" xfId="2655" xr:uid="{00000000-0005-0000-0000-0000750C0000}"/>
    <cellStyle name="Normal 10 2 10" xfId="4599" xr:uid="{00000000-0005-0000-0000-0000760C0000}"/>
    <cellStyle name="Normal 10 2 2" xfId="2656" xr:uid="{00000000-0005-0000-0000-0000770C0000}"/>
    <cellStyle name="Normal 10 2 2 2" xfId="2657" xr:uid="{00000000-0005-0000-0000-0000780C0000}"/>
    <cellStyle name="Normal 10 2 2 2 2" xfId="2658" xr:uid="{00000000-0005-0000-0000-0000790C0000}"/>
    <cellStyle name="Normal 10 2 2 2 2 2" xfId="4018" xr:uid="{00000000-0005-0000-0000-00007A0C0000}"/>
    <cellStyle name="Normal 10 2 2 2 2 2 2" xfId="4603" xr:uid="{00000000-0005-0000-0000-00007B0C0000}"/>
    <cellStyle name="Normal 10 2 2 2 2 3" xfId="4602" xr:uid="{00000000-0005-0000-0000-00007C0C0000}"/>
    <cellStyle name="Normal 10 2 2 2 3" xfId="2659" xr:uid="{00000000-0005-0000-0000-00007D0C0000}"/>
    <cellStyle name="Normal 10 2 2 2 3 2" xfId="4019" xr:uid="{00000000-0005-0000-0000-00007E0C0000}"/>
    <cellStyle name="Normal 10 2 2 2 3 2 2" xfId="4605" xr:uid="{00000000-0005-0000-0000-00007F0C0000}"/>
    <cellStyle name="Normal 10 2 2 2 3 3" xfId="4604" xr:uid="{00000000-0005-0000-0000-0000800C0000}"/>
    <cellStyle name="Normal 10 2 2 2 4" xfId="2660" xr:uid="{00000000-0005-0000-0000-0000810C0000}"/>
    <cellStyle name="Normal 10 2 2 2 4 2" xfId="4020" xr:uid="{00000000-0005-0000-0000-0000820C0000}"/>
    <cellStyle name="Normal 10 2 2 2 4 2 2" xfId="4607" xr:uid="{00000000-0005-0000-0000-0000830C0000}"/>
    <cellStyle name="Normal 10 2 2 2 4 3" xfId="4606" xr:uid="{00000000-0005-0000-0000-0000840C0000}"/>
    <cellStyle name="Normal 10 2 2 2 5" xfId="4017" xr:uid="{00000000-0005-0000-0000-0000850C0000}"/>
    <cellStyle name="Normal 10 2 2 2 5 2" xfId="4608" xr:uid="{00000000-0005-0000-0000-0000860C0000}"/>
    <cellStyle name="Normal 10 2 2 2 6" xfId="4601" xr:uid="{00000000-0005-0000-0000-0000870C0000}"/>
    <cellStyle name="Normal 10 2 2 3" xfId="2661" xr:uid="{00000000-0005-0000-0000-0000880C0000}"/>
    <cellStyle name="Normal 10 2 2 3 2" xfId="4021" xr:uid="{00000000-0005-0000-0000-0000890C0000}"/>
    <cellStyle name="Normal 10 2 2 3 2 2" xfId="4610" xr:uid="{00000000-0005-0000-0000-00008A0C0000}"/>
    <cellStyle name="Normal 10 2 2 3 3" xfId="4609" xr:uid="{00000000-0005-0000-0000-00008B0C0000}"/>
    <cellStyle name="Normal 10 2 2 4" xfId="2662" xr:uid="{00000000-0005-0000-0000-00008C0C0000}"/>
    <cellStyle name="Normal 10 2 2 4 2" xfId="4022" xr:uid="{00000000-0005-0000-0000-00008D0C0000}"/>
    <cellStyle name="Normal 10 2 2 4 2 2" xfId="4612" xr:uid="{00000000-0005-0000-0000-00008E0C0000}"/>
    <cellStyle name="Normal 10 2 2 4 3" xfId="4611" xr:uid="{00000000-0005-0000-0000-00008F0C0000}"/>
    <cellStyle name="Normal 10 2 2 5" xfId="2663" xr:uid="{00000000-0005-0000-0000-0000900C0000}"/>
    <cellStyle name="Normal 10 2 2 5 2" xfId="4023" xr:uid="{00000000-0005-0000-0000-0000910C0000}"/>
    <cellStyle name="Normal 10 2 2 5 2 2" xfId="4614" xr:uid="{00000000-0005-0000-0000-0000920C0000}"/>
    <cellStyle name="Normal 10 2 2 5 3" xfId="4613" xr:uid="{00000000-0005-0000-0000-0000930C0000}"/>
    <cellStyle name="Normal 10 2 2 6" xfId="2664" xr:uid="{00000000-0005-0000-0000-0000940C0000}"/>
    <cellStyle name="Normal 10 2 2 6 2" xfId="4024" xr:uid="{00000000-0005-0000-0000-0000950C0000}"/>
    <cellStyle name="Normal 10 2 2 6 2 2" xfId="4616" xr:uid="{00000000-0005-0000-0000-0000960C0000}"/>
    <cellStyle name="Normal 10 2 2 6 3" xfId="4615" xr:uid="{00000000-0005-0000-0000-0000970C0000}"/>
    <cellStyle name="Normal 10 2 2 7" xfId="4016" xr:uid="{00000000-0005-0000-0000-0000980C0000}"/>
    <cellStyle name="Normal 10 2 2 7 2" xfId="4617" xr:uid="{00000000-0005-0000-0000-0000990C0000}"/>
    <cellStyle name="Normal 10 2 2 8" xfId="4600" xr:uid="{00000000-0005-0000-0000-00009A0C0000}"/>
    <cellStyle name="Normal 10 2 3" xfId="2665" xr:uid="{00000000-0005-0000-0000-00009B0C0000}"/>
    <cellStyle name="Normal 10 2 3 2" xfId="2666" xr:uid="{00000000-0005-0000-0000-00009C0C0000}"/>
    <cellStyle name="Normal 10 2 3 2 2" xfId="4026" xr:uid="{00000000-0005-0000-0000-00009D0C0000}"/>
    <cellStyle name="Normal 10 2 3 2 2 2" xfId="4620" xr:uid="{00000000-0005-0000-0000-00009E0C0000}"/>
    <cellStyle name="Normal 10 2 3 2 3" xfId="4619" xr:uid="{00000000-0005-0000-0000-00009F0C0000}"/>
    <cellStyle name="Normal 10 2 3 3" xfId="2667" xr:uid="{00000000-0005-0000-0000-0000A00C0000}"/>
    <cellStyle name="Normal 10 2 3 3 2" xfId="4027" xr:uid="{00000000-0005-0000-0000-0000A10C0000}"/>
    <cellStyle name="Normal 10 2 3 3 2 2" xfId="4622" xr:uid="{00000000-0005-0000-0000-0000A20C0000}"/>
    <cellStyle name="Normal 10 2 3 3 3" xfId="4621" xr:uid="{00000000-0005-0000-0000-0000A30C0000}"/>
    <cellStyle name="Normal 10 2 3 4" xfId="2668" xr:uid="{00000000-0005-0000-0000-0000A40C0000}"/>
    <cellStyle name="Normal 10 2 3 4 2" xfId="4028" xr:uid="{00000000-0005-0000-0000-0000A50C0000}"/>
    <cellStyle name="Normal 10 2 3 4 2 2" xfId="4624" xr:uid="{00000000-0005-0000-0000-0000A60C0000}"/>
    <cellStyle name="Normal 10 2 3 4 3" xfId="4623" xr:uid="{00000000-0005-0000-0000-0000A70C0000}"/>
    <cellStyle name="Normal 10 2 3 5" xfId="4025" xr:uid="{00000000-0005-0000-0000-0000A80C0000}"/>
    <cellStyle name="Normal 10 2 3 5 2" xfId="4625" xr:uid="{00000000-0005-0000-0000-0000A90C0000}"/>
    <cellStyle name="Normal 10 2 3 6" xfId="4618" xr:uid="{00000000-0005-0000-0000-0000AA0C0000}"/>
    <cellStyle name="Normal 10 2 4" xfId="2669" xr:uid="{00000000-0005-0000-0000-0000AB0C0000}"/>
    <cellStyle name="Normal 10 2 4 2" xfId="4029" xr:uid="{00000000-0005-0000-0000-0000AC0C0000}"/>
    <cellStyle name="Normal 10 2 4 2 2" xfId="4627" xr:uid="{00000000-0005-0000-0000-0000AD0C0000}"/>
    <cellStyle name="Normal 10 2 4 3" xfId="4626" xr:uid="{00000000-0005-0000-0000-0000AE0C0000}"/>
    <cellStyle name="Normal 10 2 5" xfId="2670" xr:uid="{00000000-0005-0000-0000-0000AF0C0000}"/>
    <cellStyle name="Normal 10 2 5 2" xfId="4030" xr:uid="{00000000-0005-0000-0000-0000B00C0000}"/>
    <cellStyle name="Normal 10 2 5 2 2" xfId="4629" xr:uid="{00000000-0005-0000-0000-0000B10C0000}"/>
    <cellStyle name="Normal 10 2 5 3" xfId="4628" xr:uid="{00000000-0005-0000-0000-0000B20C0000}"/>
    <cellStyle name="Normal 10 2 6" xfId="2671" xr:uid="{00000000-0005-0000-0000-0000B30C0000}"/>
    <cellStyle name="Normal 10 2 6 2" xfId="4031" xr:uid="{00000000-0005-0000-0000-0000B40C0000}"/>
    <cellStyle name="Normal 10 2 6 2 2" xfId="4631" xr:uid="{00000000-0005-0000-0000-0000B50C0000}"/>
    <cellStyle name="Normal 10 2 6 3" xfId="4630" xr:uid="{00000000-0005-0000-0000-0000B60C0000}"/>
    <cellStyle name="Normal 10 2 7" xfId="2672" xr:uid="{00000000-0005-0000-0000-0000B70C0000}"/>
    <cellStyle name="Normal 10 2 8" xfId="2673" xr:uid="{00000000-0005-0000-0000-0000B80C0000}"/>
    <cellStyle name="Normal 10 2 8 2" xfId="4032" xr:uid="{00000000-0005-0000-0000-0000B90C0000}"/>
    <cellStyle name="Normal 10 2 8 2 2" xfId="4633" xr:uid="{00000000-0005-0000-0000-0000BA0C0000}"/>
    <cellStyle name="Normal 10 2 8 3" xfId="4632" xr:uid="{00000000-0005-0000-0000-0000BB0C0000}"/>
    <cellStyle name="Normal 10 2 9" xfId="4015" xr:uid="{00000000-0005-0000-0000-0000BC0C0000}"/>
    <cellStyle name="Normal 10 2 9 2" xfId="4634" xr:uid="{00000000-0005-0000-0000-0000BD0C0000}"/>
    <cellStyle name="Normal 10 3" xfId="2674" xr:uid="{00000000-0005-0000-0000-0000BE0C0000}"/>
    <cellStyle name="Normal 10 3 10" xfId="4635" xr:uid="{00000000-0005-0000-0000-0000BF0C0000}"/>
    <cellStyle name="Normal 10 3 2" xfId="2675" xr:uid="{00000000-0005-0000-0000-0000C00C0000}"/>
    <cellStyle name="Normal 10 3 2 2" xfId="2676" xr:uid="{00000000-0005-0000-0000-0000C10C0000}"/>
    <cellStyle name="Normal 10 3 2 2 2" xfId="4035" xr:uid="{00000000-0005-0000-0000-0000C20C0000}"/>
    <cellStyle name="Normal 10 3 2 2 2 2" xfId="4638" xr:uid="{00000000-0005-0000-0000-0000C30C0000}"/>
    <cellStyle name="Normal 10 3 2 2 3" xfId="4637" xr:uid="{00000000-0005-0000-0000-0000C40C0000}"/>
    <cellStyle name="Normal 10 3 2 3" xfId="2677" xr:uid="{00000000-0005-0000-0000-0000C50C0000}"/>
    <cellStyle name="Normal 10 3 2 3 2" xfId="4036" xr:uid="{00000000-0005-0000-0000-0000C60C0000}"/>
    <cellStyle name="Normal 10 3 2 3 2 2" xfId="4640" xr:uid="{00000000-0005-0000-0000-0000C70C0000}"/>
    <cellStyle name="Normal 10 3 2 3 3" xfId="4639" xr:uid="{00000000-0005-0000-0000-0000C80C0000}"/>
    <cellStyle name="Normal 10 3 2 4" xfId="2678" xr:uid="{00000000-0005-0000-0000-0000C90C0000}"/>
    <cellStyle name="Normal 10 3 2 4 2" xfId="4037" xr:uid="{00000000-0005-0000-0000-0000CA0C0000}"/>
    <cellStyle name="Normal 10 3 2 4 2 2" xfId="4642" xr:uid="{00000000-0005-0000-0000-0000CB0C0000}"/>
    <cellStyle name="Normal 10 3 2 4 3" xfId="4641" xr:uid="{00000000-0005-0000-0000-0000CC0C0000}"/>
    <cellStyle name="Normal 10 3 2 5" xfId="4034" xr:uid="{00000000-0005-0000-0000-0000CD0C0000}"/>
    <cellStyle name="Normal 10 3 2 5 2" xfId="4643" xr:uid="{00000000-0005-0000-0000-0000CE0C0000}"/>
    <cellStyle name="Normal 10 3 2 6" xfId="4636" xr:uid="{00000000-0005-0000-0000-0000CF0C0000}"/>
    <cellStyle name="Normal 10 3 3" xfId="2679" xr:uid="{00000000-0005-0000-0000-0000D00C0000}"/>
    <cellStyle name="Normal 10 3 3 2" xfId="4038" xr:uid="{00000000-0005-0000-0000-0000D10C0000}"/>
    <cellStyle name="Normal 10 3 3 2 2" xfId="4645" xr:uid="{00000000-0005-0000-0000-0000D20C0000}"/>
    <cellStyle name="Normal 10 3 3 3" xfId="4644" xr:uid="{00000000-0005-0000-0000-0000D30C0000}"/>
    <cellStyle name="Normal 10 3 4" xfId="2680" xr:uid="{00000000-0005-0000-0000-0000D40C0000}"/>
    <cellStyle name="Normal 10 3 4 2" xfId="4039" xr:uid="{00000000-0005-0000-0000-0000D50C0000}"/>
    <cellStyle name="Normal 10 3 4 2 2" xfId="4647" xr:uid="{00000000-0005-0000-0000-0000D60C0000}"/>
    <cellStyle name="Normal 10 3 4 3" xfId="4646" xr:uid="{00000000-0005-0000-0000-0000D70C0000}"/>
    <cellStyle name="Normal 10 3 5" xfId="2681" xr:uid="{00000000-0005-0000-0000-0000D80C0000}"/>
    <cellStyle name="Normal 10 3 5 2" xfId="4040" xr:uid="{00000000-0005-0000-0000-0000D90C0000}"/>
    <cellStyle name="Normal 10 3 5 2 2" xfId="4649" xr:uid="{00000000-0005-0000-0000-0000DA0C0000}"/>
    <cellStyle name="Normal 10 3 5 3" xfId="4648" xr:uid="{00000000-0005-0000-0000-0000DB0C0000}"/>
    <cellStyle name="Normal 10 3 6" xfId="2682" xr:uid="{00000000-0005-0000-0000-0000DC0C0000}"/>
    <cellStyle name="Normal 10 3 6 2" xfId="4041" xr:uid="{00000000-0005-0000-0000-0000DD0C0000}"/>
    <cellStyle name="Normal 10 3 6 2 2" xfId="4651" xr:uid="{00000000-0005-0000-0000-0000DE0C0000}"/>
    <cellStyle name="Normal 10 3 6 3" xfId="4650" xr:uid="{00000000-0005-0000-0000-0000DF0C0000}"/>
    <cellStyle name="Normal 10 3 7" xfId="2683" xr:uid="{00000000-0005-0000-0000-0000E00C0000}"/>
    <cellStyle name="Normal 10 3 8" xfId="2684" xr:uid="{00000000-0005-0000-0000-0000E10C0000}"/>
    <cellStyle name="Normal 10 3 8 2" xfId="4042" xr:uid="{00000000-0005-0000-0000-0000E20C0000}"/>
    <cellStyle name="Normal 10 3 8 2 2" xfId="4653" xr:uid="{00000000-0005-0000-0000-0000E30C0000}"/>
    <cellStyle name="Normal 10 3 8 3" xfId="4652" xr:uid="{00000000-0005-0000-0000-0000E40C0000}"/>
    <cellStyle name="Normal 10 3 9" xfId="4033" xr:uid="{00000000-0005-0000-0000-0000E50C0000}"/>
    <cellStyle name="Normal 10 3 9 2" xfId="4654" xr:uid="{00000000-0005-0000-0000-0000E60C0000}"/>
    <cellStyle name="Normal 10 4" xfId="2685" xr:uid="{00000000-0005-0000-0000-0000E70C0000}"/>
    <cellStyle name="Normal 10 4 2" xfId="2686" xr:uid="{00000000-0005-0000-0000-0000E80C0000}"/>
    <cellStyle name="Normal 10 4 2 2" xfId="4044" xr:uid="{00000000-0005-0000-0000-0000E90C0000}"/>
    <cellStyle name="Normal 10 4 2 2 2" xfId="4657" xr:uid="{00000000-0005-0000-0000-0000EA0C0000}"/>
    <cellStyle name="Normal 10 4 2 3" xfId="4656" xr:uid="{00000000-0005-0000-0000-0000EB0C0000}"/>
    <cellStyle name="Normal 10 4 3" xfId="2687" xr:uid="{00000000-0005-0000-0000-0000EC0C0000}"/>
    <cellStyle name="Normal 10 4 3 2" xfId="4045" xr:uid="{00000000-0005-0000-0000-0000ED0C0000}"/>
    <cellStyle name="Normal 10 4 3 2 2" xfId="4659" xr:uid="{00000000-0005-0000-0000-0000EE0C0000}"/>
    <cellStyle name="Normal 10 4 3 3" xfId="4658" xr:uid="{00000000-0005-0000-0000-0000EF0C0000}"/>
    <cellStyle name="Normal 10 4 4" xfId="2688" xr:uid="{00000000-0005-0000-0000-0000F00C0000}"/>
    <cellStyle name="Normal 10 4 4 2" xfId="4046" xr:uid="{00000000-0005-0000-0000-0000F10C0000}"/>
    <cellStyle name="Normal 10 4 4 2 2" xfId="4661" xr:uid="{00000000-0005-0000-0000-0000F20C0000}"/>
    <cellStyle name="Normal 10 4 4 3" xfId="4660" xr:uid="{00000000-0005-0000-0000-0000F30C0000}"/>
    <cellStyle name="Normal 10 4 5" xfId="2689" xr:uid="{00000000-0005-0000-0000-0000F40C0000}"/>
    <cellStyle name="Normal 10 4 5 2" xfId="4047" xr:uid="{00000000-0005-0000-0000-0000F50C0000}"/>
    <cellStyle name="Normal 10 4 5 2 2" xfId="4663" xr:uid="{00000000-0005-0000-0000-0000F60C0000}"/>
    <cellStyle name="Normal 10 4 5 3" xfId="4662" xr:uid="{00000000-0005-0000-0000-0000F70C0000}"/>
    <cellStyle name="Normal 10 4 6" xfId="2690" xr:uid="{00000000-0005-0000-0000-0000F80C0000}"/>
    <cellStyle name="Normal 10 4 7" xfId="2691" xr:uid="{00000000-0005-0000-0000-0000F90C0000}"/>
    <cellStyle name="Normal 10 4 7 2" xfId="4048" xr:uid="{00000000-0005-0000-0000-0000FA0C0000}"/>
    <cellStyle name="Normal 10 4 7 2 2" xfId="4665" xr:uid="{00000000-0005-0000-0000-0000FB0C0000}"/>
    <cellStyle name="Normal 10 4 7 3" xfId="4664" xr:uid="{00000000-0005-0000-0000-0000FC0C0000}"/>
    <cellStyle name="Normal 10 4 8" xfId="4043" xr:uid="{00000000-0005-0000-0000-0000FD0C0000}"/>
    <cellStyle name="Normal 10 4 8 2" xfId="4666" xr:uid="{00000000-0005-0000-0000-0000FE0C0000}"/>
    <cellStyle name="Normal 10 4 9" xfId="4655" xr:uid="{00000000-0005-0000-0000-0000FF0C0000}"/>
    <cellStyle name="Normal 10 5" xfId="2692" xr:uid="{00000000-0005-0000-0000-0000000D0000}"/>
    <cellStyle name="Normal 10 5 2" xfId="2693" xr:uid="{00000000-0005-0000-0000-0000010D0000}"/>
    <cellStyle name="Normal 10 5 2 2" xfId="4050" xr:uid="{00000000-0005-0000-0000-0000020D0000}"/>
    <cellStyle name="Normal 10 5 2 2 2" xfId="4669" xr:uid="{00000000-0005-0000-0000-0000030D0000}"/>
    <cellStyle name="Normal 10 5 2 3" xfId="4668" xr:uid="{00000000-0005-0000-0000-0000040D0000}"/>
    <cellStyle name="Normal 10 5 3" xfId="2694" xr:uid="{00000000-0005-0000-0000-0000050D0000}"/>
    <cellStyle name="Normal 10 5 4" xfId="4049" xr:uid="{00000000-0005-0000-0000-0000060D0000}"/>
    <cellStyle name="Normal 10 5 4 2" xfId="4670" xr:uid="{00000000-0005-0000-0000-0000070D0000}"/>
    <cellStyle name="Normal 10 5 5" xfId="4667" xr:uid="{00000000-0005-0000-0000-0000080D0000}"/>
    <cellStyle name="Normal 10 6" xfId="2695" xr:uid="{00000000-0005-0000-0000-0000090D0000}"/>
    <cellStyle name="Normal 10 6 2" xfId="2696" xr:uid="{00000000-0005-0000-0000-00000A0D0000}"/>
    <cellStyle name="Normal 10 6 2 2" xfId="4052" xr:uid="{00000000-0005-0000-0000-00000B0D0000}"/>
    <cellStyle name="Normal 10 6 2 2 2" xfId="4673" xr:uid="{00000000-0005-0000-0000-00000C0D0000}"/>
    <cellStyle name="Normal 10 6 2 3" xfId="4672" xr:uid="{00000000-0005-0000-0000-00000D0D0000}"/>
    <cellStyle name="Normal 10 6 3" xfId="2697" xr:uid="{00000000-0005-0000-0000-00000E0D0000}"/>
    <cellStyle name="Normal 10 6 4" xfId="4051" xr:uid="{00000000-0005-0000-0000-00000F0D0000}"/>
    <cellStyle name="Normal 10 6 4 2" xfId="4674" xr:uid="{00000000-0005-0000-0000-0000100D0000}"/>
    <cellStyle name="Normal 10 6 5" xfId="4671" xr:uid="{00000000-0005-0000-0000-0000110D0000}"/>
    <cellStyle name="Normal 10 7" xfId="2698" xr:uid="{00000000-0005-0000-0000-0000120D0000}"/>
    <cellStyle name="Normal 10 7 2" xfId="4053" xr:uid="{00000000-0005-0000-0000-0000130D0000}"/>
    <cellStyle name="Normal 10 7 2 2" xfId="4676" xr:uid="{00000000-0005-0000-0000-0000140D0000}"/>
    <cellStyle name="Normal 10 7 3" xfId="4675" xr:uid="{00000000-0005-0000-0000-0000150D0000}"/>
    <cellStyle name="Normal 10 8" xfId="2699" xr:uid="{00000000-0005-0000-0000-0000160D0000}"/>
    <cellStyle name="Normal 10 9" xfId="2700" xr:uid="{00000000-0005-0000-0000-0000170D0000}"/>
    <cellStyle name="Normal 10 9 2" xfId="4054" xr:uid="{00000000-0005-0000-0000-0000180D0000}"/>
    <cellStyle name="Normal 10 9 2 2" xfId="4678" xr:uid="{00000000-0005-0000-0000-0000190D0000}"/>
    <cellStyle name="Normal 10 9 3" xfId="4677" xr:uid="{00000000-0005-0000-0000-00001A0D0000}"/>
    <cellStyle name="Normal 100" xfId="5691" xr:uid="{00000000-0005-0000-0000-00001B0D0000}"/>
    <cellStyle name="Normal 101" xfId="5692" xr:uid="{00000000-0005-0000-0000-00001C0D0000}"/>
    <cellStyle name="Normal 102" xfId="5693" xr:uid="{00000000-0005-0000-0000-00001D0D0000}"/>
    <cellStyle name="Normal 103" xfId="5694" xr:uid="{00000000-0005-0000-0000-00001E0D0000}"/>
    <cellStyle name="Normal 104" xfId="5695" xr:uid="{00000000-0005-0000-0000-00001F0D0000}"/>
    <cellStyle name="Normal 105" xfId="5696" xr:uid="{00000000-0005-0000-0000-0000200D0000}"/>
    <cellStyle name="Normal 106" xfId="5861" xr:uid="{00000000-0005-0000-0000-0000210D0000}"/>
    <cellStyle name="Normal 107" xfId="5862" xr:uid="{00000000-0005-0000-0000-0000220D0000}"/>
    <cellStyle name="Normal 108" xfId="5860" xr:uid="{00000000-0005-0000-0000-0000230D0000}"/>
    <cellStyle name="Normal 109" xfId="5851" xr:uid="{00000000-0005-0000-0000-0000240D0000}"/>
    <cellStyle name="Normal 11" xfId="2701" xr:uid="{00000000-0005-0000-0000-0000250D0000}"/>
    <cellStyle name="Normal 11 10" xfId="4679" xr:uid="{00000000-0005-0000-0000-0000260D0000}"/>
    <cellStyle name="Normal 11 2" xfId="2702" xr:uid="{00000000-0005-0000-0000-0000270D0000}"/>
    <cellStyle name="Normal 11 2 2" xfId="2703" xr:uid="{00000000-0005-0000-0000-0000280D0000}"/>
    <cellStyle name="Normal 11 2 2 2" xfId="2704" xr:uid="{00000000-0005-0000-0000-0000290D0000}"/>
    <cellStyle name="Normal 11 2 2 2 2" xfId="4058" xr:uid="{00000000-0005-0000-0000-00002A0D0000}"/>
    <cellStyle name="Normal 11 2 2 2 2 2" xfId="4683" xr:uid="{00000000-0005-0000-0000-00002B0D0000}"/>
    <cellStyle name="Normal 11 2 2 2 3" xfId="4682" xr:uid="{00000000-0005-0000-0000-00002C0D0000}"/>
    <cellStyle name="Normal 11 2 2 3" xfId="2705" xr:uid="{00000000-0005-0000-0000-00002D0D0000}"/>
    <cellStyle name="Normal 11 2 2 3 2" xfId="4059" xr:uid="{00000000-0005-0000-0000-00002E0D0000}"/>
    <cellStyle name="Normal 11 2 2 3 2 2" xfId="4685" xr:uid="{00000000-0005-0000-0000-00002F0D0000}"/>
    <cellStyle name="Normal 11 2 2 3 3" xfId="4684" xr:uid="{00000000-0005-0000-0000-0000300D0000}"/>
    <cellStyle name="Normal 11 2 2 4" xfId="2706" xr:uid="{00000000-0005-0000-0000-0000310D0000}"/>
    <cellStyle name="Normal 11 2 2 4 2" xfId="4060" xr:uid="{00000000-0005-0000-0000-0000320D0000}"/>
    <cellStyle name="Normal 11 2 2 4 2 2" xfId="4687" xr:uid="{00000000-0005-0000-0000-0000330D0000}"/>
    <cellStyle name="Normal 11 2 2 4 3" xfId="4686" xr:uid="{00000000-0005-0000-0000-0000340D0000}"/>
    <cellStyle name="Normal 11 2 2 5" xfId="4057" xr:uid="{00000000-0005-0000-0000-0000350D0000}"/>
    <cellStyle name="Normal 11 2 2 5 2" xfId="4688" xr:uid="{00000000-0005-0000-0000-0000360D0000}"/>
    <cellStyle name="Normal 11 2 2 6" xfId="4681" xr:uid="{00000000-0005-0000-0000-0000370D0000}"/>
    <cellStyle name="Normal 11 2 3" xfId="2707" xr:uid="{00000000-0005-0000-0000-0000380D0000}"/>
    <cellStyle name="Normal 11 2 3 2" xfId="4061" xr:uid="{00000000-0005-0000-0000-0000390D0000}"/>
    <cellStyle name="Normal 11 2 3 2 2" xfId="4690" xr:uid="{00000000-0005-0000-0000-00003A0D0000}"/>
    <cellStyle name="Normal 11 2 3 3" xfId="4689" xr:uid="{00000000-0005-0000-0000-00003B0D0000}"/>
    <cellStyle name="Normal 11 2 4" xfId="2708" xr:uid="{00000000-0005-0000-0000-00003C0D0000}"/>
    <cellStyle name="Normal 11 2 4 2" xfId="4062" xr:uid="{00000000-0005-0000-0000-00003D0D0000}"/>
    <cellStyle name="Normal 11 2 4 2 2" xfId="4692" xr:uid="{00000000-0005-0000-0000-00003E0D0000}"/>
    <cellStyle name="Normal 11 2 4 3" xfId="4691" xr:uid="{00000000-0005-0000-0000-00003F0D0000}"/>
    <cellStyle name="Normal 11 2 5" xfId="2709" xr:uid="{00000000-0005-0000-0000-0000400D0000}"/>
    <cellStyle name="Normal 11 2 5 2" xfId="4063" xr:uid="{00000000-0005-0000-0000-0000410D0000}"/>
    <cellStyle name="Normal 11 2 5 2 2" xfId="4694" xr:uid="{00000000-0005-0000-0000-0000420D0000}"/>
    <cellStyle name="Normal 11 2 5 3" xfId="4693" xr:uid="{00000000-0005-0000-0000-0000430D0000}"/>
    <cellStyle name="Normal 11 2 6" xfId="2710" xr:uid="{00000000-0005-0000-0000-0000440D0000}"/>
    <cellStyle name="Normal 11 2 7" xfId="2711" xr:uid="{00000000-0005-0000-0000-0000450D0000}"/>
    <cellStyle name="Normal 11 2 7 2" xfId="4064" xr:uid="{00000000-0005-0000-0000-0000460D0000}"/>
    <cellStyle name="Normal 11 2 7 2 2" xfId="4696" xr:uid="{00000000-0005-0000-0000-0000470D0000}"/>
    <cellStyle name="Normal 11 2 7 3" xfId="4695" xr:uid="{00000000-0005-0000-0000-0000480D0000}"/>
    <cellStyle name="Normal 11 2 8" xfId="4056" xr:uid="{00000000-0005-0000-0000-0000490D0000}"/>
    <cellStyle name="Normal 11 2 8 2" xfId="4697" xr:uid="{00000000-0005-0000-0000-00004A0D0000}"/>
    <cellStyle name="Normal 11 2 9" xfId="4680" xr:uid="{00000000-0005-0000-0000-00004B0D0000}"/>
    <cellStyle name="Normal 11 3" xfId="2712" xr:uid="{00000000-0005-0000-0000-00004C0D0000}"/>
    <cellStyle name="Normal 11 3 2" xfId="2713" xr:uid="{00000000-0005-0000-0000-00004D0D0000}"/>
    <cellStyle name="Normal 11 3 2 2" xfId="4066" xr:uid="{00000000-0005-0000-0000-00004E0D0000}"/>
    <cellStyle name="Normal 11 3 2 2 2" xfId="4700" xr:uid="{00000000-0005-0000-0000-00004F0D0000}"/>
    <cellStyle name="Normal 11 3 2 3" xfId="4699" xr:uid="{00000000-0005-0000-0000-0000500D0000}"/>
    <cellStyle name="Normal 11 3 3" xfId="2714" xr:uid="{00000000-0005-0000-0000-0000510D0000}"/>
    <cellStyle name="Normal 11 3 3 2" xfId="4067" xr:uid="{00000000-0005-0000-0000-0000520D0000}"/>
    <cellStyle name="Normal 11 3 3 2 2" xfId="4702" xr:uid="{00000000-0005-0000-0000-0000530D0000}"/>
    <cellStyle name="Normal 11 3 3 3" xfId="4701" xr:uid="{00000000-0005-0000-0000-0000540D0000}"/>
    <cellStyle name="Normal 11 3 4" xfId="2715" xr:uid="{00000000-0005-0000-0000-0000550D0000}"/>
    <cellStyle name="Normal 11 3 4 2" xfId="4068" xr:uid="{00000000-0005-0000-0000-0000560D0000}"/>
    <cellStyle name="Normal 11 3 4 2 2" xfId="4704" xr:uid="{00000000-0005-0000-0000-0000570D0000}"/>
    <cellStyle name="Normal 11 3 4 3" xfId="4703" xr:uid="{00000000-0005-0000-0000-0000580D0000}"/>
    <cellStyle name="Normal 11 3 5" xfId="2716" xr:uid="{00000000-0005-0000-0000-0000590D0000}"/>
    <cellStyle name="Normal 11 3 5 2" xfId="4069" xr:uid="{00000000-0005-0000-0000-00005A0D0000}"/>
    <cellStyle name="Normal 11 3 5 2 2" xfId="4706" xr:uid="{00000000-0005-0000-0000-00005B0D0000}"/>
    <cellStyle name="Normal 11 3 5 3" xfId="4705" xr:uid="{00000000-0005-0000-0000-00005C0D0000}"/>
    <cellStyle name="Normal 11 3 6" xfId="2717" xr:uid="{00000000-0005-0000-0000-00005D0D0000}"/>
    <cellStyle name="Normal 11 3 7" xfId="2718" xr:uid="{00000000-0005-0000-0000-00005E0D0000}"/>
    <cellStyle name="Normal 11 3 7 2" xfId="4070" xr:uid="{00000000-0005-0000-0000-00005F0D0000}"/>
    <cellStyle name="Normal 11 3 7 2 2" xfId="4708" xr:uid="{00000000-0005-0000-0000-0000600D0000}"/>
    <cellStyle name="Normal 11 3 7 3" xfId="4707" xr:uid="{00000000-0005-0000-0000-0000610D0000}"/>
    <cellStyle name="Normal 11 3 8" xfId="4065" xr:uid="{00000000-0005-0000-0000-0000620D0000}"/>
    <cellStyle name="Normal 11 3 8 2" xfId="4709" xr:uid="{00000000-0005-0000-0000-0000630D0000}"/>
    <cellStyle name="Normal 11 3 9" xfId="4698" xr:uid="{00000000-0005-0000-0000-0000640D0000}"/>
    <cellStyle name="Normal 11 4" xfId="2719" xr:uid="{00000000-0005-0000-0000-0000650D0000}"/>
    <cellStyle name="Normal 11 4 2" xfId="2720" xr:uid="{00000000-0005-0000-0000-0000660D0000}"/>
    <cellStyle name="Normal 11 4 2 2" xfId="4072" xr:uid="{00000000-0005-0000-0000-0000670D0000}"/>
    <cellStyle name="Normal 11 4 2 2 2" xfId="4712" xr:uid="{00000000-0005-0000-0000-0000680D0000}"/>
    <cellStyle name="Normal 11 4 2 3" xfId="4711" xr:uid="{00000000-0005-0000-0000-0000690D0000}"/>
    <cellStyle name="Normal 11 4 3" xfId="2721" xr:uid="{00000000-0005-0000-0000-00006A0D0000}"/>
    <cellStyle name="Normal 11 4 4" xfId="4071" xr:uid="{00000000-0005-0000-0000-00006B0D0000}"/>
    <cellStyle name="Normal 11 4 4 2" xfId="4713" xr:uid="{00000000-0005-0000-0000-00006C0D0000}"/>
    <cellStyle name="Normal 11 4 5" xfId="4710" xr:uid="{00000000-0005-0000-0000-00006D0D0000}"/>
    <cellStyle name="Normal 11 5" xfId="2722" xr:uid="{00000000-0005-0000-0000-00006E0D0000}"/>
    <cellStyle name="Normal 11 5 2" xfId="2723" xr:uid="{00000000-0005-0000-0000-00006F0D0000}"/>
    <cellStyle name="Normal 11 5 2 2" xfId="4074" xr:uid="{00000000-0005-0000-0000-0000700D0000}"/>
    <cellStyle name="Normal 11 5 2 2 2" xfId="4716" xr:uid="{00000000-0005-0000-0000-0000710D0000}"/>
    <cellStyle name="Normal 11 5 2 3" xfId="4715" xr:uid="{00000000-0005-0000-0000-0000720D0000}"/>
    <cellStyle name="Normal 11 5 3" xfId="2724" xr:uid="{00000000-0005-0000-0000-0000730D0000}"/>
    <cellStyle name="Normal 11 5 4" xfId="4073" xr:uid="{00000000-0005-0000-0000-0000740D0000}"/>
    <cellStyle name="Normal 11 5 4 2" xfId="4717" xr:uid="{00000000-0005-0000-0000-0000750D0000}"/>
    <cellStyle name="Normal 11 5 5" xfId="4714" xr:uid="{00000000-0005-0000-0000-0000760D0000}"/>
    <cellStyle name="Normal 11 6" xfId="2725" xr:uid="{00000000-0005-0000-0000-0000770D0000}"/>
    <cellStyle name="Normal 11 6 2" xfId="4075" xr:uid="{00000000-0005-0000-0000-0000780D0000}"/>
    <cellStyle name="Normal 11 6 2 2" xfId="4719" xr:uid="{00000000-0005-0000-0000-0000790D0000}"/>
    <cellStyle name="Normal 11 6 3" xfId="4718" xr:uid="{00000000-0005-0000-0000-00007A0D0000}"/>
    <cellStyle name="Normal 11 7" xfId="2726" xr:uid="{00000000-0005-0000-0000-00007B0D0000}"/>
    <cellStyle name="Normal 11 8" xfId="2727" xr:uid="{00000000-0005-0000-0000-00007C0D0000}"/>
    <cellStyle name="Normal 11 8 2" xfId="4076" xr:uid="{00000000-0005-0000-0000-00007D0D0000}"/>
    <cellStyle name="Normal 11 8 2 2" xfId="4721" xr:uid="{00000000-0005-0000-0000-00007E0D0000}"/>
    <cellStyle name="Normal 11 8 3" xfId="4720" xr:uid="{00000000-0005-0000-0000-00007F0D0000}"/>
    <cellStyle name="Normal 11 9" xfId="4055" xr:uid="{00000000-0005-0000-0000-0000800D0000}"/>
    <cellStyle name="Normal 11 9 2" xfId="4722" xr:uid="{00000000-0005-0000-0000-0000810D0000}"/>
    <cellStyle name="Normal 110" xfId="5850" xr:uid="{00000000-0005-0000-0000-0000820D0000}"/>
    <cellStyle name="Normal 111" xfId="5849" xr:uid="{00000000-0005-0000-0000-0000830D0000}"/>
    <cellStyle name="Normal 112" xfId="5848" xr:uid="{00000000-0005-0000-0000-0000840D0000}"/>
    <cellStyle name="Normal 113" xfId="5697" xr:uid="{00000000-0005-0000-0000-0000850D0000}"/>
    <cellStyle name="Normal 114" xfId="6158" xr:uid="{00000000-0005-0000-0000-0000860D0000}"/>
    <cellStyle name="Normal 115" xfId="6159" xr:uid="{00000000-0005-0000-0000-0000870D0000}"/>
    <cellStyle name="Normal 12" xfId="2728" xr:uid="{00000000-0005-0000-0000-0000880D0000}"/>
    <cellStyle name="Normal 12 10" xfId="4077" xr:uid="{00000000-0005-0000-0000-0000890D0000}"/>
    <cellStyle name="Normal 12 10 2" xfId="4724" xr:uid="{00000000-0005-0000-0000-00008A0D0000}"/>
    <cellStyle name="Normal 12 11" xfId="4723" xr:uid="{00000000-0005-0000-0000-00008B0D0000}"/>
    <cellStyle name="Normal 12 2" xfId="2729" xr:uid="{00000000-0005-0000-0000-00008C0D0000}"/>
    <cellStyle name="Normal 12 2 2" xfId="2730" xr:uid="{00000000-0005-0000-0000-00008D0D0000}"/>
    <cellStyle name="Normal 12 2 2 2" xfId="4079" xr:uid="{00000000-0005-0000-0000-00008E0D0000}"/>
    <cellStyle name="Normal 12 2 2 2 2" xfId="4727" xr:uid="{00000000-0005-0000-0000-00008F0D0000}"/>
    <cellStyle name="Normal 12 2 2 3" xfId="4726" xr:uid="{00000000-0005-0000-0000-0000900D0000}"/>
    <cellStyle name="Normal 12 2 3" xfId="2731" xr:uid="{00000000-0005-0000-0000-0000910D0000}"/>
    <cellStyle name="Normal 12 2 3 2" xfId="4080" xr:uid="{00000000-0005-0000-0000-0000920D0000}"/>
    <cellStyle name="Normal 12 2 3 2 2" xfId="4729" xr:uid="{00000000-0005-0000-0000-0000930D0000}"/>
    <cellStyle name="Normal 12 2 3 3" xfId="4728" xr:uid="{00000000-0005-0000-0000-0000940D0000}"/>
    <cellStyle name="Normal 12 2 4" xfId="2732" xr:uid="{00000000-0005-0000-0000-0000950D0000}"/>
    <cellStyle name="Normal 12 2 4 2" xfId="4081" xr:uid="{00000000-0005-0000-0000-0000960D0000}"/>
    <cellStyle name="Normal 12 2 4 2 2" xfId="4731" xr:uid="{00000000-0005-0000-0000-0000970D0000}"/>
    <cellStyle name="Normal 12 2 4 3" xfId="4730" xr:uid="{00000000-0005-0000-0000-0000980D0000}"/>
    <cellStyle name="Normal 12 2 5" xfId="2733" xr:uid="{00000000-0005-0000-0000-0000990D0000}"/>
    <cellStyle name="Normal 12 2 5 2" xfId="4082" xr:uid="{00000000-0005-0000-0000-00009A0D0000}"/>
    <cellStyle name="Normal 12 2 5 2 2" xfId="4733" xr:uid="{00000000-0005-0000-0000-00009B0D0000}"/>
    <cellStyle name="Normal 12 2 5 3" xfId="4732" xr:uid="{00000000-0005-0000-0000-00009C0D0000}"/>
    <cellStyle name="Normal 12 2 6" xfId="2734" xr:uid="{00000000-0005-0000-0000-00009D0D0000}"/>
    <cellStyle name="Normal 12 2 7" xfId="2735" xr:uid="{00000000-0005-0000-0000-00009E0D0000}"/>
    <cellStyle name="Normal 12 2 7 2" xfId="4083" xr:uid="{00000000-0005-0000-0000-00009F0D0000}"/>
    <cellStyle name="Normal 12 2 7 2 2" xfId="4735" xr:uid="{00000000-0005-0000-0000-0000A00D0000}"/>
    <cellStyle name="Normal 12 2 7 3" xfId="4734" xr:uid="{00000000-0005-0000-0000-0000A10D0000}"/>
    <cellStyle name="Normal 12 2 8" xfId="4078" xr:uid="{00000000-0005-0000-0000-0000A20D0000}"/>
    <cellStyle name="Normal 12 2 8 2" xfId="4736" xr:uid="{00000000-0005-0000-0000-0000A30D0000}"/>
    <cellStyle name="Normal 12 2 9" xfId="4725" xr:uid="{00000000-0005-0000-0000-0000A40D0000}"/>
    <cellStyle name="Normal 12 3" xfId="2736" xr:uid="{00000000-0005-0000-0000-0000A50D0000}"/>
    <cellStyle name="Normal 12 3 2" xfId="2737" xr:uid="{00000000-0005-0000-0000-0000A60D0000}"/>
    <cellStyle name="Normal 12 3 2 2" xfId="4085" xr:uid="{00000000-0005-0000-0000-0000A70D0000}"/>
    <cellStyle name="Normal 12 3 2 2 2" xfId="4739" xr:uid="{00000000-0005-0000-0000-0000A80D0000}"/>
    <cellStyle name="Normal 12 3 2 3" xfId="4738" xr:uid="{00000000-0005-0000-0000-0000A90D0000}"/>
    <cellStyle name="Normal 12 3 3" xfId="2738" xr:uid="{00000000-0005-0000-0000-0000AA0D0000}"/>
    <cellStyle name="Normal 12 3 4" xfId="4084" xr:uid="{00000000-0005-0000-0000-0000AB0D0000}"/>
    <cellStyle name="Normal 12 3 4 2" xfId="4740" xr:uid="{00000000-0005-0000-0000-0000AC0D0000}"/>
    <cellStyle name="Normal 12 3 5" xfId="4737" xr:uid="{00000000-0005-0000-0000-0000AD0D0000}"/>
    <cellStyle name="Normal 12 4" xfId="2739" xr:uid="{00000000-0005-0000-0000-0000AE0D0000}"/>
    <cellStyle name="Normal 12 4 2" xfId="2740" xr:uid="{00000000-0005-0000-0000-0000AF0D0000}"/>
    <cellStyle name="Normal 12 4 2 2" xfId="4087" xr:uid="{00000000-0005-0000-0000-0000B00D0000}"/>
    <cellStyle name="Normal 12 4 2 2 2" xfId="4743" xr:uid="{00000000-0005-0000-0000-0000B10D0000}"/>
    <cellStyle name="Normal 12 4 2 3" xfId="4742" xr:uid="{00000000-0005-0000-0000-0000B20D0000}"/>
    <cellStyle name="Normal 12 4 3" xfId="2741" xr:uid="{00000000-0005-0000-0000-0000B30D0000}"/>
    <cellStyle name="Normal 12 4 4" xfId="4086" xr:uid="{00000000-0005-0000-0000-0000B40D0000}"/>
    <cellStyle name="Normal 12 4 4 2" xfId="4744" xr:uid="{00000000-0005-0000-0000-0000B50D0000}"/>
    <cellStyle name="Normal 12 4 5" xfId="4741" xr:uid="{00000000-0005-0000-0000-0000B60D0000}"/>
    <cellStyle name="Normal 12 5" xfId="2742" xr:uid="{00000000-0005-0000-0000-0000B70D0000}"/>
    <cellStyle name="Normal 12 6" xfId="2743" xr:uid="{00000000-0005-0000-0000-0000B80D0000}"/>
    <cellStyle name="Normal 12 6 2" xfId="4088" xr:uid="{00000000-0005-0000-0000-0000B90D0000}"/>
    <cellStyle name="Normal 12 6 2 2" xfId="4746" xr:uid="{00000000-0005-0000-0000-0000BA0D0000}"/>
    <cellStyle name="Normal 12 6 3" xfId="4745" xr:uid="{00000000-0005-0000-0000-0000BB0D0000}"/>
    <cellStyle name="Normal 12 7" xfId="2744" xr:uid="{00000000-0005-0000-0000-0000BC0D0000}"/>
    <cellStyle name="Normal 12 7 2" xfId="4089" xr:uid="{00000000-0005-0000-0000-0000BD0D0000}"/>
    <cellStyle name="Normal 12 7 2 2" xfId="4748" xr:uid="{00000000-0005-0000-0000-0000BE0D0000}"/>
    <cellStyle name="Normal 12 7 3" xfId="4747" xr:uid="{00000000-0005-0000-0000-0000BF0D0000}"/>
    <cellStyle name="Normal 12 8" xfId="2745" xr:uid="{00000000-0005-0000-0000-0000C00D0000}"/>
    <cellStyle name="Normal 12 9" xfId="2746" xr:uid="{00000000-0005-0000-0000-0000C10D0000}"/>
    <cellStyle name="Normal 12 9 2" xfId="4090" xr:uid="{00000000-0005-0000-0000-0000C20D0000}"/>
    <cellStyle name="Normal 12 9 2 2" xfId="4750" xr:uid="{00000000-0005-0000-0000-0000C30D0000}"/>
    <cellStyle name="Normal 12 9 3" xfId="4749" xr:uid="{00000000-0005-0000-0000-0000C40D0000}"/>
    <cellStyle name="Normal 13" xfId="2747" xr:uid="{00000000-0005-0000-0000-0000C50D0000}"/>
    <cellStyle name="Normal 13 2" xfId="2748" xr:uid="{00000000-0005-0000-0000-0000C60D0000}"/>
    <cellStyle name="Normal 13 2 2" xfId="2749" xr:uid="{00000000-0005-0000-0000-0000C70D0000}"/>
    <cellStyle name="Normal 13 2 2 2" xfId="4091" xr:uid="{00000000-0005-0000-0000-0000C80D0000}"/>
    <cellStyle name="Normal 13 2 2 2 2" xfId="4752" xr:uid="{00000000-0005-0000-0000-0000C90D0000}"/>
    <cellStyle name="Normal 13 2 2 3" xfId="4751" xr:uid="{00000000-0005-0000-0000-0000CA0D0000}"/>
    <cellStyle name="Normal 13 2 3" xfId="2750" xr:uid="{00000000-0005-0000-0000-0000CB0D0000}"/>
    <cellStyle name="Normal 13 2 4" xfId="2751" xr:uid="{00000000-0005-0000-0000-0000CC0D0000}"/>
    <cellStyle name="Normal 13 2 5" xfId="2752" xr:uid="{00000000-0005-0000-0000-0000CD0D0000}"/>
    <cellStyle name="Normal 13 2 5 2" xfId="4092" xr:uid="{00000000-0005-0000-0000-0000CE0D0000}"/>
    <cellStyle name="Normal 13 2 5 2 2" xfId="4754" xr:uid="{00000000-0005-0000-0000-0000CF0D0000}"/>
    <cellStyle name="Normal 13 2 5 3" xfId="4753" xr:uid="{00000000-0005-0000-0000-0000D00D0000}"/>
    <cellStyle name="Normal 13 3" xfId="2753" xr:uid="{00000000-0005-0000-0000-0000D10D0000}"/>
    <cellStyle name="Normal 13 3 2" xfId="2754" xr:uid="{00000000-0005-0000-0000-0000D20D0000}"/>
    <cellStyle name="Normal 13 3 2 2" xfId="4094" xr:uid="{00000000-0005-0000-0000-0000D30D0000}"/>
    <cellStyle name="Normal 13 3 2 2 2" xfId="4757" xr:uid="{00000000-0005-0000-0000-0000D40D0000}"/>
    <cellStyle name="Normal 13 3 2 3" xfId="4756" xr:uid="{00000000-0005-0000-0000-0000D50D0000}"/>
    <cellStyle name="Normal 13 3 3" xfId="2755" xr:uid="{00000000-0005-0000-0000-0000D60D0000}"/>
    <cellStyle name="Normal 13 3 3 2" xfId="4095" xr:uid="{00000000-0005-0000-0000-0000D70D0000}"/>
    <cellStyle name="Normal 13 3 3 2 2" xfId="4759" xr:uid="{00000000-0005-0000-0000-0000D80D0000}"/>
    <cellStyle name="Normal 13 3 3 3" xfId="4758" xr:uid="{00000000-0005-0000-0000-0000D90D0000}"/>
    <cellStyle name="Normal 13 3 4" xfId="2756" xr:uid="{00000000-0005-0000-0000-0000DA0D0000}"/>
    <cellStyle name="Normal 13 3 5" xfId="4093" xr:uid="{00000000-0005-0000-0000-0000DB0D0000}"/>
    <cellStyle name="Normal 13 3 5 2" xfId="4760" xr:uid="{00000000-0005-0000-0000-0000DC0D0000}"/>
    <cellStyle name="Normal 13 3 6" xfId="4755" xr:uid="{00000000-0005-0000-0000-0000DD0D0000}"/>
    <cellStyle name="Normal 13 4" xfId="2757" xr:uid="{00000000-0005-0000-0000-0000DE0D0000}"/>
    <cellStyle name="Normal 13 5" xfId="2758" xr:uid="{00000000-0005-0000-0000-0000DF0D0000}"/>
    <cellStyle name="Normal 13 6" xfId="2759" xr:uid="{00000000-0005-0000-0000-0000E00D0000}"/>
    <cellStyle name="Normal 13 7" xfId="2760" xr:uid="{00000000-0005-0000-0000-0000E10D0000}"/>
    <cellStyle name="Normal 13 7 2" xfId="4096" xr:uid="{00000000-0005-0000-0000-0000E20D0000}"/>
    <cellStyle name="Normal 13 7 2 2" xfId="4762" xr:uid="{00000000-0005-0000-0000-0000E30D0000}"/>
    <cellStyle name="Normal 13 7 3" xfId="4761" xr:uid="{00000000-0005-0000-0000-0000E40D0000}"/>
    <cellStyle name="Normal 14" xfId="2761" xr:uid="{00000000-0005-0000-0000-0000E50D0000}"/>
    <cellStyle name="Normal 14 2" xfId="2762" xr:uid="{00000000-0005-0000-0000-0000E60D0000}"/>
    <cellStyle name="Normal 14 2 2" xfId="2763" xr:uid="{00000000-0005-0000-0000-0000E70D0000}"/>
    <cellStyle name="Normal 14 2 2 2" xfId="4097" xr:uid="{00000000-0005-0000-0000-0000E80D0000}"/>
    <cellStyle name="Normal 14 2 2 2 2" xfId="4764" xr:uid="{00000000-0005-0000-0000-0000E90D0000}"/>
    <cellStyle name="Normal 14 2 2 3" xfId="4763" xr:uid="{00000000-0005-0000-0000-0000EA0D0000}"/>
    <cellStyle name="Normal 14 2 3" xfId="2764" xr:uid="{00000000-0005-0000-0000-0000EB0D0000}"/>
    <cellStyle name="Normal 14 2 4" xfId="2765" xr:uid="{00000000-0005-0000-0000-0000EC0D0000}"/>
    <cellStyle name="Normal 14 2 5" xfId="2766" xr:uid="{00000000-0005-0000-0000-0000ED0D0000}"/>
    <cellStyle name="Normal 14 2 5 2" xfId="4098" xr:uid="{00000000-0005-0000-0000-0000EE0D0000}"/>
    <cellStyle name="Normal 14 2 5 2 2" xfId="4766" xr:uid="{00000000-0005-0000-0000-0000EF0D0000}"/>
    <cellStyle name="Normal 14 2 5 3" xfId="4765" xr:uid="{00000000-0005-0000-0000-0000F00D0000}"/>
    <cellStyle name="Normal 14 3" xfId="2767" xr:uid="{00000000-0005-0000-0000-0000F10D0000}"/>
    <cellStyle name="Normal 14 3 2" xfId="2768" xr:uid="{00000000-0005-0000-0000-0000F20D0000}"/>
    <cellStyle name="Normal 14 3 2 2" xfId="4100" xr:uid="{00000000-0005-0000-0000-0000F30D0000}"/>
    <cellStyle name="Normal 14 3 2 2 2" xfId="4769" xr:uid="{00000000-0005-0000-0000-0000F40D0000}"/>
    <cellStyle name="Normal 14 3 2 3" xfId="4768" xr:uid="{00000000-0005-0000-0000-0000F50D0000}"/>
    <cellStyle name="Normal 14 3 3" xfId="2769" xr:uid="{00000000-0005-0000-0000-0000F60D0000}"/>
    <cellStyle name="Normal 14 3 3 2" xfId="4101" xr:uid="{00000000-0005-0000-0000-0000F70D0000}"/>
    <cellStyle name="Normal 14 3 3 2 2" xfId="4771" xr:uid="{00000000-0005-0000-0000-0000F80D0000}"/>
    <cellStyle name="Normal 14 3 3 3" xfId="4770" xr:uid="{00000000-0005-0000-0000-0000F90D0000}"/>
    <cellStyle name="Normal 14 3 4" xfId="2770" xr:uid="{00000000-0005-0000-0000-0000FA0D0000}"/>
    <cellStyle name="Normal 14 3 5" xfId="4099" xr:uid="{00000000-0005-0000-0000-0000FB0D0000}"/>
    <cellStyle name="Normal 14 3 5 2" xfId="4772" xr:uid="{00000000-0005-0000-0000-0000FC0D0000}"/>
    <cellStyle name="Normal 14 3 6" xfId="4767" xr:uid="{00000000-0005-0000-0000-0000FD0D0000}"/>
    <cellStyle name="Normal 14 4" xfId="2771" xr:uid="{00000000-0005-0000-0000-0000FE0D0000}"/>
    <cellStyle name="Normal 14 5" xfId="2772" xr:uid="{00000000-0005-0000-0000-0000FF0D0000}"/>
    <cellStyle name="Normal 14 6" xfId="2773" xr:uid="{00000000-0005-0000-0000-0000000E0000}"/>
    <cellStyle name="Normal 14 7" xfId="2774" xr:uid="{00000000-0005-0000-0000-0000010E0000}"/>
    <cellStyle name="Normal 14 7 2" xfId="4102" xr:uid="{00000000-0005-0000-0000-0000020E0000}"/>
    <cellStyle name="Normal 14 7 2 2" xfId="4774" xr:uid="{00000000-0005-0000-0000-0000030E0000}"/>
    <cellStyle name="Normal 14 7 3" xfId="4773" xr:uid="{00000000-0005-0000-0000-0000040E0000}"/>
    <cellStyle name="Normal 15" xfId="2775" xr:uid="{00000000-0005-0000-0000-0000050E0000}"/>
    <cellStyle name="Normal 15 2" xfId="2776" xr:uid="{00000000-0005-0000-0000-0000060E0000}"/>
    <cellStyle name="Normal 15 2 2" xfId="2777" xr:uid="{00000000-0005-0000-0000-0000070E0000}"/>
    <cellStyle name="Normal 15 2 2 2" xfId="4103" xr:uid="{00000000-0005-0000-0000-0000080E0000}"/>
    <cellStyle name="Normal 15 2 2 2 2" xfId="4776" xr:uid="{00000000-0005-0000-0000-0000090E0000}"/>
    <cellStyle name="Normal 15 2 2 3" xfId="4775" xr:uid="{00000000-0005-0000-0000-00000A0E0000}"/>
    <cellStyle name="Normal 15 2 3" xfId="2778" xr:uid="{00000000-0005-0000-0000-00000B0E0000}"/>
    <cellStyle name="Normal 15 2 4" xfId="2779" xr:uid="{00000000-0005-0000-0000-00000C0E0000}"/>
    <cellStyle name="Normal 15 2 5" xfId="2780" xr:uid="{00000000-0005-0000-0000-00000D0E0000}"/>
    <cellStyle name="Normal 15 2 5 2" xfId="4104" xr:uid="{00000000-0005-0000-0000-00000E0E0000}"/>
    <cellStyle name="Normal 15 2 5 2 2" xfId="4778" xr:uid="{00000000-0005-0000-0000-00000F0E0000}"/>
    <cellStyle name="Normal 15 2 5 3" xfId="4777" xr:uid="{00000000-0005-0000-0000-0000100E0000}"/>
    <cellStyle name="Normal 15 3" xfId="2781" xr:uid="{00000000-0005-0000-0000-0000110E0000}"/>
    <cellStyle name="Normal 15 3 2" xfId="2782" xr:uid="{00000000-0005-0000-0000-0000120E0000}"/>
    <cellStyle name="Normal 15 3 2 2" xfId="4106" xr:uid="{00000000-0005-0000-0000-0000130E0000}"/>
    <cellStyle name="Normal 15 3 2 2 2" xfId="4781" xr:uid="{00000000-0005-0000-0000-0000140E0000}"/>
    <cellStyle name="Normal 15 3 2 3" xfId="4780" xr:uid="{00000000-0005-0000-0000-0000150E0000}"/>
    <cellStyle name="Normal 15 3 3" xfId="2783" xr:uid="{00000000-0005-0000-0000-0000160E0000}"/>
    <cellStyle name="Normal 15 3 3 2" xfId="4107" xr:uid="{00000000-0005-0000-0000-0000170E0000}"/>
    <cellStyle name="Normal 15 3 3 2 2" xfId="4783" xr:uid="{00000000-0005-0000-0000-0000180E0000}"/>
    <cellStyle name="Normal 15 3 3 3" xfId="4782" xr:uid="{00000000-0005-0000-0000-0000190E0000}"/>
    <cellStyle name="Normal 15 3 4" xfId="2784" xr:uid="{00000000-0005-0000-0000-00001A0E0000}"/>
    <cellStyle name="Normal 15 3 5" xfId="4105" xr:uid="{00000000-0005-0000-0000-00001B0E0000}"/>
    <cellStyle name="Normal 15 3 5 2" xfId="4784" xr:uid="{00000000-0005-0000-0000-00001C0E0000}"/>
    <cellStyle name="Normal 15 3 6" xfId="4779" xr:uid="{00000000-0005-0000-0000-00001D0E0000}"/>
    <cellStyle name="Normal 15 4" xfId="2785" xr:uid="{00000000-0005-0000-0000-00001E0E0000}"/>
    <cellStyle name="Normal 15 5" xfId="2786" xr:uid="{00000000-0005-0000-0000-00001F0E0000}"/>
    <cellStyle name="Normal 15 6" xfId="2787" xr:uid="{00000000-0005-0000-0000-0000200E0000}"/>
    <cellStyle name="Normal 15 7" xfId="2788" xr:uid="{00000000-0005-0000-0000-0000210E0000}"/>
    <cellStyle name="Normal 15 7 2" xfId="4108" xr:uid="{00000000-0005-0000-0000-0000220E0000}"/>
    <cellStyle name="Normal 15 7 2 2" xfId="4786" xr:uid="{00000000-0005-0000-0000-0000230E0000}"/>
    <cellStyle name="Normal 15 7 3" xfId="4785" xr:uid="{00000000-0005-0000-0000-0000240E0000}"/>
    <cellStyle name="Normal 16" xfId="2789" xr:uid="{00000000-0005-0000-0000-0000250E0000}"/>
    <cellStyle name="Normal 16 2" xfId="2790" xr:uid="{00000000-0005-0000-0000-0000260E0000}"/>
    <cellStyle name="Normal 16 2 2" xfId="2791" xr:uid="{00000000-0005-0000-0000-0000270E0000}"/>
    <cellStyle name="Normal 16 2 2 2" xfId="4109" xr:uid="{00000000-0005-0000-0000-0000280E0000}"/>
    <cellStyle name="Normal 16 2 2 2 2" xfId="4788" xr:uid="{00000000-0005-0000-0000-0000290E0000}"/>
    <cellStyle name="Normal 16 2 2 3" xfId="4787" xr:uid="{00000000-0005-0000-0000-00002A0E0000}"/>
    <cellStyle name="Normal 16 2 3" xfId="2792" xr:uid="{00000000-0005-0000-0000-00002B0E0000}"/>
    <cellStyle name="Normal 16 2 4" xfId="2793" xr:uid="{00000000-0005-0000-0000-00002C0E0000}"/>
    <cellStyle name="Normal 16 2 5" xfId="2794" xr:uid="{00000000-0005-0000-0000-00002D0E0000}"/>
    <cellStyle name="Normal 16 2 5 2" xfId="4110" xr:uid="{00000000-0005-0000-0000-00002E0E0000}"/>
    <cellStyle name="Normal 16 2 5 2 2" xfId="4790" xr:uid="{00000000-0005-0000-0000-00002F0E0000}"/>
    <cellStyle name="Normal 16 2 5 3" xfId="4789" xr:uid="{00000000-0005-0000-0000-0000300E0000}"/>
    <cellStyle name="Normal 16 3" xfId="2795" xr:uid="{00000000-0005-0000-0000-0000310E0000}"/>
    <cellStyle name="Normal 16 3 2" xfId="2796" xr:uid="{00000000-0005-0000-0000-0000320E0000}"/>
    <cellStyle name="Normal 16 4" xfId="2797" xr:uid="{00000000-0005-0000-0000-0000330E0000}"/>
    <cellStyle name="Normal 16 5" xfId="2798" xr:uid="{00000000-0005-0000-0000-0000340E0000}"/>
    <cellStyle name="Normal 17" xfId="2799" xr:uid="{00000000-0005-0000-0000-0000350E0000}"/>
    <cellStyle name="Normal 17 2" xfId="2800" xr:uid="{00000000-0005-0000-0000-0000360E0000}"/>
    <cellStyle name="Normal 17 2 2" xfId="2801" xr:uid="{00000000-0005-0000-0000-0000370E0000}"/>
    <cellStyle name="Normal 17 2 2 2" xfId="4112" xr:uid="{00000000-0005-0000-0000-0000380E0000}"/>
    <cellStyle name="Normal 17 2 2 2 2" xfId="4793" xr:uid="{00000000-0005-0000-0000-0000390E0000}"/>
    <cellStyle name="Normal 17 2 2 3" xfId="4792" xr:uid="{00000000-0005-0000-0000-00003A0E0000}"/>
    <cellStyle name="Normal 17 2 3" xfId="2802" xr:uid="{00000000-0005-0000-0000-00003B0E0000}"/>
    <cellStyle name="Normal 17 2 4" xfId="2803" xr:uid="{00000000-0005-0000-0000-00003C0E0000}"/>
    <cellStyle name="Normal 17 2 4 2" xfId="4113" xr:uid="{00000000-0005-0000-0000-00003D0E0000}"/>
    <cellStyle name="Normal 17 2 4 2 2" xfId="4795" xr:uid="{00000000-0005-0000-0000-00003E0E0000}"/>
    <cellStyle name="Normal 17 2 4 3" xfId="4794" xr:uid="{00000000-0005-0000-0000-00003F0E0000}"/>
    <cellStyle name="Normal 17 2 5" xfId="4111" xr:uid="{00000000-0005-0000-0000-0000400E0000}"/>
    <cellStyle name="Normal 17 2 5 2" xfId="4796" xr:uid="{00000000-0005-0000-0000-0000410E0000}"/>
    <cellStyle name="Normal 17 2 6" xfId="4791" xr:uid="{00000000-0005-0000-0000-0000420E0000}"/>
    <cellStyle name="Normal 17 3" xfId="2804" xr:uid="{00000000-0005-0000-0000-0000430E0000}"/>
    <cellStyle name="Normal 17 3 2" xfId="2805" xr:uid="{00000000-0005-0000-0000-0000440E0000}"/>
    <cellStyle name="Normal 17 4" xfId="2806" xr:uid="{00000000-0005-0000-0000-0000450E0000}"/>
    <cellStyle name="Normal 18" xfId="2807" xr:uid="{00000000-0005-0000-0000-0000460E0000}"/>
    <cellStyle name="Normal 18 2" xfId="2808" xr:uid="{00000000-0005-0000-0000-0000470E0000}"/>
    <cellStyle name="Normal 18 2 2" xfId="2809" xr:uid="{00000000-0005-0000-0000-0000480E0000}"/>
    <cellStyle name="Normal 18 2 2 2" xfId="4115" xr:uid="{00000000-0005-0000-0000-0000490E0000}"/>
    <cellStyle name="Normal 18 2 2 2 2" xfId="4799" xr:uid="{00000000-0005-0000-0000-00004A0E0000}"/>
    <cellStyle name="Normal 18 2 2 3" xfId="4798" xr:uid="{00000000-0005-0000-0000-00004B0E0000}"/>
    <cellStyle name="Normal 18 2 3" xfId="2810" xr:uid="{00000000-0005-0000-0000-00004C0E0000}"/>
    <cellStyle name="Normal 18 2 4" xfId="2811" xr:uid="{00000000-0005-0000-0000-00004D0E0000}"/>
    <cellStyle name="Normal 18 2 4 2" xfId="4116" xr:uid="{00000000-0005-0000-0000-00004E0E0000}"/>
    <cellStyle name="Normal 18 2 4 2 2" xfId="4801" xr:uid="{00000000-0005-0000-0000-00004F0E0000}"/>
    <cellStyle name="Normal 18 2 4 3" xfId="4800" xr:uid="{00000000-0005-0000-0000-0000500E0000}"/>
    <cellStyle name="Normal 18 2 5" xfId="4114" xr:uid="{00000000-0005-0000-0000-0000510E0000}"/>
    <cellStyle name="Normal 18 2 5 2" xfId="4802" xr:uid="{00000000-0005-0000-0000-0000520E0000}"/>
    <cellStyle name="Normal 18 2 6" xfId="4797" xr:uid="{00000000-0005-0000-0000-0000530E0000}"/>
    <cellStyle name="Normal 18 3" xfId="2812" xr:uid="{00000000-0005-0000-0000-0000540E0000}"/>
    <cellStyle name="Normal 18 3 2" xfId="2813" xr:uid="{00000000-0005-0000-0000-0000550E0000}"/>
    <cellStyle name="Normal 18 4" xfId="2814" xr:uid="{00000000-0005-0000-0000-0000560E0000}"/>
    <cellStyle name="Normal 19" xfId="2815" xr:uid="{00000000-0005-0000-0000-0000570E0000}"/>
    <cellStyle name="Normal 19 2" xfId="2816" xr:uid="{00000000-0005-0000-0000-0000580E0000}"/>
    <cellStyle name="Normal 19 2 2" xfId="2817" xr:uid="{00000000-0005-0000-0000-0000590E0000}"/>
    <cellStyle name="Normal 19 2 2 2" xfId="4118" xr:uid="{00000000-0005-0000-0000-00005A0E0000}"/>
    <cellStyle name="Normal 19 2 2 2 2" xfId="4805" xr:uid="{00000000-0005-0000-0000-00005B0E0000}"/>
    <cellStyle name="Normal 19 2 2 3" xfId="4804" xr:uid="{00000000-0005-0000-0000-00005C0E0000}"/>
    <cellStyle name="Normal 19 2 3" xfId="2818" xr:uid="{00000000-0005-0000-0000-00005D0E0000}"/>
    <cellStyle name="Normal 19 2 4" xfId="2819" xr:uid="{00000000-0005-0000-0000-00005E0E0000}"/>
    <cellStyle name="Normal 19 2 4 2" xfId="4119" xr:uid="{00000000-0005-0000-0000-00005F0E0000}"/>
    <cellStyle name="Normal 19 2 4 2 2" xfId="4807" xr:uid="{00000000-0005-0000-0000-0000600E0000}"/>
    <cellStyle name="Normal 19 2 4 3" xfId="4806" xr:uid="{00000000-0005-0000-0000-0000610E0000}"/>
    <cellStyle name="Normal 19 2 5" xfId="4117" xr:uid="{00000000-0005-0000-0000-0000620E0000}"/>
    <cellStyle name="Normal 19 2 5 2" xfId="4808" xr:uid="{00000000-0005-0000-0000-0000630E0000}"/>
    <cellStyle name="Normal 19 2 6" xfId="4803" xr:uid="{00000000-0005-0000-0000-0000640E0000}"/>
    <cellStyle name="Normal 19 3" xfId="2820" xr:uid="{00000000-0005-0000-0000-0000650E0000}"/>
    <cellStyle name="Normal 19 3 2" xfId="2821" xr:uid="{00000000-0005-0000-0000-0000660E0000}"/>
    <cellStyle name="Normal 19 4" xfId="2822" xr:uid="{00000000-0005-0000-0000-0000670E0000}"/>
    <cellStyle name="Normal 2" xfId="2823" xr:uid="{00000000-0005-0000-0000-0000680E0000}"/>
    <cellStyle name="Normal 2 10" xfId="2824" xr:uid="{00000000-0005-0000-0000-0000690E0000}"/>
    <cellStyle name="Normal 2 10 2" xfId="2825" xr:uid="{00000000-0005-0000-0000-00006A0E0000}"/>
    <cellStyle name="Normal 2 10 2 2" xfId="4122" xr:uid="{00000000-0005-0000-0000-00006B0E0000}"/>
    <cellStyle name="Normal 2 10 2 2 2" xfId="4812" xr:uid="{00000000-0005-0000-0000-00006C0E0000}"/>
    <cellStyle name="Normal 2 10 2 3" xfId="4811" xr:uid="{00000000-0005-0000-0000-00006D0E0000}"/>
    <cellStyle name="Normal 2 10 3" xfId="2826" xr:uid="{00000000-0005-0000-0000-00006E0E0000}"/>
    <cellStyle name="Normal 2 10 4" xfId="4121" xr:uid="{00000000-0005-0000-0000-00006F0E0000}"/>
    <cellStyle name="Normal 2 10 4 2" xfId="4813" xr:uid="{00000000-0005-0000-0000-0000700E0000}"/>
    <cellStyle name="Normal 2 10 5" xfId="4810" xr:uid="{00000000-0005-0000-0000-0000710E0000}"/>
    <cellStyle name="Normal 2 11" xfId="2827" xr:uid="{00000000-0005-0000-0000-0000720E0000}"/>
    <cellStyle name="Normal 2 11 2" xfId="2828" xr:uid="{00000000-0005-0000-0000-0000730E0000}"/>
    <cellStyle name="Normal 2 12" xfId="2829" xr:uid="{00000000-0005-0000-0000-0000740E0000}"/>
    <cellStyle name="Normal 2 13" xfId="2830" xr:uid="{00000000-0005-0000-0000-0000750E0000}"/>
    <cellStyle name="Normal 2 14" xfId="2831" xr:uid="{00000000-0005-0000-0000-0000760E0000}"/>
    <cellStyle name="Normal 2 15" xfId="2832" xr:uid="{00000000-0005-0000-0000-0000770E0000}"/>
    <cellStyle name="Normal 2 16" xfId="2833" xr:uid="{00000000-0005-0000-0000-0000780E0000}"/>
    <cellStyle name="Normal 2 16 2" xfId="4123" xr:uid="{00000000-0005-0000-0000-0000790E0000}"/>
    <cellStyle name="Normal 2 16 2 2" xfId="4815" xr:uid="{00000000-0005-0000-0000-00007A0E0000}"/>
    <cellStyle name="Normal 2 16 3" xfId="4814" xr:uid="{00000000-0005-0000-0000-00007B0E0000}"/>
    <cellStyle name="Normal 2 17" xfId="4120" xr:uid="{00000000-0005-0000-0000-00007C0E0000}"/>
    <cellStyle name="Normal 2 17 2" xfId="4816" xr:uid="{00000000-0005-0000-0000-00007D0E0000}"/>
    <cellStyle name="Normal 2 18" xfId="4809" xr:uid="{00000000-0005-0000-0000-00007E0E0000}"/>
    <cellStyle name="Normal 2 19" xfId="6164" xr:uid="{E5EBCD64-847F-47D8-873C-9C940D553297}"/>
    <cellStyle name="Normal 2 2" xfId="1" xr:uid="{00000000-0005-0000-0000-00007F0E0000}"/>
    <cellStyle name="Normal 2 2 2" xfId="2834" xr:uid="{00000000-0005-0000-0000-0000800E0000}"/>
    <cellStyle name="Normal 2 2 2 2" xfId="2835" xr:uid="{00000000-0005-0000-0000-0000810E0000}"/>
    <cellStyle name="Normal 2 2 2 3" xfId="2836" xr:uid="{00000000-0005-0000-0000-0000820E0000}"/>
    <cellStyle name="Normal 2 2 2 4" xfId="2837" xr:uid="{00000000-0005-0000-0000-0000830E0000}"/>
    <cellStyle name="Normal 2 2 3" xfId="2838" xr:uid="{00000000-0005-0000-0000-0000840E0000}"/>
    <cellStyle name="Normal 2 2 3 2" xfId="2839" xr:uid="{00000000-0005-0000-0000-0000850E0000}"/>
    <cellStyle name="Normal 2 2 3 3" xfId="2840" xr:uid="{00000000-0005-0000-0000-0000860E0000}"/>
    <cellStyle name="Normal 2 2 4" xfId="2841" xr:uid="{00000000-0005-0000-0000-0000870E0000}"/>
    <cellStyle name="Normal 2 3" xfId="2842" xr:uid="{00000000-0005-0000-0000-0000880E0000}"/>
    <cellStyle name="Normal 2 3 2" xfId="2843" xr:uid="{00000000-0005-0000-0000-0000890E0000}"/>
    <cellStyle name="Normal 2 3 2 2" xfId="2844" xr:uid="{00000000-0005-0000-0000-00008A0E0000}"/>
    <cellStyle name="Normal 2 3 2 3" xfId="2845" xr:uid="{00000000-0005-0000-0000-00008B0E0000}"/>
    <cellStyle name="Normal 2 3 2 4" xfId="2846" xr:uid="{00000000-0005-0000-0000-00008C0E0000}"/>
    <cellStyle name="Normal 2 3 3" xfId="2847" xr:uid="{00000000-0005-0000-0000-00008D0E0000}"/>
    <cellStyle name="Normal 2 3 3 2" xfId="2848" xr:uid="{00000000-0005-0000-0000-00008E0E0000}"/>
    <cellStyle name="Normal 2 3 4" xfId="2849" xr:uid="{00000000-0005-0000-0000-00008F0E0000}"/>
    <cellStyle name="Normal 2 3 5" xfId="2850" xr:uid="{00000000-0005-0000-0000-0000900E0000}"/>
    <cellStyle name="Normal 2 4" xfId="2851" xr:uid="{00000000-0005-0000-0000-0000910E0000}"/>
    <cellStyle name="Normal 2 4 2" xfId="2852" xr:uid="{00000000-0005-0000-0000-0000920E0000}"/>
    <cellStyle name="Normal 2 4 2 2" xfId="2853" xr:uid="{00000000-0005-0000-0000-0000930E0000}"/>
    <cellStyle name="Normal 2 4 3" xfId="2854" xr:uid="{00000000-0005-0000-0000-0000940E0000}"/>
    <cellStyle name="Normal 2 4 4" xfId="2855" xr:uid="{00000000-0005-0000-0000-0000950E0000}"/>
    <cellStyle name="Normal 2 5" xfId="2856" xr:uid="{00000000-0005-0000-0000-0000960E0000}"/>
    <cellStyle name="Normal 2 5 2" xfId="2857" xr:uid="{00000000-0005-0000-0000-0000970E0000}"/>
    <cellStyle name="Normal 2 5 3" xfId="2858" xr:uid="{00000000-0005-0000-0000-0000980E0000}"/>
    <cellStyle name="Normal 2 6" xfId="2859" xr:uid="{00000000-0005-0000-0000-0000990E0000}"/>
    <cellStyle name="Normal 2 6 2" xfId="2860" xr:uid="{00000000-0005-0000-0000-00009A0E0000}"/>
    <cellStyle name="Normal 2 6 2 2" xfId="4124" xr:uid="{00000000-0005-0000-0000-00009B0E0000}"/>
    <cellStyle name="Normal 2 6 2 2 2" xfId="4818" xr:uid="{00000000-0005-0000-0000-00009C0E0000}"/>
    <cellStyle name="Normal 2 6 2 3" xfId="4817" xr:uid="{00000000-0005-0000-0000-00009D0E0000}"/>
    <cellStyle name="Normal 2 6 3" xfId="2861" xr:uid="{00000000-0005-0000-0000-00009E0E0000}"/>
    <cellStyle name="Normal 2 6 4" xfId="2862" xr:uid="{00000000-0005-0000-0000-00009F0E0000}"/>
    <cellStyle name="Normal 2 6 5" xfId="2863" xr:uid="{00000000-0005-0000-0000-0000A00E0000}"/>
    <cellStyle name="Normal 2 6 5 2" xfId="4125" xr:uid="{00000000-0005-0000-0000-0000A10E0000}"/>
    <cellStyle name="Normal 2 6 5 2 2" xfId="4820" xr:uid="{00000000-0005-0000-0000-0000A20E0000}"/>
    <cellStyle name="Normal 2 6 5 3" xfId="4819" xr:uid="{00000000-0005-0000-0000-0000A30E0000}"/>
    <cellStyle name="Normal 2 7" xfId="2864" xr:uid="{00000000-0005-0000-0000-0000A40E0000}"/>
    <cellStyle name="Normal 2 7 2" xfId="2865" xr:uid="{00000000-0005-0000-0000-0000A50E0000}"/>
    <cellStyle name="Normal 2 7 2 2" xfId="4127" xr:uid="{00000000-0005-0000-0000-0000A60E0000}"/>
    <cellStyle name="Normal 2 7 2 2 2" xfId="4823" xr:uid="{00000000-0005-0000-0000-0000A70E0000}"/>
    <cellStyle name="Normal 2 7 2 3" xfId="4822" xr:uid="{00000000-0005-0000-0000-0000A80E0000}"/>
    <cellStyle name="Normal 2 7 3" xfId="2866" xr:uid="{00000000-0005-0000-0000-0000A90E0000}"/>
    <cellStyle name="Normal 2 7 3 2" xfId="4128" xr:uid="{00000000-0005-0000-0000-0000AA0E0000}"/>
    <cellStyle name="Normal 2 7 3 2 2" xfId="4825" xr:uid="{00000000-0005-0000-0000-0000AB0E0000}"/>
    <cellStyle name="Normal 2 7 3 3" xfId="4824" xr:uid="{00000000-0005-0000-0000-0000AC0E0000}"/>
    <cellStyle name="Normal 2 7 4" xfId="2867" xr:uid="{00000000-0005-0000-0000-0000AD0E0000}"/>
    <cellStyle name="Normal 2 7 4 2" xfId="4129" xr:uid="{00000000-0005-0000-0000-0000AE0E0000}"/>
    <cellStyle name="Normal 2 7 4 2 2" xfId="4827" xr:uid="{00000000-0005-0000-0000-0000AF0E0000}"/>
    <cellStyle name="Normal 2 7 4 3" xfId="4826" xr:uid="{00000000-0005-0000-0000-0000B00E0000}"/>
    <cellStyle name="Normal 2 7 5" xfId="2868" xr:uid="{00000000-0005-0000-0000-0000B10E0000}"/>
    <cellStyle name="Normal 2 7 5 2" xfId="4130" xr:uid="{00000000-0005-0000-0000-0000B20E0000}"/>
    <cellStyle name="Normal 2 7 5 2 2" xfId="4829" xr:uid="{00000000-0005-0000-0000-0000B30E0000}"/>
    <cellStyle name="Normal 2 7 5 3" xfId="4828" xr:uid="{00000000-0005-0000-0000-0000B40E0000}"/>
    <cellStyle name="Normal 2 7 6" xfId="2869" xr:uid="{00000000-0005-0000-0000-0000B50E0000}"/>
    <cellStyle name="Normal 2 7 7" xfId="2870" xr:uid="{00000000-0005-0000-0000-0000B60E0000}"/>
    <cellStyle name="Normal 2 7 7 2" xfId="4131" xr:uid="{00000000-0005-0000-0000-0000B70E0000}"/>
    <cellStyle name="Normal 2 7 7 2 2" xfId="4831" xr:uid="{00000000-0005-0000-0000-0000B80E0000}"/>
    <cellStyle name="Normal 2 7 7 3" xfId="4830" xr:uid="{00000000-0005-0000-0000-0000B90E0000}"/>
    <cellStyle name="Normal 2 7 8" xfId="4126" xr:uid="{00000000-0005-0000-0000-0000BA0E0000}"/>
    <cellStyle name="Normal 2 7 8 2" xfId="4832" xr:uid="{00000000-0005-0000-0000-0000BB0E0000}"/>
    <cellStyle name="Normal 2 7 9" xfId="4821" xr:uid="{00000000-0005-0000-0000-0000BC0E0000}"/>
    <cellStyle name="Normal 2 8" xfId="2871" xr:uid="{00000000-0005-0000-0000-0000BD0E0000}"/>
    <cellStyle name="Normal 2 8 2" xfId="2872" xr:uid="{00000000-0005-0000-0000-0000BE0E0000}"/>
    <cellStyle name="Normal 2 8 2 2" xfId="4133" xr:uid="{00000000-0005-0000-0000-0000BF0E0000}"/>
    <cellStyle name="Normal 2 8 2 2 2" xfId="4835" xr:uid="{00000000-0005-0000-0000-0000C00E0000}"/>
    <cellStyle name="Normal 2 8 2 3" xfId="4834" xr:uid="{00000000-0005-0000-0000-0000C10E0000}"/>
    <cellStyle name="Normal 2 8 3" xfId="2873" xr:uid="{00000000-0005-0000-0000-0000C20E0000}"/>
    <cellStyle name="Normal 2 8 4" xfId="4132" xr:uid="{00000000-0005-0000-0000-0000C30E0000}"/>
    <cellStyle name="Normal 2 8 4 2" xfId="4836" xr:uid="{00000000-0005-0000-0000-0000C40E0000}"/>
    <cellStyle name="Normal 2 8 5" xfId="4833" xr:uid="{00000000-0005-0000-0000-0000C50E0000}"/>
    <cellStyle name="Normal 2 9" xfId="2874" xr:uid="{00000000-0005-0000-0000-0000C60E0000}"/>
    <cellStyle name="Normal 2 9 2" xfId="2875" xr:uid="{00000000-0005-0000-0000-0000C70E0000}"/>
    <cellStyle name="Normal 2 9 2 2" xfId="4135" xr:uid="{00000000-0005-0000-0000-0000C80E0000}"/>
    <cellStyle name="Normal 2 9 2 2 2" xfId="4839" xr:uid="{00000000-0005-0000-0000-0000C90E0000}"/>
    <cellStyle name="Normal 2 9 2 3" xfId="4838" xr:uid="{00000000-0005-0000-0000-0000CA0E0000}"/>
    <cellStyle name="Normal 2 9 3" xfId="2876" xr:uid="{00000000-0005-0000-0000-0000CB0E0000}"/>
    <cellStyle name="Normal 2 9 4" xfId="4134" xr:uid="{00000000-0005-0000-0000-0000CC0E0000}"/>
    <cellStyle name="Normal 2 9 4 2" xfId="4840" xr:uid="{00000000-0005-0000-0000-0000CD0E0000}"/>
    <cellStyle name="Normal 2 9 5" xfId="4837" xr:uid="{00000000-0005-0000-0000-0000CE0E0000}"/>
    <cellStyle name="Normal 2_Compare" xfId="2877" xr:uid="{00000000-0005-0000-0000-0000CF0E0000}"/>
    <cellStyle name="Normal 20" xfId="2878" xr:uid="{00000000-0005-0000-0000-0000D00E0000}"/>
    <cellStyle name="Normal 20 2" xfId="2879" xr:uid="{00000000-0005-0000-0000-0000D10E0000}"/>
    <cellStyle name="Normal 20 2 2" xfId="2880" xr:uid="{00000000-0005-0000-0000-0000D20E0000}"/>
    <cellStyle name="Normal 20 2 2 2" xfId="4137" xr:uid="{00000000-0005-0000-0000-0000D30E0000}"/>
    <cellStyle name="Normal 20 2 2 2 2" xfId="4843" xr:uid="{00000000-0005-0000-0000-0000D40E0000}"/>
    <cellStyle name="Normal 20 2 2 3" xfId="4842" xr:uid="{00000000-0005-0000-0000-0000D50E0000}"/>
    <cellStyle name="Normal 20 2 3" xfId="2881" xr:uid="{00000000-0005-0000-0000-0000D60E0000}"/>
    <cellStyle name="Normal 20 2 4" xfId="2882" xr:uid="{00000000-0005-0000-0000-0000D70E0000}"/>
    <cellStyle name="Normal 20 2 4 2" xfId="4138" xr:uid="{00000000-0005-0000-0000-0000D80E0000}"/>
    <cellStyle name="Normal 20 2 4 2 2" xfId="4845" xr:uid="{00000000-0005-0000-0000-0000D90E0000}"/>
    <cellStyle name="Normal 20 2 4 3" xfId="4844" xr:uid="{00000000-0005-0000-0000-0000DA0E0000}"/>
    <cellStyle name="Normal 20 2 5" xfId="4136" xr:uid="{00000000-0005-0000-0000-0000DB0E0000}"/>
    <cellStyle name="Normal 20 2 5 2" xfId="4846" xr:uid="{00000000-0005-0000-0000-0000DC0E0000}"/>
    <cellStyle name="Normal 20 2 6" xfId="4841" xr:uid="{00000000-0005-0000-0000-0000DD0E0000}"/>
    <cellStyle name="Normal 20 3" xfId="2883" xr:uid="{00000000-0005-0000-0000-0000DE0E0000}"/>
    <cellStyle name="Normal 20 3 2" xfId="2884" xr:uid="{00000000-0005-0000-0000-0000DF0E0000}"/>
    <cellStyle name="Normal 20 4" xfId="2885" xr:uid="{00000000-0005-0000-0000-0000E00E0000}"/>
    <cellStyle name="Normal 21" xfId="2886" xr:uid="{00000000-0005-0000-0000-0000E10E0000}"/>
    <cellStyle name="Normal 21 2" xfId="2887" xr:uid="{00000000-0005-0000-0000-0000E20E0000}"/>
    <cellStyle name="Normal 21 2 2" xfId="2888" xr:uid="{00000000-0005-0000-0000-0000E30E0000}"/>
    <cellStyle name="Normal 21 2 2 2" xfId="4140" xr:uid="{00000000-0005-0000-0000-0000E40E0000}"/>
    <cellStyle name="Normal 21 2 2 2 2" xfId="4849" xr:uid="{00000000-0005-0000-0000-0000E50E0000}"/>
    <cellStyle name="Normal 21 2 2 3" xfId="4848" xr:uid="{00000000-0005-0000-0000-0000E60E0000}"/>
    <cellStyle name="Normal 21 2 3" xfId="2889" xr:uid="{00000000-0005-0000-0000-0000E70E0000}"/>
    <cellStyle name="Normal 21 2 4" xfId="2890" xr:uid="{00000000-0005-0000-0000-0000E80E0000}"/>
    <cellStyle name="Normal 21 2 4 2" xfId="4141" xr:uid="{00000000-0005-0000-0000-0000E90E0000}"/>
    <cellStyle name="Normal 21 2 4 2 2" xfId="4851" xr:uid="{00000000-0005-0000-0000-0000EA0E0000}"/>
    <cellStyle name="Normal 21 2 4 3" xfId="4850" xr:uid="{00000000-0005-0000-0000-0000EB0E0000}"/>
    <cellStyle name="Normal 21 2 5" xfId="4139" xr:uid="{00000000-0005-0000-0000-0000EC0E0000}"/>
    <cellStyle name="Normal 21 2 5 2" xfId="4852" xr:uid="{00000000-0005-0000-0000-0000ED0E0000}"/>
    <cellStyle name="Normal 21 2 6" xfId="4847" xr:uid="{00000000-0005-0000-0000-0000EE0E0000}"/>
    <cellStyle name="Normal 21 3" xfId="2891" xr:uid="{00000000-0005-0000-0000-0000EF0E0000}"/>
    <cellStyle name="Normal 21 3 2" xfId="2892" xr:uid="{00000000-0005-0000-0000-0000F00E0000}"/>
    <cellStyle name="Normal 22" xfId="2893" xr:uid="{00000000-0005-0000-0000-0000F10E0000}"/>
    <cellStyle name="Normal 22 2" xfId="2894" xr:uid="{00000000-0005-0000-0000-0000F20E0000}"/>
    <cellStyle name="Normal 22 2 2" xfId="2895" xr:uid="{00000000-0005-0000-0000-0000F30E0000}"/>
    <cellStyle name="Normal 22 2 2 2" xfId="4143" xr:uid="{00000000-0005-0000-0000-0000F40E0000}"/>
    <cellStyle name="Normal 22 2 2 2 2" xfId="4855" xr:uid="{00000000-0005-0000-0000-0000F50E0000}"/>
    <cellStyle name="Normal 22 2 2 3" xfId="4854" xr:uid="{00000000-0005-0000-0000-0000F60E0000}"/>
    <cellStyle name="Normal 22 2 3" xfId="2896" xr:uid="{00000000-0005-0000-0000-0000F70E0000}"/>
    <cellStyle name="Normal 22 2 4" xfId="2897" xr:uid="{00000000-0005-0000-0000-0000F80E0000}"/>
    <cellStyle name="Normal 22 2 4 2" xfId="4144" xr:uid="{00000000-0005-0000-0000-0000F90E0000}"/>
    <cellStyle name="Normal 22 2 4 2 2" xfId="4857" xr:uid="{00000000-0005-0000-0000-0000FA0E0000}"/>
    <cellStyle name="Normal 22 2 4 3" xfId="4856" xr:uid="{00000000-0005-0000-0000-0000FB0E0000}"/>
    <cellStyle name="Normal 22 2 5" xfId="4142" xr:uid="{00000000-0005-0000-0000-0000FC0E0000}"/>
    <cellStyle name="Normal 22 2 5 2" xfId="4858" xr:uid="{00000000-0005-0000-0000-0000FD0E0000}"/>
    <cellStyle name="Normal 22 2 6" xfId="4853" xr:uid="{00000000-0005-0000-0000-0000FE0E0000}"/>
    <cellStyle name="Normal 22 3" xfId="2898" xr:uid="{00000000-0005-0000-0000-0000FF0E0000}"/>
    <cellStyle name="Normal 22 3 2" xfId="2899" xr:uid="{00000000-0005-0000-0000-0000000F0000}"/>
    <cellStyle name="Normal 22 4" xfId="2900" xr:uid="{00000000-0005-0000-0000-0000010F0000}"/>
    <cellStyle name="Normal 23" xfId="2901" xr:uid="{00000000-0005-0000-0000-0000020F0000}"/>
    <cellStyle name="Normal 23 2" xfId="2902" xr:uid="{00000000-0005-0000-0000-0000030F0000}"/>
    <cellStyle name="Normal 23 2 2" xfId="2903" xr:uid="{00000000-0005-0000-0000-0000040F0000}"/>
    <cellStyle name="Normal 23 2 3" xfId="2904" xr:uid="{00000000-0005-0000-0000-0000050F0000}"/>
    <cellStyle name="Normal 23 3" xfId="2905" xr:uid="{00000000-0005-0000-0000-0000060F0000}"/>
    <cellStyle name="Normal 23 3 2" xfId="2906" xr:uid="{00000000-0005-0000-0000-0000070F0000}"/>
    <cellStyle name="Normal 23 3 2 2" xfId="4146" xr:uid="{00000000-0005-0000-0000-0000080F0000}"/>
    <cellStyle name="Normal 23 3 2 2 2" xfId="4861" xr:uid="{00000000-0005-0000-0000-0000090F0000}"/>
    <cellStyle name="Normal 23 3 2 3" xfId="4860" xr:uid="{00000000-0005-0000-0000-00000A0F0000}"/>
    <cellStyle name="Normal 23 3 3" xfId="2907" xr:uid="{00000000-0005-0000-0000-00000B0F0000}"/>
    <cellStyle name="Normal 23 3 3 2" xfId="4147" xr:uid="{00000000-0005-0000-0000-00000C0F0000}"/>
    <cellStyle name="Normal 23 3 3 2 2" xfId="4863" xr:uid="{00000000-0005-0000-0000-00000D0F0000}"/>
    <cellStyle name="Normal 23 3 3 3" xfId="4862" xr:uid="{00000000-0005-0000-0000-00000E0F0000}"/>
    <cellStyle name="Normal 23 3 4" xfId="4145" xr:uid="{00000000-0005-0000-0000-00000F0F0000}"/>
    <cellStyle name="Normal 23 3 4 2" xfId="4864" xr:uid="{00000000-0005-0000-0000-0000100F0000}"/>
    <cellStyle name="Normal 23 3 5" xfId="4859" xr:uid="{00000000-0005-0000-0000-0000110F0000}"/>
    <cellStyle name="Normal 23 4" xfId="2908" xr:uid="{00000000-0005-0000-0000-0000120F0000}"/>
    <cellStyle name="Normal 23 5" xfId="2909" xr:uid="{00000000-0005-0000-0000-0000130F0000}"/>
    <cellStyle name="Normal 23 6" xfId="2910" xr:uid="{00000000-0005-0000-0000-0000140F0000}"/>
    <cellStyle name="Normal 23 6 2" xfId="4148" xr:uid="{00000000-0005-0000-0000-0000150F0000}"/>
    <cellStyle name="Normal 23 6 2 2" xfId="4866" xr:uid="{00000000-0005-0000-0000-0000160F0000}"/>
    <cellStyle name="Normal 23 6 3" xfId="4865" xr:uid="{00000000-0005-0000-0000-0000170F0000}"/>
    <cellStyle name="Normal 24" xfId="2911" xr:uid="{00000000-0005-0000-0000-0000180F0000}"/>
    <cellStyle name="Normal 24 2" xfId="2912" xr:uid="{00000000-0005-0000-0000-0000190F0000}"/>
    <cellStyle name="Normal 24 2 2" xfId="2913" xr:uid="{00000000-0005-0000-0000-00001A0F0000}"/>
    <cellStyle name="Normal 24 2 2 2" xfId="4150" xr:uid="{00000000-0005-0000-0000-00001B0F0000}"/>
    <cellStyle name="Normal 24 2 2 2 2" xfId="4869" xr:uid="{00000000-0005-0000-0000-00001C0F0000}"/>
    <cellStyle name="Normal 24 2 2 3" xfId="4868" xr:uid="{00000000-0005-0000-0000-00001D0F0000}"/>
    <cellStyle name="Normal 24 2 3" xfId="4149" xr:uid="{00000000-0005-0000-0000-00001E0F0000}"/>
    <cellStyle name="Normal 24 2 3 2" xfId="4870" xr:uid="{00000000-0005-0000-0000-00001F0F0000}"/>
    <cellStyle name="Normal 24 2 4" xfId="4867" xr:uid="{00000000-0005-0000-0000-0000200F0000}"/>
    <cellStyle name="Normal 24 3" xfId="2914" xr:uid="{00000000-0005-0000-0000-0000210F0000}"/>
    <cellStyle name="Normal 24 4" xfId="2915" xr:uid="{00000000-0005-0000-0000-0000220F0000}"/>
    <cellStyle name="Normal 24 4 2" xfId="4151" xr:uid="{00000000-0005-0000-0000-0000230F0000}"/>
    <cellStyle name="Normal 24 4 2 2" xfId="4872" xr:uid="{00000000-0005-0000-0000-0000240F0000}"/>
    <cellStyle name="Normal 24 4 3" xfId="4871" xr:uid="{00000000-0005-0000-0000-0000250F0000}"/>
    <cellStyle name="Normal 25" xfId="2916" xr:uid="{00000000-0005-0000-0000-0000260F0000}"/>
    <cellStyle name="Normal 25 2" xfId="2917" xr:uid="{00000000-0005-0000-0000-0000270F0000}"/>
    <cellStyle name="Normal 25 2 2" xfId="2918" xr:uid="{00000000-0005-0000-0000-0000280F0000}"/>
    <cellStyle name="Normal 25 2 2 2" xfId="4153" xr:uid="{00000000-0005-0000-0000-0000290F0000}"/>
    <cellStyle name="Normal 25 2 2 2 2" xfId="4875" xr:uid="{00000000-0005-0000-0000-00002A0F0000}"/>
    <cellStyle name="Normal 25 2 2 3" xfId="4874" xr:uid="{00000000-0005-0000-0000-00002B0F0000}"/>
    <cellStyle name="Normal 25 2 3" xfId="4152" xr:uid="{00000000-0005-0000-0000-00002C0F0000}"/>
    <cellStyle name="Normal 25 2 3 2" xfId="4876" xr:uid="{00000000-0005-0000-0000-00002D0F0000}"/>
    <cellStyle name="Normal 25 2 4" xfId="4873" xr:uid="{00000000-0005-0000-0000-00002E0F0000}"/>
    <cellStyle name="Normal 25 3" xfId="2919" xr:uid="{00000000-0005-0000-0000-00002F0F0000}"/>
    <cellStyle name="Normal 25 4" xfId="2920" xr:uid="{00000000-0005-0000-0000-0000300F0000}"/>
    <cellStyle name="Normal 25 4 2" xfId="4154" xr:uid="{00000000-0005-0000-0000-0000310F0000}"/>
    <cellStyle name="Normal 25 4 2 2" xfId="4878" xr:uid="{00000000-0005-0000-0000-0000320F0000}"/>
    <cellStyle name="Normal 25 4 3" xfId="4877" xr:uid="{00000000-0005-0000-0000-0000330F0000}"/>
    <cellStyle name="Normal 26" xfId="2921" xr:uid="{00000000-0005-0000-0000-0000340F0000}"/>
    <cellStyle name="Normal 26 2" xfId="2922" xr:uid="{00000000-0005-0000-0000-0000350F0000}"/>
    <cellStyle name="Normal 26 2 2" xfId="2923" xr:uid="{00000000-0005-0000-0000-0000360F0000}"/>
    <cellStyle name="Normal 26 2 2 2" xfId="4156" xr:uid="{00000000-0005-0000-0000-0000370F0000}"/>
    <cellStyle name="Normal 26 2 2 2 2" xfId="4881" xr:uid="{00000000-0005-0000-0000-0000380F0000}"/>
    <cellStyle name="Normal 26 2 2 3" xfId="4880" xr:uid="{00000000-0005-0000-0000-0000390F0000}"/>
    <cellStyle name="Normal 26 2 3" xfId="4155" xr:uid="{00000000-0005-0000-0000-00003A0F0000}"/>
    <cellStyle name="Normal 26 2 3 2" xfId="4882" xr:uid="{00000000-0005-0000-0000-00003B0F0000}"/>
    <cellStyle name="Normal 26 2 4" xfId="4879" xr:uid="{00000000-0005-0000-0000-00003C0F0000}"/>
    <cellStyle name="Normal 26 3" xfId="2924" xr:uid="{00000000-0005-0000-0000-00003D0F0000}"/>
    <cellStyle name="Normal 26 4" xfId="2925" xr:uid="{00000000-0005-0000-0000-00003E0F0000}"/>
    <cellStyle name="Normal 26 4 2" xfId="4157" xr:uid="{00000000-0005-0000-0000-00003F0F0000}"/>
    <cellStyle name="Normal 26 4 2 2" xfId="4884" xr:uid="{00000000-0005-0000-0000-0000400F0000}"/>
    <cellStyle name="Normal 26 4 3" xfId="4883" xr:uid="{00000000-0005-0000-0000-0000410F0000}"/>
    <cellStyle name="Normal 27" xfId="2926" xr:uid="{00000000-0005-0000-0000-0000420F0000}"/>
    <cellStyle name="Normal 27 2" xfId="2927" xr:uid="{00000000-0005-0000-0000-0000430F0000}"/>
    <cellStyle name="Normal 27 2 2" xfId="2928" xr:uid="{00000000-0005-0000-0000-0000440F0000}"/>
    <cellStyle name="Normal 27 2 2 2" xfId="4159" xr:uid="{00000000-0005-0000-0000-0000450F0000}"/>
    <cellStyle name="Normal 27 2 2 2 2" xfId="4887" xr:uid="{00000000-0005-0000-0000-0000460F0000}"/>
    <cellStyle name="Normal 27 2 2 3" xfId="4886" xr:uid="{00000000-0005-0000-0000-0000470F0000}"/>
    <cellStyle name="Normal 27 2 3" xfId="4158" xr:uid="{00000000-0005-0000-0000-0000480F0000}"/>
    <cellStyle name="Normal 27 2 3 2" xfId="4888" xr:uid="{00000000-0005-0000-0000-0000490F0000}"/>
    <cellStyle name="Normal 27 2 4" xfId="4885" xr:uid="{00000000-0005-0000-0000-00004A0F0000}"/>
    <cellStyle name="Normal 27 3" xfId="2929" xr:uid="{00000000-0005-0000-0000-00004B0F0000}"/>
    <cellStyle name="Normal 27 4" xfId="2930" xr:uid="{00000000-0005-0000-0000-00004C0F0000}"/>
    <cellStyle name="Normal 27 4 2" xfId="4160" xr:uid="{00000000-0005-0000-0000-00004D0F0000}"/>
    <cellStyle name="Normal 27 4 2 2" xfId="4890" xr:uid="{00000000-0005-0000-0000-00004E0F0000}"/>
    <cellStyle name="Normal 27 4 3" xfId="4889" xr:uid="{00000000-0005-0000-0000-00004F0F0000}"/>
    <cellStyle name="Normal 28" xfId="2931" xr:uid="{00000000-0005-0000-0000-0000500F0000}"/>
    <cellStyle name="Normal 28 2" xfId="2932" xr:uid="{00000000-0005-0000-0000-0000510F0000}"/>
    <cellStyle name="Normal 28 2 2" xfId="2933" xr:uid="{00000000-0005-0000-0000-0000520F0000}"/>
    <cellStyle name="Normal 28 2 2 2" xfId="4162" xr:uid="{00000000-0005-0000-0000-0000530F0000}"/>
    <cellStyle name="Normal 28 2 2 2 2" xfId="4893" xr:uid="{00000000-0005-0000-0000-0000540F0000}"/>
    <cellStyle name="Normal 28 2 2 3" xfId="4892" xr:uid="{00000000-0005-0000-0000-0000550F0000}"/>
    <cellStyle name="Normal 28 2 3" xfId="4161" xr:uid="{00000000-0005-0000-0000-0000560F0000}"/>
    <cellStyle name="Normal 28 2 3 2" xfId="4894" xr:uid="{00000000-0005-0000-0000-0000570F0000}"/>
    <cellStyle name="Normal 28 2 4" xfId="4891" xr:uid="{00000000-0005-0000-0000-0000580F0000}"/>
    <cellStyle name="Normal 28 3" xfId="2934" xr:uid="{00000000-0005-0000-0000-0000590F0000}"/>
    <cellStyle name="Normal 28 4" xfId="2935" xr:uid="{00000000-0005-0000-0000-00005A0F0000}"/>
    <cellStyle name="Normal 28 4 2" xfId="4163" xr:uid="{00000000-0005-0000-0000-00005B0F0000}"/>
    <cellStyle name="Normal 28 4 2 2" xfId="4896" xr:uid="{00000000-0005-0000-0000-00005C0F0000}"/>
    <cellStyle name="Normal 28 4 3" xfId="4895" xr:uid="{00000000-0005-0000-0000-00005D0F0000}"/>
    <cellStyle name="Normal 29" xfId="2936" xr:uid="{00000000-0005-0000-0000-00005E0F0000}"/>
    <cellStyle name="Normal 29 2" xfId="2937" xr:uid="{00000000-0005-0000-0000-00005F0F0000}"/>
    <cellStyle name="Normal 29 2 2" xfId="4164" xr:uid="{00000000-0005-0000-0000-0000600F0000}"/>
    <cellStyle name="Normal 29 2 2 2" xfId="4898" xr:uid="{00000000-0005-0000-0000-0000610F0000}"/>
    <cellStyle name="Normal 29 2 3" xfId="4897" xr:uid="{00000000-0005-0000-0000-0000620F0000}"/>
    <cellStyle name="Normal 29 3" xfId="2938" xr:uid="{00000000-0005-0000-0000-0000630F0000}"/>
    <cellStyle name="Normal 29 4" xfId="2939" xr:uid="{00000000-0005-0000-0000-0000640F0000}"/>
    <cellStyle name="Normal 29 5" xfId="2940" xr:uid="{00000000-0005-0000-0000-0000650F0000}"/>
    <cellStyle name="Normal 29 5 2" xfId="4165" xr:uid="{00000000-0005-0000-0000-0000660F0000}"/>
    <cellStyle name="Normal 29 5 2 2" xfId="4900" xr:uid="{00000000-0005-0000-0000-0000670F0000}"/>
    <cellStyle name="Normal 29 5 3" xfId="4899" xr:uid="{00000000-0005-0000-0000-0000680F0000}"/>
    <cellStyle name="Normal 3" xfId="2941" xr:uid="{00000000-0005-0000-0000-0000690F0000}"/>
    <cellStyle name="Normal 3 10" xfId="2942" xr:uid="{00000000-0005-0000-0000-00006A0F0000}"/>
    <cellStyle name="Normal 3 11" xfId="2943" xr:uid="{00000000-0005-0000-0000-00006B0F0000}"/>
    <cellStyle name="Normal 3 11 2" xfId="4167" xr:uid="{00000000-0005-0000-0000-00006C0F0000}"/>
    <cellStyle name="Normal 3 11 2 2" xfId="4903" xr:uid="{00000000-0005-0000-0000-00006D0F0000}"/>
    <cellStyle name="Normal 3 11 3" xfId="4902" xr:uid="{00000000-0005-0000-0000-00006E0F0000}"/>
    <cellStyle name="Normal 3 12" xfId="4166" xr:uid="{00000000-0005-0000-0000-00006F0F0000}"/>
    <cellStyle name="Normal 3 12 2" xfId="4904" xr:uid="{00000000-0005-0000-0000-0000700F0000}"/>
    <cellStyle name="Normal 3 13" xfId="4901" xr:uid="{00000000-0005-0000-0000-0000710F0000}"/>
    <cellStyle name="Normal 3 2" xfId="2944" xr:uid="{00000000-0005-0000-0000-0000720F0000}"/>
    <cellStyle name="Normal 3 2 10" xfId="4905" xr:uid="{00000000-0005-0000-0000-0000730F0000}"/>
    <cellStyle name="Normal 3 2 11" xfId="6165" xr:uid="{A643C9B3-23AA-4340-A2B6-CC281C36E161}"/>
    <cellStyle name="Normal 3 2 2" xfId="2945" xr:uid="{00000000-0005-0000-0000-0000740F0000}"/>
    <cellStyle name="Normal 3 2 2 10" xfId="4906" xr:uid="{00000000-0005-0000-0000-0000750F0000}"/>
    <cellStyle name="Normal 3 2 2 2" xfId="2946" xr:uid="{00000000-0005-0000-0000-0000760F0000}"/>
    <cellStyle name="Normal 3 2 2 2 2" xfId="2947" xr:uid="{00000000-0005-0000-0000-0000770F0000}"/>
    <cellStyle name="Normal 3 2 2 2 2 2" xfId="2948" xr:uid="{00000000-0005-0000-0000-0000780F0000}"/>
    <cellStyle name="Normal 3 2 2 2 2 2 2" xfId="4172" xr:uid="{00000000-0005-0000-0000-0000790F0000}"/>
    <cellStyle name="Normal 3 2 2 2 2 2 2 2" xfId="4910" xr:uid="{00000000-0005-0000-0000-00007A0F0000}"/>
    <cellStyle name="Normal 3 2 2 2 2 2 3" xfId="4909" xr:uid="{00000000-0005-0000-0000-00007B0F0000}"/>
    <cellStyle name="Normal 3 2 2 2 2 3" xfId="2949" xr:uid="{00000000-0005-0000-0000-00007C0F0000}"/>
    <cellStyle name="Normal 3 2 2 2 2 4" xfId="4171" xr:uid="{00000000-0005-0000-0000-00007D0F0000}"/>
    <cellStyle name="Normal 3 2 2 2 2 4 2" xfId="4911" xr:uid="{00000000-0005-0000-0000-00007E0F0000}"/>
    <cellStyle name="Normal 3 2 2 2 2 5" xfId="4908" xr:uid="{00000000-0005-0000-0000-00007F0F0000}"/>
    <cellStyle name="Normal 3 2 2 2 3" xfId="2950" xr:uid="{00000000-0005-0000-0000-0000800F0000}"/>
    <cellStyle name="Normal 3 2 2 2 3 2" xfId="4173" xr:uid="{00000000-0005-0000-0000-0000810F0000}"/>
    <cellStyle name="Normal 3 2 2 2 3 2 2" xfId="4913" xr:uid="{00000000-0005-0000-0000-0000820F0000}"/>
    <cellStyle name="Normal 3 2 2 2 3 3" xfId="4912" xr:uid="{00000000-0005-0000-0000-0000830F0000}"/>
    <cellStyle name="Normal 3 2 2 2 4" xfId="2951" xr:uid="{00000000-0005-0000-0000-0000840F0000}"/>
    <cellStyle name="Normal 3 2 2 2 4 2" xfId="4174" xr:uid="{00000000-0005-0000-0000-0000850F0000}"/>
    <cellStyle name="Normal 3 2 2 2 4 2 2" xfId="4915" xr:uid="{00000000-0005-0000-0000-0000860F0000}"/>
    <cellStyle name="Normal 3 2 2 2 4 3" xfId="4914" xr:uid="{00000000-0005-0000-0000-0000870F0000}"/>
    <cellStyle name="Normal 3 2 2 2 5" xfId="2952" xr:uid="{00000000-0005-0000-0000-0000880F0000}"/>
    <cellStyle name="Normal 3 2 2 2 5 2" xfId="4175" xr:uid="{00000000-0005-0000-0000-0000890F0000}"/>
    <cellStyle name="Normal 3 2 2 2 5 2 2" xfId="4917" xr:uid="{00000000-0005-0000-0000-00008A0F0000}"/>
    <cellStyle name="Normal 3 2 2 2 5 3" xfId="4916" xr:uid="{00000000-0005-0000-0000-00008B0F0000}"/>
    <cellStyle name="Normal 3 2 2 2 6" xfId="2953" xr:uid="{00000000-0005-0000-0000-00008C0F0000}"/>
    <cellStyle name="Normal 3 2 2 2 7" xfId="4170" xr:uid="{00000000-0005-0000-0000-00008D0F0000}"/>
    <cellStyle name="Normal 3 2 2 2 7 2" xfId="4918" xr:uid="{00000000-0005-0000-0000-00008E0F0000}"/>
    <cellStyle name="Normal 3 2 2 2 8" xfId="4907" xr:uid="{00000000-0005-0000-0000-00008F0F0000}"/>
    <cellStyle name="Normal 3 2 2 3" xfId="2954" xr:uid="{00000000-0005-0000-0000-0000900F0000}"/>
    <cellStyle name="Normal 3 2 2 3 2" xfId="2955" xr:uid="{00000000-0005-0000-0000-0000910F0000}"/>
    <cellStyle name="Normal 3 2 2 3 2 2" xfId="4177" xr:uid="{00000000-0005-0000-0000-0000920F0000}"/>
    <cellStyle name="Normal 3 2 2 3 2 2 2" xfId="4921" xr:uid="{00000000-0005-0000-0000-0000930F0000}"/>
    <cellStyle name="Normal 3 2 2 3 2 3" xfId="4920" xr:uid="{00000000-0005-0000-0000-0000940F0000}"/>
    <cellStyle name="Normal 3 2 2 3 3" xfId="2956" xr:uid="{00000000-0005-0000-0000-0000950F0000}"/>
    <cellStyle name="Normal 3 2 2 3 4" xfId="4176" xr:uid="{00000000-0005-0000-0000-0000960F0000}"/>
    <cellStyle name="Normal 3 2 2 3 4 2" xfId="4922" xr:uid="{00000000-0005-0000-0000-0000970F0000}"/>
    <cellStyle name="Normal 3 2 2 3 5" xfId="4919" xr:uid="{00000000-0005-0000-0000-0000980F0000}"/>
    <cellStyle name="Normal 3 2 2 4" xfId="2957" xr:uid="{00000000-0005-0000-0000-0000990F0000}"/>
    <cellStyle name="Normal 3 2 2 4 2" xfId="4178" xr:uid="{00000000-0005-0000-0000-00009A0F0000}"/>
    <cellStyle name="Normal 3 2 2 4 2 2" xfId="4924" xr:uid="{00000000-0005-0000-0000-00009B0F0000}"/>
    <cellStyle name="Normal 3 2 2 4 3" xfId="4923" xr:uid="{00000000-0005-0000-0000-00009C0F0000}"/>
    <cellStyle name="Normal 3 2 2 5" xfId="2958" xr:uid="{00000000-0005-0000-0000-00009D0F0000}"/>
    <cellStyle name="Normal 3 2 2 5 2" xfId="4179" xr:uid="{00000000-0005-0000-0000-00009E0F0000}"/>
    <cellStyle name="Normal 3 2 2 5 2 2" xfId="4926" xr:uid="{00000000-0005-0000-0000-00009F0F0000}"/>
    <cellStyle name="Normal 3 2 2 5 3" xfId="4925" xr:uid="{00000000-0005-0000-0000-0000A00F0000}"/>
    <cellStyle name="Normal 3 2 2 6" xfId="2959" xr:uid="{00000000-0005-0000-0000-0000A10F0000}"/>
    <cellStyle name="Normal 3 2 2 6 2" xfId="4180" xr:uid="{00000000-0005-0000-0000-0000A20F0000}"/>
    <cellStyle name="Normal 3 2 2 6 2 2" xfId="4928" xr:uid="{00000000-0005-0000-0000-0000A30F0000}"/>
    <cellStyle name="Normal 3 2 2 6 3" xfId="4927" xr:uid="{00000000-0005-0000-0000-0000A40F0000}"/>
    <cellStyle name="Normal 3 2 2 7" xfId="2960" xr:uid="{00000000-0005-0000-0000-0000A50F0000}"/>
    <cellStyle name="Normal 3 2 2 8" xfId="2961" xr:uid="{00000000-0005-0000-0000-0000A60F0000}"/>
    <cellStyle name="Normal 3 2 2 8 2" xfId="4181" xr:uid="{00000000-0005-0000-0000-0000A70F0000}"/>
    <cellStyle name="Normal 3 2 2 8 2 2" xfId="4930" xr:uid="{00000000-0005-0000-0000-0000A80F0000}"/>
    <cellStyle name="Normal 3 2 2 8 3" xfId="4929" xr:uid="{00000000-0005-0000-0000-0000A90F0000}"/>
    <cellStyle name="Normal 3 2 2 9" xfId="4169" xr:uid="{00000000-0005-0000-0000-0000AA0F0000}"/>
    <cellStyle name="Normal 3 2 2 9 2" xfId="4931" xr:uid="{00000000-0005-0000-0000-0000AB0F0000}"/>
    <cellStyle name="Normal 3 2 3" xfId="2962" xr:uid="{00000000-0005-0000-0000-0000AC0F0000}"/>
    <cellStyle name="Normal 3 2 3 2" xfId="2963" xr:uid="{00000000-0005-0000-0000-0000AD0F0000}"/>
    <cellStyle name="Normal 3 2 3 2 2" xfId="2964" xr:uid="{00000000-0005-0000-0000-0000AE0F0000}"/>
    <cellStyle name="Normal 3 2 3 2 2 2" xfId="4184" xr:uid="{00000000-0005-0000-0000-0000AF0F0000}"/>
    <cellStyle name="Normal 3 2 3 2 2 2 2" xfId="4935" xr:uid="{00000000-0005-0000-0000-0000B00F0000}"/>
    <cellStyle name="Normal 3 2 3 2 2 3" xfId="4934" xr:uid="{00000000-0005-0000-0000-0000B10F0000}"/>
    <cellStyle name="Normal 3 2 3 2 3" xfId="2965" xr:uid="{00000000-0005-0000-0000-0000B20F0000}"/>
    <cellStyle name="Normal 3 2 3 2 4" xfId="4183" xr:uid="{00000000-0005-0000-0000-0000B30F0000}"/>
    <cellStyle name="Normal 3 2 3 2 4 2" xfId="4936" xr:uid="{00000000-0005-0000-0000-0000B40F0000}"/>
    <cellStyle name="Normal 3 2 3 2 5" xfId="4933" xr:uid="{00000000-0005-0000-0000-0000B50F0000}"/>
    <cellStyle name="Normal 3 2 3 3" xfId="2966" xr:uid="{00000000-0005-0000-0000-0000B60F0000}"/>
    <cellStyle name="Normal 3 2 3 3 2" xfId="4185" xr:uid="{00000000-0005-0000-0000-0000B70F0000}"/>
    <cellStyle name="Normal 3 2 3 3 2 2" xfId="4938" xr:uid="{00000000-0005-0000-0000-0000B80F0000}"/>
    <cellStyle name="Normal 3 2 3 3 3" xfId="4937" xr:uid="{00000000-0005-0000-0000-0000B90F0000}"/>
    <cellStyle name="Normal 3 2 3 4" xfId="2967" xr:uid="{00000000-0005-0000-0000-0000BA0F0000}"/>
    <cellStyle name="Normal 3 2 3 4 2" xfId="4186" xr:uid="{00000000-0005-0000-0000-0000BB0F0000}"/>
    <cellStyle name="Normal 3 2 3 4 2 2" xfId="4940" xr:uid="{00000000-0005-0000-0000-0000BC0F0000}"/>
    <cellStyle name="Normal 3 2 3 4 3" xfId="4939" xr:uid="{00000000-0005-0000-0000-0000BD0F0000}"/>
    <cellStyle name="Normal 3 2 3 5" xfId="2968" xr:uid="{00000000-0005-0000-0000-0000BE0F0000}"/>
    <cellStyle name="Normal 3 2 3 6" xfId="2969" xr:uid="{00000000-0005-0000-0000-0000BF0F0000}"/>
    <cellStyle name="Normal 3 2 3 6 2" xfId="4187" xr:uid="{00000000-0005-0000-0000-0000C00F0000}"/>
    <cellStyle name="Normal 3 2 3 6 2 2" xfId="4942" xr:uid="{00000000-0005-0000-0000-0000C10F0000}"/>
    <cellStyle name="Normal 3 2 3 6 3" xfId="4941" xr:uid="{00000000-0005-0000-0000-0000C20F0000}"/>
    <cellStyle name="Normal 3 2 3 7" xfId="2970" xr:uid="{00000000-0005-0000-0000-0000C30F0000}"/>
    <cellStyle name="Normal 3 2 3 8" xfId="4182" xr:uid="{00000000-0005-0000-0000-0000C40F0000}"/>
    <cellStyle name="Normal 3 2 3 8 2" xfId="4943" xr:uid="{00000000-0005-0000-0000-0000C50F0000}"/>
    <cellStyle name="Normal 3 2 3 9" xfId="4932" xr:uid="{00000000-0005-0000-0000-0000C60F0000}"/>
    <cellStyle name="Normal 3 2 4" xfId="2971" xr:uid="{00000000-0005-0000-0000-0000C70F0000}"/>
    <cellStyle name="Normal 3 2 4 2" xfId="2972" xr:uid="{00000000-0005-0000-0000-0000C80F0000}"/>
    <cellStyle name="Normal 3 2 4 2 2" xfId="4189" xr:uid="{00000000-0005-0000-0000-0000C90F0000}"/>
    <cellStyle name="Normal 3 2 4 2 2 2" xfId="4946" xr:uid="{00000000-0005-0000-0000-0000CA0F0000}"/>
    <cellStyle name="Normal 3 2 4 2 3" xfId="4945" xr:uid="{00000000-0005-0000-0000-0000CB0F0000}"/>
    <cellStyle name="Normal 3 2 4 3" xfId="2973" xr:uid="{00000000-0005-0000-0000-0000CC0F0000}"/>
    <cellStyle name="Normal 3 2 4 4" xfId="4188" xr:uid="{00000000-0005-0000-0000-0000CD0F0000}"/>
    <cellStyle name="Normal 3 2 4 4 2" xfId="4947" xr:uid="{00000000-0005-0000-0000-0000CE0F0000}"/>
    <cellStyle name="Normal 3 2 4 5" xfId="4944" xr:uid="{00000000-0005-0000-0000-0000CF0F0000}"/>
    <cellStyle name="Normal 3 2 5" xfId="2974" xr:uid="{00000000-0005-0000-0000-0000D00F0000}"/>
    <cellStyle name="Normal 3 2 5 2" xfId="4190" xr:uid="{00000000-0005-0000-0000-0000D10F0000}"/>
    <cellStyle name="Normal 3 2 5 2 2" xfId="4949" xr:uid="{00000000-0005-0000-0000-0000D20F0000}"/>
    <cellStyle name="Normal 3 2 5 3" xfId="4948" xr:uid="{00000000-0005-0000-0000-0000D30F0000}"/>
    <cellStyle name="Normal 3 2 6" xfId="2975" xr:uid="{00000000-0005-0000-0000-0000D40F0000}"/>
    <cellStyle name="Normal 3 2 6 2" xfId="4191" xr:uid="{00000000-0005-0000-0000-0000D50F0000}"/>
    <cellStyle name="Normal 3 2 6 2 2" xfId="4951" xr:uid="{00000000-0005-0000-0000-0000D60F0000}"/>
    <cellStyle name="Normal 3 2 6 3" xfId="4950" xr:uid="{00000000-0005-0000-0000-0000D70F0000}"/>
    <cellStyle name="Normal 3 2 7" xfId="2976" xr:uid="{00000000-0005-0000-0000-0000D80F0000}"/>
    <cellStyle name="Normal 3 2 8" xfId="2977" xr:uid="{00000000-0005-0000-0000-0000D90F0000}"/>
    <cellStyle name="Normal 3 2 8 2" xfId="4192" xr:uid="{00000000-0005-0000-0000-0000DA0F0000}"/>
    <cellStyle name="Normal 3 2 8 2 2" xfId="4953" xr:uid="{00000000-0005-0000-0000-0000DB0F0000}"/>
    <cellStyle name="Normal 3 2 8 3" xfId="4952" xr:uid="{00000000-0005-0000-0000-0000DC0F0000}"/>
    <cellStyle name="Normal 3 2 9" xfId="4168" xr:uid="{00000000-0005-0000-0000-0000DD0F0000}"/>
    <cellStyle name="Normal 3 2 9 2" xfId="4954" xr:uid="{00000000-0005-0000-0000-0000DE0F0000}"/>
    <cellStyle name="Normal 3 3" xfId="2978" xr:uid="{00000000-0005-0000-0000-0000DF0F0000}"/>
    <cellStyle name="Normal 3 3 10" xfId="4955" xr:uid="{00000000-0005-0000-0000-0000E00F0000}"/>
    <cellStyle name="Normal 3 3 2" xfId="2979" xr:uid="{00000000-0005-0000-0000-0000E10F0000}"/>
    <cellStyle name="Normal 3 3 2 2" xfId="2980" xr:uid="{00000000-0005-0000-0000-0000E20F0000}"/>
    <cellStyle name="Normal 3 3 2 2 2" xfId="2981" xr:uid="{00000000-0005-0000-0000-0000E30F0000}"/>
    <cellStyle name="Normal 3 3 2 2 2 2" xfId="4196" xr:uid="{00000000-0005-0000-0000-0000E40F0000}"/>
    <cellStyle name="Normal 3 3 2 2 2 2 2" xfId="4959" xr:uid="{00000000-0005-0000-0000-0000E50F0000}"/>
    <cellStyle name="Normal 3 3 2 2 2 3" xfId="4958" xr:uid="{00000000-0005-0000-0000-0000E60F0000}"/>
    <cellStyle name="Normal 3 3 2 2 3" xfId="2982" xr:uid="{00000000-0005-0000-0000-0000E70F0000}"/>
    <cellStyle name="Normal 3 3 2 2 4" xfId="4195" xr:uid="{00000000-0005-0000-0000-0000E80F0000}"/>
    <cellStyle name="Normal 3 3 2 2 4 2" xfId="4960" xr:uid="{00000000-0005-0000-0000-0000E90F0000}"/>
    <cellStyle name="Normal 3 3 2 2 5" xfId="4957" xr:uid="{00000000-0005-0000-0000-0000EA0F0000}"/>
    <cellStyle name="Normal 3 3 2 3" xfId="2983" xr:uid="{00000000-0005-0000-0000-0000EB0F0000}"/>
    <cellStyle name="Normal 3 3 2 3 2" xfId="4197" xr:uid="{00000000-0005-0000-0000-0000EC0F0000}"/>
    <cellStyle name="Normal 3 3 2 3 2 2" xfId="4962" xr:uid="{00000000-0005-0000-0000-0000ED0F0000}"/>
    <cellStyle name="Normal 3 3 2 3 3" xfId="4961" xr:uid="{00000000-0005-0000-0000-0000EE0F0000}"/>
    <cellStyle name="Normal 3 3 2 4" xfId="2984" xr:uid="{00000000-0005-0000-0000-0000EF0F0000}"/>
    <cellStyle name="Normal 3 3 2 4 2" xfId="4198" xr:uid="{00000000-0005-0000-0000-0000F00F0000}"/>
    <cellStyle name="Normal 3 3 2 4 2 2" xfId="4964" xr:uid="{00000000-0005-0000-0000-0000F10F0000}"/>
    <cellStyle name="Normal 3 3 2 4 3" xfId="4963" xr:uid="{00000000-0005-0000-0000-0000F20F0000}"/>
    <cellStyle name="Normal 3 3 2 5" xfId="2985" xr:uid="{00000000-0005-0000-0000-0000F30F0000}"/>
    <cellStyle name="Normal 3 3 2 6" xfId="2986" xr:uid="{00000000-0005-0000-0000-0000F40F0000}"/>
    <cellStyle name="Normal 3 3 2 6 2" xfId="4199" xr:uid="{00000000-0005-0000-0000-0000F50F0000}"/>
    <cellStyle name="Normal 3 3 2 6 2 2" xfId="4966" xr:uid="{00000000-0005-0000-0000-0000F60F0000}"/>
    <cellStyle name="Normal 3 3 2 6 3" xfId="4965" xr:uid="{00000000-0005-0000-0000-0000F70F0000}"/>
    <cellStyle name="Normal 3 3 2 7" xfId="2987" xr:uid="{00000000-0005-0000-0000-0000F80F0000}"/>
    <cellStyle name="Normal 3 3 2 8" xfId="4194" xr:uid="{00000000-0005-0000-0000-0000F90F0000}"/>
    <cellStyle name="Normal 3 3 2 8 2" xfId="4967" xr:uid="{00000000-0005-0000-0000-0000FA0F0000}"/>
    <cellStyle name="Normal 3 3 2 9" xfId="4956" xr:uid="{00000000-0005-0000-0000-0000FB0F0000}"/>
    <cellStyle name="Normal 3 3 3" xfId="2988" xr:uid="{00000000-0005-0000-0000-0000FC0F0000}"/>
    <cellStyle name="Normal 3 3 3 2" xfId="2989" xr:uid="{00000000-0005-0000-0000-0000FD0F0000}"/>
    <cellStyle name="Normal 3 3 3 2 2" xfId="4201" xr:uid="{00000000-0005-0000-0000-0000FE0F0000}"/>
    <cellStyle name="Normal 3 3 3 2 2 2" xfId="4970" xr:uid="{00000000-0005-0000-0000-0000FF0F0000}"/>
    <cellStyle name="Normal 3 3 3 2 3" xfId="4969" xr:uid="{00000000-0005-0000-0000-000000100000}"/>
    <cellStyle name="Normal 3 3 3 3" xfId="2990" xr:uid="{00000000-0005-0000-0000-000001100000}"/>
    <cellStyle name="Normal 3 3 3 4" xfId="4200" xr:uid="{00000000-0005-0000-0000-000002100000}"/>
    <cellStyle name="Normal 3 3 3 4 2" xfId="4971" xr:uid="{00000000-0005-0000-0000-000003100000}"/>
    <cellStyle name="Normal 3 3 3 5" xfId="4968" xr:uid="{00000000-0005-0000-0000-000004100000}"/>
    <cellStyle name="Normal 3 3 4" xfId="2991" xr:uid="{00000000-0005-0000-0000-000005100000}"/>
    <cellStyle name="Normal 3 3 4 2" xfId="4202" xr:uid="{00000000-0005-0000-0000-000006100000}"/>
    <cellStyle name="Normal 3 3 4 2 2" xfId="4973" xr:uid="{00000000-0005-0000-0000-000007100000}"/>
    <cellStyle name="Normal 3 3 4 3" xfId="4972" xr:uid="{00000000-0005-0000-0000-000008100000}"/>
    <cellStyle name="Normal 3 3 5" xfId="2992" xr:uid="{00000000-0005-0000-0000-000009100000}"/>
    <cellStyle name="Normal 3 3 5 2" xfId="4203" xr:uid="{00000000-0005-0000-0000-00000A100000}"/>
    <cellStyle name="Normal 3 3 5 2 2" xfId="4975" xr:uid="{00000000-0005-0000-0000-00000B100000}"/>
    <cellStyle name="Normal 3 3 5 3" xfId="4974" xr:uid="{00000000-0005-0000-0000-00000C100000}"/>
    <cellStyle name="Normal 3 3 6" xfId="2993" xr:uid="{00000000-0005-0000-0000-00000D100000}"/>
    <cellStyle name="Normal 3 3 6 2" xfId="4204" xr:uid="{00000000-0005-0000-0000-00000E100000}"/>
    <cellStyle name="Normal 3 3 6 2 2" xfId="4977" xr:uid="{00000000-0005-0000-0000-00000F100000}"/>
    <cellStyle name="Normal 3 3 6 3" xfId="4976" xr:uid="{00000000-0005-0000-0000-000010100000}"/>
    <cellStyle name="Normal 3 3 7" xfId="2994" xr:uid="{00000000-0005-0000-0000-000011100000}"/>
    <cellStyle name="Normal 3 3 8" xfId="2995" xr:uid="{00000000-0005-0000-0000-000012100000}"/>
    <cellStyle name="Normal 3 3 8 2" xfId="4205" xr:uid="{00000000-0005-0000-0000-000013100000}"/>
    <cellStyle name="Normal 3 3 8 2 2" xfId="4979" xr:uid="{00000000-0005-0000-0000-000014100000}"/>
    <cellStyle name="Normal 3 3 8 3" xfId="4978" xr:uid="{00000000-0005-0000-0000-000015100000}"/>
    <cellStyle name="Normal 3 3 9" xfId="4193" xr:uid="{00000000-0005-0000-0000-000016100000}"/>
    <cellStyle name="Normal 3 3 9 2" xfId="4980" xr:uid="{00000000-0005-0000-0000-000017100000}"/>
    <cellStyle name="Normal 3 4" xfId="2996" xr:uid="{00000000-0005-0000-0000-000018100000}"/>
    <cellStyle name="Normal 3 4 2" xfId="2997" xr:uid="{00000000-0005-0000-0000-000019100000}"/>
    <cellStyle name="Normal 3 4 2 2" xfId="2998" xr:uid="{00000000-0005-0000-0000-00001A100000}"/>
    <cellStyle name="Normal 3 4 2 2 2" xfId="4208" xr:uid="{00000000-0005-0000-0000-00001B100000}"/>
    <cellStyle name="Normal 3 4 2 2 2 2" xfId="4984" xr:uid="{00000000-0005-0000-0000-00001C100000}"/>
    <cellStyle name="Normal 3 4 2 2 3" xfId="4983" xr:uid="{00000000-0005-0000-0000-00001D100000}"/>
    <cellStyle name="Normal 3 4 2 3" xfId="2999" xr:uid="{00000000-0005-0000-0000-00001E100000}"/>
    <cellStyle name="Normal 3 4 2 4" xfId="4207" xr:uid="{00000000-0005-0000-0000-00001F100000}"/>
    <cellStyle name="Normal 3 4 2 4 2" xfId="4985" xr:uid="{00000000-0005-0000-0000-000020100000}"/>
    <cellStyle name="Normal 3 4 2 5" xfId="4982" xr:uid="{00000000-0005-0000-0000-000021100000}"/>
    <cellStyle name="Normal 3 4 3" xfId="3000" xr:uid="{00000000-0005-0000-0000-000022100000}"/>
    <cellStyle name="Normal 3 4 3 2" xfId="4209" xr:uid="{00000000-0005-0000-0000-000023100000}"/>
    <cellStyle name="Normal 3 4 3 2 2" xfId="4987" xr:uid="{00000000-0005-0000-0000-000024100000}"/>
    <cellStyle name="Normal 3 4 3 3" xfId="4986" xr:uid="{00000000-0005-0000-0000-000025100000}"/>
    <cellStyle name="Normal 3 4 4" xfId="3001" xr:uid="{00000000-0005-0000-0000-000026100000}"/>
    <cellStyle name="Normal 3 4 4 2" xfId="4210" xr:uid="{00000000-0005-0000-0000-000027100000}"/>
    <cellStyle name="Normal 3 4 4 2 2" xfId="4989" xr:uid="{00000000-0005-0000-0000-000028100000}"/>
    <cellStyle name="Normal 3 4 4 3" xfId="4988" xr:uid="{00000000-0005-0000-0000-000029100000}"/>
    <cellStyle name="Normal 3 4 5" xfId="3002" xr:uid="{00000000-0005-0000-0000-00002A100000}"/>
    <cellStyle name="Normal 3 4 5 2" xfId="4211" xr:uid="{00000000-0005-0000-0000-00002B100000}"/>
    <cellStyle name="Normal 3 4 5 2 2" xfId="4991" xr:uid="{00000000-0005-0000-0000-00002C100000}"/>
    <cellStyle name="Normal 3 4 5 3" xfId="4990" xr:uid="{00000000-0005-0000-0000-00002D100000}"/>
    <cellStyle name="Normal 3 4 6" xfId="3003" xr:uid="{00000000-0005-0000-0000-00002E100000}"/>
    <cellStyle name="Normal 3 4 7" xfId="3004" xr:uid="{00000000-0005-0000-0000-00002F100000}"/>
    <cellStyle name="Normal 3 4 7 2" xfId="4212" xr:uid="{00000000-0005-0000-0000-000030100000}"/>
    <cellStyle name="Normal 3 4 7 2 2" xfId="4993" xr:uid="{00000000-0005-0000-0000-000031100000}"/>
    <cellStyle name="Normal 3 4 7 3" xfId="4992" xr:uid="{00000000-0005-0000-0000-000032100000}"/>
    <cellStyle name="Normal 3 4 8" xfId="4206" xr:uid="{00000000-0005-0000-0000-000033100000}"/>
    <cellStyle name="Normal 3 4 8 2" xfId="4994" xr:uid="{00000000-0005-0000-0000-000034100000}"/>
    <cellStyle name="Normal 3 4 9" xfId="4981" xr:uid="{00000000-0005-0000-0000-000035100000}"/>
    <cellStyle name="Normal 3 5" xfId="3005" xr:uid="{00000000-0005-0000-0000-000036100000}"/>
    <cellStyle name="Normal 3 5 2" xfId="3006" xr:uid="{00000000-0005-0000-0000-000037100000}"/>
    <cellStyle name="Normal 3 5 3" xfId="3007" xr:uid="{00000000-0005-0000-0000-000038100000}"/>
    <cellStyle name="Normal 3 5 3 2" xfId="4214" xr:uid="{00000000-0005-0000-0000-000039100000}"/>
    <cellStyle name="Normal 3 5 3 2 2" xfId="4997" xr:uid="{00000000-0005-0000-0000-00003A100000}"/>
    <cellStyle name="Normal 3 5 3 3" xfId="4996" xr:uid="{00000000-0005-0000-0000-00003B100000}"/>
    <cellStyle name="Normal 3 5 4" xfId="3008" xr:uid="{00000000-0005-0000-0000-00003C100000}"/>
    <cellStyle name="Normal 3 5 5" xfId="4213" xr:uid="{00000000-0005-0000-0000-00003D100000}"/>
    <cellStyle name="Normal 3 5 5 2" xfId="4998" xr:uid="{00000000-0005-0000-0000-00003E100000}"/>
    <cellStyle name="Normal 3 5 6" xfId="4995" xr:uid="{00000000-0005-0000-0000-00003F100000}"/>
    <cellStyle name="Normal 3 6" xfId="3009" xr:uid="{00000000-0005-0000-0000-000040100000}"/>
    <cellStyle name="Normal 3 6 2" xfId="3010" xr:uid="{00000000-0005-0000-0000-000041100000}"/>
    <cellStyle name="Normal 3 6 2 2" xfId="4216" xr:uid="{00000000-0005-0000-0000-000042100000}"/>
    <cellStyle name="Normal 3 6 2 2 2" xfId="5001" xr:uid="{00000000-0005-0000-0000-000043100000}"/>
    <cellStyle name="Normal 3 6 2 3" xfId="5000" xr:uid="{00000000-0005-0000-0000-000044100000}"/>
    <cellStyle name="Normal 3 6 3" xfId="3011" xr:uid="{00000000-0005-0000-0000-000045100000}"/>
    <cellStyle name="Normal 3 6 4" xfId="4215" xr:uid="{00000000-0005-0000-0000-000046100000}"/>
    <cellStyle name="Normal 3 6 4 2" xfId="5002" xr:uid="{00000000-0005-0000-0000-000047100000}"/>
    <cellStyle name="Normal 3 6 5" xfId="4999" xr:uid="{00000000-0005-0000-0000-000048100000}"/>
    <cellStyle name="Normal 3 7" xfId="3012" xr:uid="{00000000-0005-0000-0000-000049100000}"/>
    <cellStyle name="Normal 3 7 2" xfId="3013" xr:uid="{00000000-0005-0000-0000-00004A100000}"/>
    <cellStyle name="Normal 3 7 2 2" xfId="4218" xr:uid="{00000000-0005-0000-0000-00004B100000}"/>
    <cellStyle name="Normal 3 7 2 2 2" xfId="5005" xr:uid="{00000000-0005-0000-0000-00004C100000}"/>
    <cellStyle name="Normal 3 7 2 3" xfId="5004" xr:uid="{00000000-0005-0000-0000-00004D100000}"/>
    <cellStyle name="Normal 3 7 3" xfId="3014" xr:uid="{00000000-0005-0000-0000-00004E100000}"/>
    <cellStyle name="Normal 3 7 4" xfId="4217" xr:uid="{00000000-0005-0000-0000-00004F100000}"/>
    <cellStyle name="Normal 3 7 4 2" xfId="5006" xr:uid="{00000000-0005-0000-0000-000050100000}"/>
    <cellStyle name="Normal 3 7 5" xfId="5003" xr:uid="{00000000-0005-0000-0000-000051100000}"/>
    <cellStyle name="Normal 3 8" xfId="3015" xr:uid="{00000000-0005-0000-0000-000052100000}"/>
    <cellStyle name="Normal 3 9" xfId="3016" xr:uid="{00000000-0005-0000-0000-000053100000}"/>
    <cellStyle name="Normal 3_Compare" xfId="3017" xr:uid="{00000000-0005-0000-0000-000054100000}"/>
    <cellStyle name="Normal 30" xfId="3018" xr:uid="{00000000-0005-0000-0000-000055100000}"/>
    <cellStyle name="Normal 30 2" xfId="3019" xr:uid="{00000000-0005-0000-0000-000056100000}"/>
    <cellStyle name="Normal 30 2 2" xfId="4219" xr:uid="{00000000-0005-0000-0000-000057100000}"/>
    <cellStyle name="Normal 30 2 2 2" xfId="5008" xr:uid="{00000000-0005-0000-0000-000058100000}"/>
    <cellStyle name="Normal 30 2 3" xfId="5007" xr:uid="{00000000-0005-0000-0000-000059100000}"/>
    <cellStyle name="Normal 30 3" xfId="3020" xr:uid="{00000000-0005-0000-0000-00005A100000}"/>
    <cellStyle name="Normal 30 4" xfId="3021" xr:uid="{00000000-0005-0000-0000-00005B100000}"/>
    <cellStyle name="Normal 30 5" xfId="3022" xr:uid="{00000000-0005-0000-0000-00005C100000}"/>
    <cellStyle name="Normal 30 5 2" xfId="4220" xr:uid="{00000000-0005-0000-0000-00005D100000}"/>
    <cellStyle name="Normal 30 5 2 2" xfId="5010" xr:uid="{00000000-0005-0000-0000-00005E100000}"/>
    <cellStyle name="Normal 30 5 3" xfId="5009" xr:uid="{00000000-0005-0000-0000-00005F100000}"/>
    <cellStyle name="Normal 31" xfId="3023" xr:uid="{00000000-0005-0000-0000-000060100000}"/>
    <cellStyle name="Normal 31 2" xfId="3024" xr:uid="{00000000-0005-0000-0000-000061100000}"/>
    <cellStyle name="Normal 31 2 2" xfId="4221" xr:uid="{00000000-0005-0000-0000-000062100000}"/>
    <cellStyle name="Normal 31 2 2 2" xfId="5012" xr:uid="{00000000-0005-0000-0000-000063100000}"/>
    <cellStyle name="Normal 31 2 3" xfId="5011" xr:uid="{00000000-0005-0000-0000-000064100000}"/>
    <cellStyle name="Normal 31 2 4" xfId="6162" xr:uid="{3EFB1912-8D2C-4D24-B6B0-4C1E456695AA}"/>
    <cellStyle name="Normal 31 3" xfId="3025" xr:uid="{00000000-0005-0000-0000-000065100000}"/>
    <cellStyle name="Normal 31 4" xfId="3026" xr:uid="{00000000-0005-0000-0000-000066100000}"/>
    <cellStyle name="Normal 31 5" xfId="3027" xr:uid="{00000000-0005-0000-0000-000067100000}"/>
    <cellStyle name="Normal 31 5 2" xfId="4222" xr:uid="{00000000-0005-0000-0000-000068100000}"/>
    <cellStyle name="Normal 31 5 2 2" xfId="5014" xr:uid="{00000000-0005-0000-0000-000069100000}"/>
    <cellStyle name="Normal 31 5 3" xfId="5013" xr:uid="{00000000-0005-0000-0000-00006A100000}"/>
    <cellStyle name="Normal 32" xfId="3028" xr:uid="{00000000-0005-0000-0000-00006B100000}"/>
    <cellStyle name="Normal 32 2" xfId="3029" xr:uid="{00000000-0005-0000-0000-00006C100000}"/>
    <cellStyle name="Normal 32 2 2" xfId="3030" xr:uid="{00000000-0005-0000-0000-00006D100000}"/>
    <cellStyle name="Normal 32 2 2 2" xfId="4224" xr:uid="{00000000-0005-0000-0000-00006E100000}"/>
    <cellStyle name="Normal 32 2 2 2 2" xfId="5017" xr:uid="{00000000-0005-0000-0000-00006F100000}"/>
    <cellStyle name="Normal 32 2 2 3" xfId="5016" xr:uid="{00000000-0005-0000-0000-000070100000}"/>
    <cellStyle name="Normal 32 2 3" xfId="3031" xr:uid="{00000000-0005-0000-0000-000071100000}"/>
    <cellStyle name="Normal 32 2 4" xfId="4223" xr:uid="{00000000-0005-0000-0000-000072100000}"/>
    <cellStyle name="Normal 32 2 4 2" xfId="5018" xr:uid="{00000000-0005-0000-0000-000073100000}"/>
    <cellStyle name="Normal 32 2 5" xfId="5015" xr:uid="{00000000-0005-0000-0000-000074100000}"/>
    <cellStyle name="Normal 32 3" xfId="3032" xr:uid="{00000000-0005-0000-0000-000075100000}"/>
    <cellStyle name="Normal 32 4" xfId="3033" xr:uid="{00000000-0005-0000-0000-000076100000}"/>
    <cellStyle name="Normal 32 5" xfId="3034" xr:uid="{00000000-0005-0000-0000-000077100000}"/>
    <cellStyle name="Normal 32 5 2" xfId="4225" xr:uid="{00000000-0005-0000-0000-000078100000}"/>
    <cellStyle name="Normal 32 5 2 2" xfId="5020" xr:uid="{00000000-0005-0000-0000-000079100000}"/>
    <cellStyle name="Normal 32 5 3" xfId="5019" xr:uid="{00000000-0005-0000-0000-00007A100000}"/>
    <cellStyle name="Normal 33" xfId="3035" xr:uid="{00000000-0005-0000-0000-00007B100000}"/>
    <cellStyle name="Normal 33 2" xfId="3036" xr:uid="{00000000-0005-0000-0000-00007C100000}"/>
    <cellStyle name="Normal 33 2 2" xfId="3037" xr:uid="{00000000-0005-0000-0000-00007D100000}"/>
    <cellStyle name="Normal 33 2 2 2" xfId="4227" xr:uid="{00000000-0005-0000-0000-00007E100000}"/>
    <cellStyle name="Normal 33 2 2 2 2" xfId="5023" xr:uid="{00000000-0005-0000-0000-00007F100000}"/>
    <cellStyle name="Normal 33 2 2 3" xfId="5022" xr:uid="{00000000-0005-0000-0000-000080100000}"/>
    <cellStyle name="Normal 33 2 3" xfId="3038" xr:uid="{00000000-0005-0000-0000-000081100000}"/>
    <cellStyle name="Normal 33 2 4" xfId="4226" xr:uid="{00000000-0005-0000-0000-000082100000}"/>
    <cellStyle name="Normal 33 2 4 2" xfId="5024" xr:uid="{00000000-0005-0000-0000-000083100000}"/>
    <cellStyle name="Normal 33 2 5" xfId="5021" xr:uid="{00000000-0005-0000-0000-000084100000}"/>
    <cellStyle name="Normal 33 3" xfId="3039" xr:uid="{00000000-0005-0000-0000-000085100000}"/>
    <cellStyle name="Normal 33 4" xfId="3040" xr:uid="{00000000-0005-0000-0000-000086100000}"/>
    <cellStyle name="Normal 33 5" xfId="3041" xr:uid="{00000000-0005-0000-0000-000087100000}"/>
    <cellStyle name="Normal 33 5 2" xfId="4228" xr:uid="{00000000-0005-0000-0000-000088100000}"/>
    <cellStyle name="Normal 33 5 2 2" xfId="5026" xr:uid="{00000000-0005-0000-0000-000089100000}"/>
    <cellStyle name="Normal 33 5 3" xfId="5025" xr:uid="{00000000-0005-0000-0000-00008A100000}"/>
    <cellStyle name="Normal 34" xfId="3042" xr:uid="{00000000-0005-0000-0000-00008B100000}"/>
    <cellStyle name="Normal 34 2" xfId="3043" xr:uid="{00000000-0005-0000-0000-00008C100000}"/>
    <cellStyle name="Normal 34 2 2" xfId="3044" xr:uid="{00000000-0005-0000-0000-00008D100000}"/>
    <cellStyle name="Normal 34 2 2 2" xfId="4230" xr:uid="{00000000-0005-0000-0000-00008E100000}"/>
    <cellStyle name="Normal 34 2 2 2 2" xfId="5029" xr:uid="{00000000-0005-0000-0000-00008F100000}"/>
    <cellStyle name="Normal 34 2 2 3" xfId="5028" xr:uid="{00000000-0005-0000-0000-000090100000}"/>
    <cellStyle name="Normal 34 2 3" xfId="3045" xr:uid="{00000000-0005-0000-0000-000091100000}"/>
    <cellStyle name="Normal 34 2 4" xfId="4229" xr:uid="{00000000-0005-0000-0000-000092100000}"/>
    <cellStyle name="Normal 34 2 4 2" xfId="5030" xr:uid="{00000000-0005-0000-0000-000093100000}"/>
    <cellStyle name="Normal 34 2 5" xfId="5027" xr:uid="{00000000-0005-0000-0000-000094100000}"/>
    <cellStyle name="Normal 34 3" xfId="3046" xr:uid="{00000000-0005-0000-0000-000095100000}"/>
    <cellStyle name="Normal 34 4" xfId="3047" xr:uid="{00000000-0005-0000-0000-000096100000}"/>
    <cellStyle name="Normal 34 5" xfId="3048" xr:uid="{00000000-0005-0000-0000-000097100000}"/>
    <cellStyle name="Normal 34 5 2" xfId="4231" xr:uid="{00000000-0005-0000-0000-000098100000}"/>
    <cellStyle name="Normal 34 5 2 2" xfId="5032" xr:uid="{00000000-0005-0000-0000-000099100000}"/>
    <cellStyle name="Normal 34 5 3" xfId="5031" xr:uid="{00000000-0005-0000-0000-00009A100000}"/>
    <cellStyle name="Normal 35" xfId="3049" xr:uid="{00000000-0005-0000-0000-00009B100000}"/>
    <cellStyle name="Normal 35 2" xfId="3050" xr:uid="{00000000-0005-0000-0000-00009C100000}"/>
    <cellStyle name="Normal 35 2 2" xfId="3051" xr:uid="{00000000-0005-0000-0000-00009D100000}"/>
    <cellStyle name="Normal 35 2 2 2" xfId="4233" xr:uid="{00000000-0005-0000-0000-00009E100000}"/>
    <cellStyle name="Normal 35 2 2 2 2" xfId="5035" xr:uid="{00000000-0005-0000-0000-00009F100000}"/>
    <cellStyle name="Normal 35 2 2 3" xfId="5034" xr:uid="{00000000-0005-0000-0000-0000A0100000}"/>
    <cellStyle name="Normal 35 2 3" xfId="3052" xr:uid="{00000000-0005-0000-0000-0000A1100000}"/>
    <cellStyle name="Normal 35 2 4" xfId="4232" xr:uid="{00000000-0005-0000-0000-0000A2100000}"/>
    <cellStyle name="Normal 35 2 4 2" xfId="5036" xr:uid="{00000000-0005-0000-0000-0000A3100000}"/>
    <cellStyle name="Normal 35 2 5" xfId="5033" xr:uid="{00000000-0005-0000-0000-0000A4100000}"/>
    <cellStyle name="Normal 35 3" xfId="3053" xr:uid="{00000000-0005-0000-0000-0000A5100000}"/>
    <cellStyle name="Normal 35 4" xfId="3054" xr:uid="{00000000-0005-0000-0000-0000A6100000}"/>
    <cellStyle name="Normal 35 5" xfId="3055" xr:uid="{00000000-0005-0000-0000-0000A7100000}"/>
    <cellStyle name="Normal 35 5 2" xfId="4234" xr:uid="{00000000-0005-0000-0000-0000A8100000}"/>
    <cellStyle name="Normal 35 5 2 2" xfId="5038" xr:uid="{00000000-0005-0000-0000-0000A9100000}"/>
    <cellStyle name="Normal 35 5 3" xfId="5037" xr:uid="{00000000-0005-0000-0000-0000AA100000}"/>
    <cellStyle name="Normal 36" xfId="3056" xr:uid="{00000000-0005-0000-0000-0000AB100000}"/>
    <cellStyle name="Normal 36 2" xfId="3057" xr:uid="{00000000-0005-0000-0000-0000AC100000}"/>
    <cellStyle name="Normal 36 2 2" xfId="3058" xr:uid="{00000000-0005-0000-0000-0000AD100000}"/>
    <cellStyle name="Normal 36 2 2 2" xfId="4236" xr:uid="{00000000-0005-0000-0000-0000AE100000}"/>
    <cellStyle name="Normal 36 2 2 2 2" xfId="5041" xr:uid="{00000000-0005-0000-0000-0000AF100000}"/>
    <cellStyle name="Normal 36 2 2 3" xfId="5040" xr:uid="{00000000-0005-0000-0000-0000B0100000}"/>
    <cellStyle name="Normal 36 2 3" xfId="3059" xr:uid="{00000000-0005-0000-0000-0000B1100000}"/>
    <cellStyle name="Normal 36 2 4" xfId="4235" xr:uid="{00000000-0005-0000-0000-0000B2100000}"/>
    <cellStyle name="Normal 36 2 4 2" xfId="5042" xr:uid="{00000000-0005-0000-0000-0000B3100000}"/>
    <cellStyle name="Normal 36 2 5" xfId="5039" xr:uid="{00000000-0005-0000-0000-0000B4100000}"/>
    <cellStyle name="Normal 36 3" xfId="3060" xr:uid="{00000000-0005-0000-0000-0000B5100000}"/>
    <cellStyle name="Normal 36 4" xfId="3061" xr:uid="{00000000-0005-0000-0000-0000B6100000}"/>
    <cellStyle name="Normal 36 5" xfId="3062" xr:uid="{00000000-0005-0000-0000-0000B7100000}"/>
    <cellStyle name="Normal 36 5 2" xfId="4237" xr:uid="{00000000-0005-0000-0000-0000B8100000}"/>
    <cellStyle name="Normal 36 5 2 2" xfId="5044" xr:uid="{00000000-0005-0000-0000-0000B9100000}"/>
    <cellStyle name="Normal 36 5 3" xfId="5043" xr:uid="{00000000-0005-0000-0000-0000BA100000}"/>
    <cellStyle name="Normal 37" xfId="3063" xr:uid="{00000000-0005-0000-0000-0000BB100000}"/>
    <cellStyle name="Normal 37 2" xfId="3064" xr:uid="{00000000-0005-0000-0000-0000BC100000}"/>
    <cellStyle name="Normal 37 2 2" xfId="3065" xr:uid="{00000000-0005-0000-0000-0000BD100000}"/>
    <cellStyle name="Normal 37 2 2 2" xfId="4239" xr:uid="{00000000-0005-0000-0000-0000BE100000}"/>
    <cellStyle name="Normal 37 2 2 2 2" xfId="5047" xr:uid="{00000000-0005-0000-0000-0000BF100000}"/>
    <cellStyle name="Normal 37 2 2 3" xfId="5046" xr:uid="{00000000-0005-0000-0000-0000C0100000}"/>
    <cellStyle name="Normal 37 2 3" xfId="3066" xr:uid="{00000000-0005-0000-0000-0000C1100000}"/>
    <cellStyle name="Normal 37 2 4" xfId="4238" xr:uid="{00000000-0005-0000-0000-0000C2100000}"/>
    <cellStyle name="Normal 37 2 4 2" xfId="5048" xr:uid="{00000000-0005-0000-0000-0000C3100000}"/>
    <cellStyle name="Normal 37 2 5" xfId="5045" xr:uid="{00000000-0005-0000-0000-0000C4100000}"/>
    <cellStyle name="Normal 37 3" xfId="3067" xr:uid="{00000000-0005-0000-0000-0000C5100000}"/>
    <cellStyle name="Normal 37 4" xfId="3068" xr:uid="{00000000-0005-0000-0000-0000C6100000}"/>
    <cellStyle name="Normal 37 5" xfId="3069" xr:uid="{00000000-0005-0000-0000-0000C7100000}"/>
    <cellStyle name="Normal 37 5 2" xfId="4240" xr:uid="{00000000-0005-0000-0000-0000C8100000}"/>
    <cellStyle name="Normal 37 5 2 2" xfId="5050" xr:uid="{00000000-0005-0000-0000-0000C9100000}"/>
    <cellStyle name="Normal 37 5 3" xfId="5049" xr:uid="{00000000-0005-0000-0000-0000CA100000}"/>
    <cellStyle name="Normal 38" xfId="3070" xr:uid="{00000000-0005-0000-0000-0000CB100000}"/>
    <cellStyle name="Normal 38 2" xfId="3071" xr:uid="{00000000-0005-0000-0000-0000CC100000}"/>
    <cellStyle name="Normal 38 3" xfId="3072" xr:uid="{00000000-0005-0000-0000-0000CD100000}"/>
    <cellStyle name="Normal 39" xfId="3073" xr:uid="{00000000-0005-0000-0000-0000CE100000}"/>
    <cellStyle name="Normal 39 2" xfId="3074" xr:uid="{00000000-0005-0000-0000-0000CF100000}"/>
    <cellStyle name="Normal 39 3" xfId="3075" xr:uid="{00000000-0005-0000-0000-0000D0100000}"/>
    <cellStyle name="Normal 4" xfId="3076" xr:uid="{00000000-0005-0000-0000-0000D1100000}"/>
    <cellStyle name="Normal 4 10" xfId="3077" xr:uid="{00000000-0005-0000-0000-0000D2100000}"/>
    <cellStyle name="Normal 4 10 2" xfId="4242" xr:uid="{00000000-0005-0000-0000-0000D3100000}"/>
    <cellStyle name="Normal 4 10 2 2" xfId="5053" xr:uid="{00000000-0005-0000-0000-0000D4100000}"/>
    <cellStyle name="Normal 4 10 3" xfId="5052" xr:uid="{00000000-0005-0000-0000-0000D5100000}"/>
    <cellStyle name="Normal 4 11" xfId="4241" xr:uid="{00000000-0005-0000-0000-0000D6100000}"/>
    <cellStyle name="Normal 4 11 2" xfId="5054" xr:uid="{00000000-0005-0000-0000-0000D7100000}"/>
    <cellStyle name="Normal 4 12" xfId="5051" xr:uid="{00000000-0005-0000-0000-0000D8100000}"/>
    <cellStyle name="Normal 4 2" xfId="3078" xr:uid="{00000000-0005-0000-0000-0000D9100000}"/>
    <cellStyle name="Normal 4 2 10" xfId="5055" xr:uid="{00000000-0005-0000-0000-0000DA100000}"/>
    <cellStyle name="Normal 4 2 2" xfId="3079" xr:uid="{00000000-0005-0000-0000-0000DB100000}"/>
    <cellStyle name="Normal 4 2 2 10" xfId="5056" xr:uid="{00000000-0005-0000-0000-0000DC100000}"/>
    <cellStyle name="Normal 4 2 2 2" xfId="3080" xr:uid="{00000000-0005-0000-0000-0000DD100000}"/>
    <cellStyle name="Normal 4 2 2 2 2" xfId="3081" xr:uid="{00000000-0005-0000-0000-0000DE100000}"/>
    <cellStyle name="Normal 4 2 2 2 2 2" xfId="4246" xr:uid="{00000000-0005-0000-0000-0000DF100000}"/>
    <cellStyle name="Normal 4 2 2 2 2 2 2" xfId="5059" xr:uid="{00000000-0005-0000-0000-0000E0100000}"/>
    <cellStyle name="Normal 4 2 2 2 2 3" xfId="5058" xr:uid="{00000000-0005-0000-0000-0000E1100000}"/>
    <cellStyle name="Normal 4 2 2 2 3" xfId="3082" xr:uid="{00000000-0005-0000-0000-0000E2100000}"/>
    <cellStyle name="Normal 4 2 2 2 3 2" xfId="4247" xr:uid="{00000000-0005-0000-0000-0000E3100000}"/>
    <cellStyle name="Normal 4 2 2 2 3 2 2" xfId="5061" xr:uid="{00000000-0005-0000-0000-0000E4100000}"/>
    <cellStyle name="Normal 4 2 2 2 3 3" xfId="5060" xr:uid="{00000000-0005-0000-0000-0000E5100000}"/>
    <cellStyle name="Normal 4 2 2 2 4" xfId="3083" xr:uid="{00000000-0005-0000-0000-0000E6100000}"/>
    <cellStyle name="Normal 4 2 2 2 4 2" xfId="4248" xr:uid="{00000000-0005-0000-0000-0000E7100000}"/>
    <cellStyle name="Normal 4 2 2 2 4 2 2" xfId="5063" xr:uid="{00000000-0005-0000-0000-0000E8100000}"/>
    <cellStyle name="Normal 4 2 2 2 4 3" xfId="5062" xr:uid="{00000000-0005-0000-0000-0000E9100000}"/>
    <cellStyle name="Normal 4 2 2 2 5" xfId="3084" xr:uid="{00000000-0005-0000-0000-0000EA100000}"/>
    <cellStyle name="Normal 4 2 2 2 5 2" xfId="4249" xr:uid="{00000000-0005-0000-0000-0000EB100000}"/>
    <cellStyle name="Normal 4 2 2 2 5 2 2" xfId="5065" xr:uid="{00000000-0005-0000-0000-0000EC100000}"/>
    <cellStyle name="Normal 4 2 2 2 5 3" xfId="5064" xr:uid="{00000000-0005-0000-0000-0000ED100000}"/>
    <cellStyle name="Normal 4 2 2 2 6" xfId="3085" xr:uid="{00000000-0005-0000-0000-0000EE100000}"/>
    <cellStyle name="Normal 4 2 2 2 7" xfId="4245" xr:uid="{00000000-0005-0000-0000-0000EF100000}"/>
    <cellStyle name="Normal 4 2 2 2 7 2" xfId="5066" xr:uid="{00000000-0005-0000-0000-0000F0100000}"/>
    <cellStyle name="Normal 4 2 2 2 8" xfId="5057" xr:uid="{00000000-0005-0000-0000-0000F1100000}"/>
    <cellStyle name="Normal 4 2 2 3" xfId="3086" xr:uid="{00000000-0005-0000-0000-0000F2100000}"/>
    <cellStyle name="Normal 4 2 2 3 2" xfId="4250" xr:uid="{00000000-0005-0000-0000-0000F3100000}"/>
    <cellStyle name="Normal 4 2 2 3 2 2" xfId="5068" xr:uid="{00000000-0005-0000-0000-0000F4100000}"/>
    <cellStyle name="Normal 4 2 2 3 3" xfId="5067" xr:uid="{00000000-0005-0000-0000-0000F5100000}"/>
    <cellStyle name="Normal 4 2 2 4" xfId="3087" xr:uid="{00000000-0005-0000-0000-0000F6100000}"/>
    <cellStyle name="Normal 4 2 2 4 2" xfId="4251" xr:uid="{00000000-0005-0000-0000-0000F7100000}"/>
    <cellStyle name="Normal 4 2 2 4 2 2" xfId="5070" xr:uid="{00000000-0005-0000-0000-0000F8100000}"/>
    <cellStyle name="Normal 4 2 2 4 3" xfId="5069" xr:uid="{00000000-0005-0000-0000-0000F9100000}"/>
    <cellStyle name="Normal 4 2 2 5" xfId="3088" xr:uid="{00000000-0005-0000-0000-0000FA100000}"/>
    <cellStyle name="Normal 4 2 2 5 2" xfId="4252" xr:uid="{00000000-0005-0000-0000-0000FB100000}"/>
    <cellStyle name="Normal 4 2 2 5 2 2" xfId="5072" xr:uid="{00000000-0005-0000-0000-0000FC100000}"/>
    <cellStyle name="Normal 4 2 2 5 3" xfId="5071" xr:uid="{00000000-0005-0000-0000-0000FD100000}"/>
    <cellStyle name="Normal 4 2 2 6" xfId="3089" xr:uid="{00000000-0005-0000-0000-0000FE100000}"/>
    <cellStyle name="Normal 4 2 2 6 2" xfId="4253" xr:uid="{00000000-0005-0000-0000-0000FF100000}"/>
    <cellStyle name="Normal 4 2 2 6 2 2" xfId="5074" xr:uid="{00000000-0005-0000-0000-000000110000}"/>
    <cellStyle name="Normal 4 2 2 6 3" xfId="5073" xr:uid="{00000000-0005-0000-0000-000001110000}"/>
    <cellStyle name="Normal 4 2 2 7" xfId="3090" xr:uid="{00000000-0005-0000-0000-000002110000}"/>
    <cellStyle name="Normal 4 2 2 8" xfId="3091" xr:uid="{00000000-0005-0000-0000-000003110000}"/>
    <cellStyle name="Normal 4 2 2 8 2" xfId="4254" xr:uid="{00000000-0005-0000-0000-000004110000}"/>
    <cellStyle name="Normal 4 2 2 8 2 2" xfId="5076" xr:uid="{00000000-0005-0000-0000-000005110000}"/>
    <cellStyle name="Normal 4 2 2 8 3" xfId="5075" xr:uid="{00000000-0005-0000-0000-000006110000}"/>
    <cellStyle name="Normal 4 2 2 9" xfId="4244" xr:uid="{00000000-0005-0000-0000-000007110000}"/>
    <cellStyle name="Normal 4 2 2 9 2" xfId="5077" xr:uid="{00000000-0005-0000-0000-000008110000}"/>
    <cellStyle name="Normal 4 2 3" xfId="3092" xr:uid="{00000000-0005-0000-0000-000009110000}"/>
    <cellStyle name="Normal 4 2 3 2" xfId="3093" xr:uid="{00000000-0005-0000-0000-00000A110000}"/>
    <cellStyle name="Normal 4 2 3 2 2" xfId="4256" xr:uid="{00000000-0005-0000-0000-00000B110000}"/>
    <cellStyle name="Normal 4 2 3 2 2 2" xfId="5080" xr:uid="{00000000-0005-0000-0000-00000C110000}"/>
    <cellStyle name="Normal 4 2 3 2 3" xfId="5079" xr:uid="{00000000-0005-0000-0000-00000D110000}"/>
    <cellStyle name="Normal 4 2 3 3" xfId="3094" xr:uid="{00000000-0005-0000-0000-00000E110000}"/>
    <cellStyle name="Normal 4 2 3 3 2" xfId="4257" xr:uid="{00000000-0005-0000-0000-00000F110000}"/>
    <cellStyle name="Normal 4 2 3 3 2 2" xfId="5082" xr:uid="{00000000-0005-0000-0000-000010110000}"/>
    <cellStyle name="Normal 4 2 3 3 3" xfId="5081" xr:uid="{00000000-0005-0000-0000-000011110000}"/>
    <cellStyle name="Normal 4 2 3 4" xfId="3095" xr:uid="{00000000-0005-0000-0000-000012110000}"/>
    <cellStyle name="Normal 4 2 3 4 2" xfId="4258" xr:uid="{00000000-0005-0000-0000-000013110000}"/>
    <cellStyle name="Normal 4 2 3 4 2 2" xfId="5084" xr:uid="{00000000-0005-0000-0000-000014110000}"/>
    <cellStyle name="Normal 4 2 3 4 3" xfId="5083" xr:uid="{00000000-0005-0000-0000-000015110000}"/>
    <cellStyle name="Normal 4 2 3 5" xfId="3096" xr:uid="{00000000-0005-0000-0000-000016110000}"/>
    <cellStyle name="Normal 4 2 3 6" xfId="3097" xr:uid="{00000000-0005-0000-0000-000017110000}"/>
    <cellStyle name="Normal 4 2 3 6 2" xfId="4259" xr:uid="{00000000-0005-0000-0000-000018110000}"/>
    <cellStyle name="Normal 4 2 3 6 2 2" xfId="5086" xr:uid="{00000000-0005-0000-0000-000019110000}"/>
    <cellStyle name="Normal 4 2 3 6 3" xfId="5085" xr:uid="{00000000-0005-0000-0000-00001A110000}"/>
    <cellStyle name="Normal 4 2 3 7" xfId="3098" xr:uid="{00000000-0005-0000-0000-00001B110000}"/>
    <cellStyle name="Normal 4 2 3 8" xfId="4255" xr:uid="{00000000-0005-0000-0000-00001C110000}"/>
    <cellStyle name="Normal 4 2 3 8 2" xfId="5087" xr:uid="{00000000-0005-0000-0000-00001D110000}"/>
    <cellStyle name="Normal 4 2 3 9" xfId="5078" xr:uid="{00000000-0005-0000-0000-00001E110000}"/>
    <cellStyle name="Normal 4 2 4" xfId="3099" xr:uid="{00000000-0005-0000-0000-00001F110000}"/>
    <cellStyle name="Normal 4 2 4 2" xfId="4260" xr:uid="{00000000-0005-0000-0000-000020110000}"/>
    <cellStyle name="Normal 4 2 4 2 2" xfId="5089" xr:uid="{00000000-0005-0000-0000-000021110000}"/>
    <cellStyle name="Normal 4 2 4 3" xfId="5088" xr:uid="{00000000-0005-0000-0000-000022110000}"/>
    <cellStyle name="Normal 4 2 5" xfId="3100" xr:uid="{00000000-0005-0000-0000-000023110000}"/>
    <cellStyle name="Normal 4 2 5 2" xfId="4261" xr:uid="{00000000-0005-0000-0000-000024110000}"/>
    <cellStyle name="Normal 4 2 5 2 2" xfId="5091" xr:uid="{00000000-0005-0000-0000-000025110000}"/>
    <cellStyle name="Normal 4 2 5 3" xfId="5090" xr:uid="{00000000-0005-0000-0000-000026110000}"/>
    <cellStyle name="Normal 4 2 6" xfId="3101" xr:uid="{00000000-0005-0000-0000-000027110000}"/>
    <cellStyle name="Normal 4 2 6 2" xfId="4262" xr:uid="{00000000-0005-0000-0000-000028110000}"/>
    <cellStyle name="Normal 4 2 6 2 2" xfId="5093" xr:uid="{00000000-0005-0000-0000-000029110000}"/>
    <cellStyle name="Normal 4 2 6 3" xfId="5092" xr:uid="{00000000-0005-0000-0000-00002A110000}"/>
    <cellStyle name="Normal 4 2 7" xfId="3102" xr:uid="{00000000-0005-0000-0000-00002B110000}"/>
    <cellStyle name="Normal 4 2 8" xfId="3103" xr:uid="{00000000-0005-0000-0000-00002C110000}"/>
    <cellStyle name="Normal 4 2 8 2" xfId="4263" xr:uid="{00000000-0005-0000-0000-00002D110000}"/>
    <cellStyle name="Normal 4 2 8 2 2" xfId="5095" xr:uid="{00000000-0005-0000-0000-00002E110000}"/>
    <cellStyle name="Normal 4 2 8 3" xfId="5094" xr:uid="{00000000-0005-0000-0000-00002F110000}"/>
    <cellStyle name="Normal 4 2 9" xfId="4243" xr:uid="{00000000-0005-0000-0000-000030110000}"/>
    <cellStyle name="Normal 4 2 9 2" xfId="5096" xr:uid="{00000000-0005-0000-0000-000031110000}"/>
    <cellStyle name="Normal 4 3" xfId="3104" xr:uid="{00000000-0005-0000-0000-000032110000}"/>
    <cellStyle name="Normal 4 3 10" xfId="5097" xr:uid="{00000000-0005-0000-0000-000033110000}"/>
    <cellStyle name="Normal 4 3 2" xfId="3105" xr:uid="{00000000-0005-0000-0000-000034110000}"/>
    <cellStyle name="Normal 4 3 2 2" xfId="3106" xr:uid="{00000000-0005-0000-0000-000035110000}"/>
    <cellStyle name="Normal 4 3 2 2 2" xfId="4266" xr:uid="{00000000-0005-0000-0000-000036110000}"/>
    <cellStyle name="Normal 4 3 2 2 2 2" xfId="5100" xr:uid="{00000000-0005-0000-0000-000037110000}"/>
    <cellStyle name="Normal 4 3 2 2 3" xfId="5099" xr:uid="{00000000-0005-0000-0000-000038110000}"/>
    <cellStyle name="Normal 4 3 2 3" xfId="3107" xr:uid="{00000000-0005-0000-0000-000039110000}"/>
    <cellStyle name="Normal 4 3 2 3 2" xfId="4267" xr:uid="{00000000-0005-0000-0000-00003A110000}"/>
    <cellStyle name="Normal 4 3 2 3 2 2" xfId="5102" xr:uid="{00000000-0005-0000-0000-00003B110000}"/>
    <cellStyle name="Normal 4 3 2 3 3" xfId="5101" xr:uid="{00000000-0005-0000-0000-00003C110000}"/>
    <cellStyle name="Normal 4 3 2 4" xfId="3108" xr:uid="{00000000-0005-0000-0000-00003D110000}"/>
    <cellStyle name="Normal 4 3 2 4 2" xfId="4268" xr:uid="{00000000-0005-0000-0000-00003E110000}"/>
    <cellStyle name="Normal 4 3 2 4 2 2" xfId="5104" xr:uid="{00000000-0005-0000-0000-00003F110000}"/>
    <cellStyle name="Normal 4 3 2 4 3" xfId="5103" xr:uid="{00000000-0005-0000-0000-000040110000}"/>
    <cellStyle name="Normal 4 3 2 5" xfId="3109" xr:uid="{00000000-0005-0000-0000-000041110000}"/>
    <cellStyle name="Normal 4 3 2 5 2" xfId="4269" xr:uid="{00000000-0005-0000-0000-000042110000}"/>
    <cellStyle name="Normal 4 3 2 5 2 2" xfId="5106" xr:uid="{00000000-0005-0000-0000-000043110000}"/>
    <cellStyle name="Normal 4 3 2 5 3" xfId="5105" xr:uid="{00000000-0005-0000-0000-000044110000}"/>
    <cellStyle name="Normal 4 3 2 6" xfId="3110" xr:uid="{00000000-0005-0000-0000-000045110000}"/>
    <cellStyle name="Normal 4 3 2 7" xfId="4265" xr:uid="{00000000-0005-0000-0000-000046110000}"/>
    <cellStyle name="Normal 4 3 2 7 2" xfId="5107" xr:uid="{00000000-0005-0000-0000-000047110000}"/>
    <cellStyle name="Normal 4 3 2 8" xfId="5098" xr:uid="{00000000-0005-0000-0000-000048110000}"/>
    <cellStyle name="Normal 4 3 3" xfId="3111" xr:uid="{00000000-0005-0000-0000-000049110000}"/>
    <cellStyle name="Normal 4 3 3 2" xfId="4270" xr:uid="{00000000-0005-0000-0000-00004A110000}"/>
    <cellStyle name="Normal 4 3 3 2 2" xfId="5109" xr:uid="{00000000-0005-0000-0000-00004B110000}"/>
    <cellStyle name="Normal 4 3 3 3" xfId="5108" xr:uid="{00000000-0005-0000-0000-00004C110000}"/>
    <cellStyle name="Normal 4 3 4" xfId="3112" xr:uid="{00000000-0005-0000-0000-00004D110000}"/>
    <cellStyle name="Normal 4 3 4 2" xfId="4271" xr:uid="{00000000-0005-0000-0000-00004E110000}"/>
    <cellStyle name="Normal 4 3 4 2 2" xfId="5111" xr:uid="{00000000-0005-0000-0000-00004F110000}"/>
    <cellStyle name="Normal 4 3 4 3" xfId="5110" xr:uid="{00000000-0005-0000-0000-000050110000}"/>
    <cellStyle name="Normal 4 3 5" xfId="3113" xr:uid="{00000000-0005-0000-0000-000051110000}"/>
    <cellStyle name="Normal 4 3 5 2" xfId="4272" xr:uid="{00000000-0005-0000-0000-000052110000}"/>
    <cellStyle name="Normal 4 3 5 2 2" xfId="5113" xr:uid="{00000000-0005-0000-0000-000053110000}"/>
    <cellStyle name="Normal 4 3 5 3" xfId="5112" xr:uid="{00000000-0005-0000-0000-000054110000}"/>
    <cellStyle name="Normal 4 3 6" xfId="3114" xr:uid="{00000000-0005-0000-0000-000055110000}"/>
    <cellStyle name="Normal 4 3 6 2" xfId="4273" xr:uid="{00000000-0005-0000-0000-000056110000}"/>
    <cellStyle name="Normal 4 3 6 2 2" xfId="5115" xr:uid="{00000000-0005-0000-0000-000057110000}"/>
    <cellStyle name="Normal 4 3 6 3" xfId="5114" xr:uid="{00000000-0005-0000-0000-000058110000}"/>
    <cellStyle name="Normal 4 3 7" xfId="3115" xr:uid="{00000000-0005-0000-0000-000059110000}"/>
    <cellStyle name="Normal 4 3 8" xfId="3116" xr:uid="{00000000-0005-0000-0000-00005A110000}"/>
    <cellStyle name="Normal 4 3 8 2" xfId="4274" xr:uid="{00000000-0005-0000-0000-00005B110000}"/>
    <cellStyle name="Normal 4 3 8 2 2" xfId="5117" xr:uid="{00000000-0005-0000-0000-00005C110000}"/>
    <cellStyle name="Normal 4 3 8 3" xfId="5116" xr:uid="{00000000-0005-0000-0000-00005D110000}"/>
    <cellStyle name="Normal 4 3 9" xfId="4264" xr:uid="{00000000-0005-0000-0000-00005E110000}"/>
    <cellStyle name="Normal 4 3 9 2" xfId="5118" xr:uid="{00000000-0005-0000-0000-00005F110000}"/>
    <cellStyle name="Normal 4 4" xfId="3117" xr:uid="{00000000-0005-0000-0000-000060110000}"/>
    <cellStyle name="Normal 4 4 2" xfId="3118" xr:uid="{00000000-0005-0000-0000-000061110000}"/>
    <cellStyle name="Normal 4 4 2 2" xfId="4276" xr:uid="{00000000-0005-0000-0000-000062110000}"/>
    <cellStyle name="Normal 4 4 2 2 2" xfId="5121" xr:uid="{00000000-0005-0000-0000-000063110000}"/>
    <cellStyle name="Normal 4 4 2 3" xfId="5120" xr:uid="{00000000-0005-0000-0000-000064110000}"/>
    <cellStyle name="Normal 4 4 3" xfId="3119" xr:uid="{00000000-0005-0000-0000-000065110000}"/>
    <cellStyle name="Normal 4 4 3 2" xfId="4277" xr:uid="{00000000-0005-0000-0000-000066110000}"/>
    <cellStyle name="Normal 4 4 3 2 2" xfId="5123" xr:uid="{00000000-0005-0000-0000-000067110000}"/>
    <cellStyle name="Normal 4 4 3 3" xfId="5122" xr:uid="{00000000-0005-0000-0000-000068110000}"/>
    <cellStyle name="Normal 4 4 4" xfId="3120" xr:uid="{00000000-0005-0000-0000-000069110000}"/>
    <cellStyle name="Normal 4 4 4 2" xfId="4278" xr:uid="{00000000-0005-0000-0000-00006A110000}"/>
    <cellStyle name="Normal 4 4 4 2 2" xfId="5125" xr:uid="{00000000-0005-0000-0000-00006B110000}"/>
    <cellStyle name="Normal 4 4 4 3" xfId="5124" xr:uid="{00000000-0005-0000-0000-00006C110000}"/>
    <cellStyle name="Normal 4 4 5" xfId="3121" xr:uid="{00000000-0005-0000-0000-00006D110000}"/>
    <cellStyle name="Normal 4 4 6" xfId="3122" xr:uid="{00000000-0005-0000-0000-00006E110000}"/>
    <cellStyle name="Normal 4 4 6 2" xfId="4279" xr:uid="{00000000-0005-0000-0000-00006F110000}"/>
    <cellStyle name="Normal 4 4 6 2 2" xfId="5127" xr:uid="{00000000-0005-0000-0000-000070110000}"/>
    <cellStyle name="Normal 4 4 6 3" xfId="5126" xr:uid="{00000000-0005-0000-0000-000071110000}"/>
    <cellStyle name="Normal 4 4 7" xfId="3123" xr:uid="{00000000-0005-0000-0000-000072110000}"/>
    <cellStyle name="Normal 4 4 8" xfId="4275" xr:uid="{00000000-0005-0000-0000-000073110000}"/>
    <cellStyle name="Normal 4 4 8 2" xfId="5128" xr:uid="{00000000-0005-0000-0000-000074110000}"/>
    <cellStyle name="Normal 4 4 9" xfId="5119" xr:uid="{00000000-0005-0000-0000-000075110000}"/>
    <cellStyle name="Normal 4 5" xfId="3124" xr:uid="{00000000-0005-0000-0000-000076110000}"/>
    <cellStyle name="Normal 4 5 2" xfId="3125" xr:uid="{00000000-0005-0000-0000-000077110000}"/>
    <cellStyle name="Normal 4 5 2 2" xfId="4281" xr:uid="{00000000-0005-0000-0000-000078110000}"/>
    <cellStyle name="Normal 4 5 2 2 2" xfId="5131" xr:uid="{00000000-0005-0000-0000-000079110000}"/>
    <cellStyle name="Normal 4 5 2 3" xfId="5130" xr:uid="{00000000-0005-0000-0000-00007A110000}"/>
    <cellStyle name="Normal 4 5 3" xfId="3126" xr:uid="{00000000-0005-0000-0000-00007B110000}"/>
    <cellStyle name="Normal 4 5 4" xfId="3127" xr:uid="{00000000-0005-0000-0000-00007C110000}"/>
    <cellStyle name="Normal 4 5 4 2" xfId="4282" xr:uid="{00000000-0005-0000-0000-00007D110000}"/>
    <cellStyle name="Normal 4 5 4 2 2" xfId="5133" xr:uid="{00000000-0005-0000-0000-00007E110000}"/>
    <cellStyle name="Normal 4 5 4 3" xfId="5132" xr:uid="{00000000-0005-0000-0000-00007F110000}"/>
    <cellStyle name="Normal 4 5 5" xfId="4280" xr:uid="{00000000-0005-0000-0000-000080110000}"/>
    <cellStyle name="Normal 4 5 5 2" xfId="5134" xr:uid="{00000000-0005-0000-0000-000081110000}"/>
    <cellStyle name="Normal 4 5 6" xfId="5129" xr:uid="{00000000-0005-0000-0000-000082110000}"/>
    <cellStyle name="Normal 4 6" xfId="3128" xr:uid="{00000000-0005-0000-0000-000083110000}"/>
    <cellStyle name="Normal 4 6 2" xfId="3129" xr:uid="{00000000-0005-0000-0000-000084110000}"/>
    <cellStyle name="Normal 4 6 2 2" xfId="4284" xr:uid="{00000000-0005-0000-0000-000085110000}"/>
    <cellStyle name="Normal 4 6 2 2 2" xfId="5137" xr:uid="{00000000-0005-0000-0000-000086110000}"/>
    <cellStyle name="Normal 4 6 2 3" xfId="5136" xr:uid="{00000000-0005-0000-0000-000087110000}"/>
    <cellStyle name="Normal 4 6 3" xfId="3130" xr:uid="{00000000-0005-0000-0000-000088110000}"/>
    <cellStyle name="Normal 4 6 4" xfId="4283" xr:uid="{00000000-0005-0000-0000-000089110000}"/>
    <cellStyle name="Normal 4 6 4 2" xfId="5138" xr:uid="{00000000-0005-0000-0000-00008A110000}"/>
    <cellStyle name="Normal 4 6 5" xfId="5135" xr:uid="{00000000-0005-0000-0000-00008B110000}"/>
    <cellStyle name="Normal 4 7" xfId="3131" xr:uid="{00000000-0005-0000-0000-00008C110000}"/>
    <cellStyle name="Normal 4 7 2" xfId="3132" xr:uid="{00000000-0005-0000-0000-00008D110000}"/>
    <cellStyle name="Normal 4 7 2 2" xfId="4286" xr:uid="{00000000-0005-0000-0000-00008E110000}"/>
    <cellStyle name="Normal 4 7 2 2 2" xfId="5141" xr:uid="{00000000-0005-0000-0000-00008F110000}"/>
    <cellStyle name="Normal 4 7 2 3" xfId="5140" xr:uid="{00000000-0005-0000-0000-000090110000}"/>
    <cellStyle name="Normal 4 7 3" xfId="3133" xr:uid="{00000000-0005-0000-0000-000091110000}"/>
    <cellStyle name="Normal 4 7 4" xfId="4285" xr:uid="{00000000-0005-0000-0000-000092110000}"/>
    <cellStyle name="Normal 4 7 4 2" xfId="5142" xr:uid="{00000000-0005-0000-0000-000093110000}"/>
    <cellStyle name="Normal 4 7 5" xfId="5139" xr:uid="{00000000-0005-0000-0000-000094110000}"/>
    <cellStyle name="Normal 4 8" xfId="3134" xr:uid="{00000000-0005-0000-0000-000095110000}"/>
    <cellStyle name="Normal 4 9" xfId="3135" xr:uid="{00000000-0005-0000-0000-000096110000}"/>
    <cellStyle name="Normal 4 9 2" xfId="4287" xr:uid="{00000000-0005-0000-0000-000097110000}"/>
    <cellStyle name="Normal 4 9 2 2" xfId="5144" xr:uid="{00000000-0005-0000-0000-000098110000}"/>
    <cellStyle name="Normal 4 9 3" xfId="5143" xr:uid="{00000000-0005-0000-0000-000099110000}"/>
    <cellStyle name="Normal 40" xfId="3136" xr:uid="{00000000-0005-0000-0000-00009A110000}"/>
    <cellStyle name="Normal 40 2" xfId="3137" xr:uid="{00000000-0005-0000-0000-00009B110000}"/>
    <cellStyle name="Normal 40 2 2" xfId="3138" xr:uid="{00000000-0005-0000-0000-00009C110000}"/>
    <cellStyle name="Normal 40 2 3" xfId="3139" xr:uid="{00000000-0005-0000-0000-00009D110000}"/>
    <cellStyle name="Normal 40 3" xfId="3140" xr:uid="{00000000-0005-0000-0000-00009E110000}"/>
    <cellStyle name="Normal 40 4" xfId="3141" xr:uid="{00000000-0005-0000-0000-00009F110000}"/>
    <cellStyle name="Normal 41" xfId="3142" xr:uid="{00000000-0005-0000-0000-0000A0110000}"/>
    <cellStyle name="Normal 41 2" xfId="3143" xr:uid="{00000000-0005-0000-0000-0000A1110000}"/>
    <cellStyle name="Normal 41 3" xfId="3144" xr:uid="{00000000-0005-0000-0000-0000A2110000}"/>
    <cellStyle name="Normal 41 4" xfId="3145" xr:uid="{00000000-0005-0000-0000-0000A3110000}"/>
    <cellStyle name="Normal 42" xfId="3146" xr:uid="{00000000-0005-0000-0000-0000A4110000}"/>
    <cellStyle name="Normal 42 10" xfId="5145" xr:uid="{00000000-0005-0000-0000-0000A5110000}"/>
    <cellStyle name="Normal 42 2" xfId="3147" xr:uid="{00000000-0005-0000-0000-0000A6110000}"/>
    <cellStyle name="Normal 42 2 2" xfId="3148" xr:uid="{00000000-0005-0000-0000-0000A7110000}"/>
    <cellStyle name="Normal 42 2 2 2" xfId="4290" xr:uid="{00000000-0005-0000-0000-0000A8110000}"/>
    <cellStyle name="Normal 42 2 2 2 2" xfId="5148" xr:uid="{00000000-0005-0000-0000-0000A9110000}"/>
    <cellStyle name="Normal 42 2 2 3" xfId="5147" xr:uid="{00000000-0005-0000-0000-0000AA110000}"/>
    <cellStyle name="Normal 42 2 3" xfId="3149" xr:uid="{00000000-0005-0000-0000-0000AB110000}"/>
    <cellStyle name="Normal 42 2 3 2" xfId="4291" xr:uid="{00000000-0005-0000-0000-0000AC110000}"/>
    <cellStyle name="Normal 42 2 3 2 2" xfId="5150" xr:uid="{00000000-0005-0000-0000-0000AD110000}"/>
    <cellStyle name="Normal 42 2 3 3" xfId="5149" xr:uid="{00000000-0005-0000-0000-0000AE110000}"/>
    <cellStyle name="Normal 42 2 4" xfId="3150" xr:uid="{00000000-0005-0000-0000-0000AF110000}"/>
    <cellStyle name="Normal 42 2 4 2" xfId="4292" xr:uid="{00000000-0005-0000-0000-0000B0110000}"/>
    <cellStyle name="Normal 42 2 4 2 2" xfId="5152" xr:uid="{00000000-0005-0000-0000-0000B1110000}"/>
    <cellStyle name="Normal 42 2 4 3" xfId="5151" xr:uid="{00000000-0005-0000-0000-0000B2110000}"/>
    <cellStyle name="Normal 42 2 5" xfId="4289" xr:uid="{00000000-0005-0000-0000-0000B3110000}"/>
    <cellStyle name="Normal 42 2 5 2" xfId="5153" xr:uid="{00000000-0005-0000-0000-0000B4110000}"/>
    <cellStyle name="Normal 42 2 6" xfId="5146" xr:uid="{00000000-0005-0000-0000-0000B5110000}"/>
    <cellStyle name="Normal 42 3" xfId="3151" xr:uid="{00000000-0005-0000-0000-0000B6110000}"/>
    <cellStyle name="Normal 42 3 2" xfId="4293" xr:uid="{00000000-0005-0000-0000-0000B7110000}"/>
    <cellStyle name="Normal 42 3 2 2" xfId="5155" xr:uid="{00000000-0005-0000-0000-0000B8110000}"/>
    <cellStyle name="Normal 42 3 3" xfId="5154" xr:uid="{00000000-0005-0000-0000-0000B9110000}"/>
    <cellStyle name="Normal 42 4" xfId="3152" xr:uid="{00000000-0005-0000-0000-0000BA110000}"/>
    <cellStyle name="Normal 42 4 2" xfId="4294" xr:uid="{00000000-0005-0000-0000-0000BB110000}"/>
    <cellStyle name="Normal 42 4 2 2" xfId="5157" xr:uid="{00000000-0005-0000-0000-0000BC110000}"/>
    <cellStyle name="Normal 42 4 3" xfId="5156" xr:uid="{00000000-0005-0000-0000-0000BD110000}"/>
    <cellStyle name="Normal 42 5" xfId="3153" xr:uid="{00000000-0005-0000-0000-0000BE110000}"/>
    <cellStyle name="Normal 42 5 2" xfId="4295" xr:uid="{00000000-0005-0000-0000-0000BF110000}"/>
    <cellStyle name="Normal 42 5 2 2" xfId="5159" xr:uid="{00000000-0005-0000-0000-0000C0110000}"/>
    <cellStyle name="Normal 42 5 3" xfId="5158" xr:uid="{00000000-0005-0000-0000-0000C1110000}"/>
    <cellStyle name="Normal 42 6" xfId="3154" xr:uid="{00000000-0005-0000-0000-0000C2110000}"/>
    <cellStyle name="Normal 42 7" xfId="3155" xr:uid="{00000000-0005-0000-0000-0000C3110000}"/>
    <cellStyle name="Normal 42 7 2" xfId="4296" xr:uid="{00000000-0005-0000-0000-0000C4110000}"/>
    <cellStyle name="Normal 42 7 2 2" xfId="5161" xr:uid="{00000000-0005-0000-0000-0000C5110000}"/>
    <cellStyle name="Normal 42 7 3" xfId="5160" xr:uid="{00000000-0005-0000-0000-0000C6110000}"/>
    <cellStyle name="Normal 42 8" xfId="3156" xr:uid="{00000000-0005-0000-0000-0000C7110000}"/>
    <cellStyle name="Normal 42 9" xfId="4288" xr:uid="{00000000-0005-0000-0000-0000C8110000}"/>
    <cellStyle name="Normal 42 9 2" xfId="5162" xr:uid="{00000000-0005-0000-0000-0000C9110000}"/>
    <cellStyle name="Normal 43" xfId="3157" xr:uid="{00000000-0005-0000-0000-0000CA110000}"/>
    <cellStyle name="Normal 43 2" xfId="3158" xr:uid="{00000000-0005-0000-0000-0000CB110000}"/>
    <cellStyle name="Normal 43 2 2" xfId="4298" xr:uid="{00000000-0005-0000-0000-0000CC110000}"/>
    <cellStyle name="Normal 43 2 2 2" xfId="5165" xr:uid="{00000000-0005-0000-0000-0000CD110000}"/>
    <cellStyle name="Normal 43 2 3" xfId="5164" xr:uid="{00000000-0005-0000-0000-0000CE110000}"/>
    <cellStyle name="Normal 43 3" xfId="3159" xr:uid="{00000000-0005-0000-0000-0000CF110000}"/>
    <cellStyle name="Normal 43 4" xfId="4297" xr:uid="{00000000-0005-0000-0000-0000D0110000}"/>
    <cellStyle name="Normal 43 4 2" xfId="5166" xr:uid="{00000000-0005-0000-0000-0000D1110000}"/>
    <cellStyle name="Normal 43 5" xfId="5163" xr:uid="{00000000-0005-0000-0000-0000D2110000}"/>
    <cellStyle name="Normal 44" xfId="3160" xr:uid="{00000000-0005-0000-0000-0000D3110000}"/>
    <cellStyle name="Normal 44 2" xfId="3161" xr:uid="{00000000-0005-0000-0000-0000D4110000}"/>
    <cellStyle name="Normal 44 2 2" xfId="4300" xr:uid="{00000000-0005-0000-0000-0000D5110000}"/>
    <cellStyle name="Normal 44 2 2 2" xfId="5169" xr:uid="{00000000-0005-0000-0000-0000D6110000}"/>
    <cellStyle name="Normal 44 2 3" xfId="5168" xr:uid="{00000000-0005-0000-0000-0000D7110000}"/>
    <cellStyle name="Normal 44 3" xfId="3162" xr:uid="{00000000-0005-0000-0000-0000D8110000}"/>
    <cellStyle name="Normal 44 4" xfId="4299" xr:uid="{00000000-0005-0000-0000-0000D9110000}"/>
    <cellStyle name="Normal 44 4 2" xfId="5170" xr:uid="{00000000-0005-0000-0000-0000DA110000}"/>
    <cellStyle name="Normal 44 5" xfId="5167" xr:uid="{00000000-0005-0000-0000-0000DB110000}"/>
    <cellStyle name="Normal 45" xfId="3163" xr:uid="{00000000-0005-0000-0000-0000DC110000}"/>
    <cellStyle name="Normal 45 2" xfId="3164" xr:uid="{00000000-0005-0000-0000-0000DD110000}"/>
    <cellStyle name="Normal 45 2 2" xfId="4302" xr:uid="{00000000-0005-0000-0000-0000DE110000}"/>
    <cellStyle name="Normal 45 2 2 2" xfId="5173" xr:uid="{00000000-0005-0000-0000-0000DF110000}"/>
    <cellStyle name="Normal 45 2 3" xfId="5172" xr:uid="{00000000-0005-0000-0000-0000E0110000}"/>
    <cellStyle name="Normal 45 3" xfId="3165" xr:uid="{00000000-0005-0000-0000-0000E1110000}"/>
    <cellStyle name="Normal 45 4" xfId="4301" xr:uid="{00000000-0005-0000-0000-0000E2110000}"/>
    <cellStyle name="Normal 45 4 2" xfId="5174" xr:uid="{00000000-0005-0000-0000-0000E3110000}"/>
    <cellStyle name="Normal 45 5" xfId="5171" xr:uid="{00000000-0005-0000-0000-0000E4110000}"/>
    <cellStyle name="Normal 46" xfId="3166" xr:uid="{00000000-0005-0000-0000-0000E5110000}"/>
    <cellStyle name="Normal 46 2" xfId="3167" xr:uid="{00000000-0005-0000-0000-0000E6110000}"/>
    <cellStyle name="Normal 46 2 2" xfId="4304" xr:uid="{00000000-0005-0000-0000-0000E7110000}"/>
    <cellStyle name="Normal 46 2 2 2" xfId="5177" xr:uid="{00000000-0005-0000-0000-0000E8110000}"/>
    <cellStyle name="Normal 46 2 3" xfId="5176" xr:uid="{00000000-0005-0000-0000-0000E9110000}"/>
    <cellStyle name="Normal 46 3" xfId="3168" xr:uid="{00000000-0005-0000-0000-0000EA110000}"/>
    <cellStyle name="Normal 46 4" xfId="4303" xr:uid="{00000000-0005-0000-0000-0000EB110000}"/>
    <cellStyle name="Normal 46 4 2" xfId="5178" xr:uid="{00000000-0005-0000-0000-0000EC110000}"/>
    <cellStyle name="Normal 46 5" xfId="5175" xr:uid="{00000000-0005-0000-0000-0000ED110000}"/>
    <cellStyle name="Normal 47" xfId="3169" xr:uid="{00000000-0005-0000-0000-0000EE110000}"/>
    <cellStyle name="Normal 47 2" xfId="3170" xr:uid="{00000000-0005-0000-0000-0000EF110000}"/>
    <cellStyle name="Normal 47 2 2" xfId="4306" xr:uid="{00000000-0005-0000-0000-0000F0110000}"/>
    <cellStyle name="Normal 47 2 2 2" xfId="5181" xr:uid="{00000000-0005-0000-0000-0000F1110000}"/>
    <cellStyle name="Normal 47 2 3" xfId="5180" xr:uid="{00000000-0005-0000-0000-0000F2110000}"/>
    <cellStyle name="Normal 47 3" xfId="3171" xr:uid="{00000000-0005-0000-0000-0000F3110000}"/>
    <cellStyle name="Normal 47 4" xfId="4305" xr:uid="{00000000-0005-0000-0000-0000F4110000}"/>
    <cellStyle name="Normal 47 4 2" xfId="5182" xr:uid="{00000000-0005-0000-0000-0000F5110000}"/>
    <cellStyle name="Normal 47 5" xfId="5179" xr:uid="{00000000-0005-0000-0000-0000F6110000}"/>
    <cellStyle name="Normal 48" xfId="3172" xr:uid="{00000000-0005-0000-0000-0000F7110000}"/>
    <cellStyle name="Normal 48 2" xfId="3173" xr:uid="{00000000-0005-0000-0000-0000F8110000}"/>
    <cellStyle name="Normal 48 2 2" xfId="4308" xr:uid="{00000000-0005-0000-0000-0000F9110000}"/>
    <cellStyle name="Normal 48 2 2 2" xfId="5185" xr:uid="{00000000-0005-0000-0000-0000FA110000}"/>
    <cellStyle name="Normal 48 2 3" xfId="5184" xr:uid="{00000000-0005-0000-0000-0000FB110000}"/>
    <cellStyle name="Normal 48 3" xfId="3174" xr:uid="{00000000-0005-0000-0000-0000FC110000}"/>
    <cellStyle name="Normal 48 4" xfId="4307" xr:uid="{00000000-0005-0000-0000-0000FD110000}"/>
    <cellStyle name="Normal 48 4 2" xfId="5186" xr:uid="{00000000-0005-0000-0000-0000FE110000}"/>
    <cellStyle name="Normal 48 5" xfId="5183" xr:uid="{00000000-0005-0000-0000-0000FF110000}"/>
    <cellStyle name="Normal 49" xfId="3175" xr:uid="{00000000-0005-0000-0000-000000120000}"/>
    <cellStyle name="Normal 5" xfId="3176" xr:uid="{00000000-0005-0000-0000-000001120000}"/>
    <cellStyle name="Normal 5 10" xfId="3177" xr:uid="{00000000-0005-0000-0000-000002120000}"/>
    <cellStyle name="Normal 5 10 2" xfId="4310" xr:uid="{00000000-0005-0000-0000-000003120000}"/>
    <cellStyle name="Normal 5 10 2 2" xfId="5189" xr:uid="{00000000-0005-0000-0000-000004120000}"/>
    <cellStyle name="Normal 5 10 3" xfId="5188" xr:uid="{00000000-0005-0000-0000-000005120000}"/>
    <cellStyle name="Normal 5 11" xfId="3178" xr:uid="{00000000-0005-0000-0000-000006120000}"/>
    <cellStyle name="Normal 5 11 2" xfId="4311" xr:uid="{00000000-0005-0000-0000-000007120000}"/>
    <cellStyle name="Normal 5 11 2 2" xfId="5191" xr:uid="{00000000-0005-0000-0000-000008120000}"/>
    <cellStyle name="Normal 5 11 3" xfId="5190" xr:uid="{00000000-0005-0000-0000-000009120000}"/>
    <cellStyle name="Normal 5 12" xfId="4309" xr:uid="{00000000-0005-0000-0000-00000A120000}"/>
    <cellStyle name="Normal 5 12 2" xfId="5192" xr:uid="{00000000-0005-0000-0000-00000B120000}"/>
    <cellStyle name="Normal 5 13" xfId="5187" xr:uid="{00000000-0005-0000-0000-00000C120000}"/>
    <cellStyle name="Normal 5 14" xfId="6161" xr:uid="{98219E7E-C7B9-4DE3-B7B4-9396F660F434}"/>
    <cellStyle name="Normal 5 2" xfId="3179" xr:uid="{00000000-0005-0000-0000-00000D120000}"/>
    <cellStyle name="Normal 5 2 10" xfId="5193" xr:uid="{00000000-0005-0000-0000-00000E120000}"/>
    <cellStyle name="Normal 5 2 2" xfId="3180" xr:uid="{00000000-0005-0000-0000-00000F120000}"/>
    <cellStyle name="Normal 5 2 2 10" xfId="5194" xr:uid="{00000000-0005-0000-0000-000010120000}"/>
    <cellStyle name="Normal 5 2 2 2" xfId="3181" xr:uid="{00000000-0005-0000-0000-000011120000}"/>
    <cellStyle name="Normal 5 2 2 2 2" xfId="3182" xr:uid="{00000000-0005-0000-0000-000012120000}"/>
    <cellStyle name="Normal 5 2 2 2 2 2" xfId="4315" xr:uid="{00000000-0005-0000-0000-000013120000}"/>
    <cellStyle name="Normal 5 2 2 2 2 2 2" xfId="5197" xr:uid="{00000000-0005-0000-0000-000014120000}"/>
    <cellStyle name="Normal 5 2 2 2 2 3" xfId="5196" xr:uid="{00000000-0005-0000-0000-000015120000}"/>
    <cellStyle name="Normal 5 2 2 2 3" xfId="3183" xr:uid="{00000000-0005-0000-0000-000016120000}"/>
    <cellStyle name="Normal 5 2 2 2 3 2" xfId="4316" xr:uid="{00000000-0005-0000-0000-000017120000}"/>
    <cellStyle name="Normal 5 2 2 2 3 2 2" xfId="5199" xr:uid="{00000000-0005-0000-0000-000018120000}"/>
    <cellStyle name="Normal 5 2 2 2 3 3" xfId="5198" xr:uid="{00000000-0005-0000-0000-000019120000}"/>
    <cellStyle name="Normal 5 2 2 2 4" xfId="3184" xr:uid="{00000000-0005-0000-0000-00001A120000}"/>
    <cellStyle name="Normal 5 2 2 2 4 2" xfId="4317" xr:uid="{00000000-0005-0000-0000-00001B120000}"/>
    <cellStyle name="Normal 5 2 2 2 4 2 2" xfId="5201" xr:uid="{00000000-0005-0000-0000-00001C120000}"/>
    <cellStyle name="Normal 5 2 2 2 4 3" xfId="5200" xr:uid="{00000000-0005-0000-0000-00001D120000}"/>
    <cellStyle name="Normal 5 2 2 2 5" xfId="3185" xr:uid="{00000000-0005-0000-0000-00001E120000}"/>
    <cellStyle name="Normal 5 2 2 2 5 2" xfId="4318" xr:uid="{00000000-0005-0000-0000-00001F120000}"/>
    <cellStyle name="Normal 5 2 2 2 5 2 2" xfId="5203" xr:uid="{00000000-0005-0000-0000-000020120000}"/>
    <cellStyle name="Normal 5 2 2 2 5 3" xfId="5202" xr:uid="{00000000-0005-0000-0000-000021120000}"/>
    <cellStyle name="Normal 5 2 2 2 6" xfId="3186" xr:uid="{00000000-0005-0000-0000-000022120000}"/>
    <cellStyle name="Normal 5 2 2 2 7" xfId="4314" xr:uid="{00000000-0005-0000-0000-000023120000}"/>
    <cellStyle name="Normal 5 2 2 2 7 2" xfId="5204" xr:uid="{00000000-0005-0000-0000-000024120000}"/>
    <cellStyle name="Normal 5 2 2 2 8" xfId="5195" xr:uid="{00000000-0005-0000-0000-000025120000}"/>
    <cellStyle name="Normal 5 2 2 3" xfId="3187" xr:uid="{00000000-0005-0000-0000-000026120000}"/>
    <cellStyle name="Normal 5 2 2 3 2" xfId="4319" xr:uid="{00000000-0005-0000-0000-000027120000}"/>
    <cellStyle name="Normal 5 2 2 3 2 2" xfId="5206" xr:uid="{00000000-0005-0000-0000-000028120000}"/>
    <cellStyle name="Normal 5 2 2 3 3" xfId="5205" xr:uid="{00000000-0005-0000-0000-000029120000}"/>
    <cellStyle name="Normal 5 2 2 4" xfId="3188" xr:uid="{00000000-0005-0000-0000-00002A120000}"/>
    <cellStyle name="Normal 5 2 2 4 2" xfId="4320" xr:uid="{00000000-0005-0000-0000-00002B120000}"/>
    <cellStyle name="Normal 5 2 2 4 2 2" xfId="5208" xr:uid="{00000000-0005-0000-0000-00002C120000}"/>
    <cellStyle name="Normal 5 2 2 4 3" xfId="5207" xr:uid="{00000000-0005-0000-0000-00002D120000}"/>
    <cellStyle name="Normal 5 2 2 5" xfId="3189" xr:uid="{00000000-0005-0000-0000-00002E120000}"/>
    <cellStyle name="Normal 5 2 2 5 2" xfId="4321" xr:uid="{00000000-0005-0000-0000-00002F120000}"/>
    <cellStyle name="Normal 5 2 2 5 2 2" xfId="5210" xr:uid="{00000000-0005-0000-0000-000030120000}"/>
    <cellStyle name="Normal 5 2 2 5 3" xfId="5209" xr:uid="{00000000-0005-0000-0000-000031120000}"/>
    <cellStyle name="Normal 5 2 2 6" xfId="3190" xr:uid="{00000000-0005-0000-0000-000032120000}"/>
    <cellStyle name="Normal 5 2 2 6 2" xfId="4322" xr:uid="{00000000-0005-0000-0000-000033120000}"/>
    <cellStyle name="Normal 5 2 2 6 2 2" xfId="5212" xr:uid="{00000000-0005-0000-0000-000034120000}"/>
    <cellStyle name="Normal 5 2 2 6 3" xfId="5211" xr:uid="{00000000-0005-0000-0000-000035120000}"/>
    <cellStyle name="Normal 5 2 2 7" xfId="3191" xr:uid="{00000000-0005-0000-0000-000036120000}"/>
    <cellStyle name="Normal 5 2 2 8" xfId="3192" xr:uid="{00000000-0005-0000-0000-000037120000}"/>
    <cellStyle name="Normal 5 2 2 8 2" xfId="4323" xr:uid="{00000000-0005-0000-0000-000038120000}"/>
    <cellStyle name="Normal 5 2 2 8 2 2" xfId="5214" xr:uid="{00000000-0005-0000-0000-000039120000}"/>
    <cellStyle name="Normal 5 2 2 8 3" xfId="5213" xr:uid="{00000000-0005-0000-0000-00003A120000}"/>
    <cellStyle name="Normal 5 2 2 9" xfId="4313" xr:uid="{00000000-0005-0000-0000-00003B120000}"/>
    <cellStyle name="Normal 5 2 2 9 2" xfId="5215" xr:uid="{00000000-0005-0000-0000-00003C120000}"/>
    <cellStyle name="Normal 5 2 3" xfId="3193" xr:uid="{00000000-0005-0000-0000-00003D120000}"/>
    <cellStyle name="Normal 5 2 3 2" xfId="3194" xr:uid="{00000000-0005-0000-0000-00003E120000}"/>
    <cellStyle name="Normal 5 2 3 2 2" xfId="4325" xr:uid="{00000000-0005-0000-0000-00003F120000}"/>
    <cellStyle name="Normal 5 2 3 2 2 2" xfId="5218" xr:uid="{00000000-0005-0000-0000-000040120000}"/>
    <cellStyle name="Normal 5 2 3 2 3" xfId="5217" xr:uid="{00000000-0005-0000-0000-000041120000}"/>
    <cellStyle name="Normal 5 2 3 3" xfId="3195" xr:uid="{00000000-0005-0000-0000-000042120000}"/>
    <cellStyle name="Normal 5 2 3 3 2" xfId="4326" xr:uid="{00000000-0005-0000-0000-000043120000}"/>
    <cellStyle name="Normal 5 2 3 3 2 2" xfId="5220" xr:uid="{00000000-0005-0000-0000-000044120000}"/>
    <cellStyle name="Normal 5 2 3 3 3" xfId="5219" xr:uid="{00000000-0005-0000-0000-000045120000}"/>
    <cellStyle name="Normal 5 2 3 4" xfId="3196" xr:uid="{00000000-0005-0000-0000-000046120000}"/>
    <cellStyle name="Normal 5 2 3 4 2" xfId="4327" xr:uid="{00000000-0005-0000-0000-000047120000}"/>
    <cellStyle name="Normal 5 2 3 4 2 2" xfId="5222" xr:uid="{00000000-0005-0000-0000-000048120000}"/>
    <cellStyle name="Normal 5 2 3 4 3" xfId="5221" xr:uid="{00000000-0005-0000-0000-000049120000}"/>
    <cellStyle name="Normal 5 2 3 5" xfId="3197" xr:uid="{00000000-0005-0000-0000-00004A120000}"/>
    <cellStyle name="Normal 5 2 3 6" xfId="3198" xr:uid="{00000000-0005-0000-0000-00004B120000}"/>
    <cellStyle name="Normal 5 2 3 6 2" xfId="4328" xr:uid="{00000000-0005-0000-0000-00004C120000}"/>
    <cellStyle name="Normal 5 2 3 6 2 2" xfId="5224" xr:uid="{00000000-0005-0000-0000-00004D120000}"/>
    <cellStyle name="Normal 5 2 3 6 3" xfId="5223" xr:uid="{00000000-0005-0000-0000-00004E120000}"/>
    <cellStyle name="Normal 5 2 3 7" xfId="3199" xr:uid="{00000000-0005-0000-0000-00004F120000}"/>
    <cellStyle name="Normal 5 2 3 8" xfId="4324" xr:uid="{00000000-0005-0000-0000-000050120000}"/>
    <cellStyle name="Normal 5 2 3 8 2" xfId="5225" xr:uid="{00000000-0005-0000-0000-000051120000}"/>
    <cellStyle name="Normal 5 2 3 9" xfId="5216" xr:uid="{00000000-0005-0000-0000-000052120000}"/>
    <cellStyle name="Normal 5 2 4" xfId="3200" xr:uid="{00000000-0005-0000-0000-000053120000}"/>
    <cellStyle name="Normal 5 2 4 2" xfId="4329" xr:uid="{00000000-0005-0000-0000-000054120000}"/>
    <cellStyle name="Normal 5 2 4 2 2" xfId="5227" xr:uid="{00000000-0005-0000-0000-000055120000}"/>
    <cellStyle name="Normal 5 2 4 3" xfId="5226" xr:uid="{00000000-0005-0000-0000-000056120000}"/>
    <cellStyle name="Normal 5 2 5" xfId="3201" xr:uid="{00000000-0005-0000-0000-000057120000}"/>
    <cellStyle name="Normal 5 2 5 2" xfId="4330" xr:uid="{00000000-0005-0000-0000-000058120000}"/>
    <cellStyle name="Normal 5 2 5 2 2" xfId="5229" xr:uid="{00000000-0005-0000-0000-000059120000}"/>
    <cellStyle name="Normal 5 2 5 3" xfId="5228" xr:uid="{00000000-0005-0000-0000-00005A120000}"/>
    <cellStyle name="Normal 5 2 6" xfId="3202" xr:uid="{00000000-0005-0000-0000-00005B120000}"/>
    <cellStyle name="Normal 5 2 6 2" xfId="4331" xr:uid="{00000000-0005-0000-0000-00005C120000}"/>
    <cellStyle name="Normal 5 2 6 2 2" xfId="5231" xr:uid="{00000000-0005-0000-0000-00005D120000}"/>
    <cellStyle name="Normal 5 2 6 3" xfId="5230" xr:uid="{00000000-0005-0000-0000-00005E120000}"/>
    <cellStyle name="Normal 5 2 7" xfId="3203" xr:uid="{00000000-0005-0000-0000-00005F120000}"/>
    <cellStyle name="Normal 5 2 8" xfId="3204" xr:uid="{00000000-0005-0000-0000-000060120000}"/>
    <cellStyle name="Normal 5 2 8 2" xfId="4332" xr:uid="{00000000-0005-0000-0000-000061120000}"/>
    <cellStyle name="Normal 5 2 8 2 2" xfId="5233" xr:uid="{00000000-0005-0000-0000-000062120000}"/>
    <cellStyle name="Normal 5 2 8 3" xfId="5232" xr:uid="{00000000-0005-0000-0000-000063120000}"/>
    <cellStyle name="Normal 5 2 9" xfId="4312" xr:uid="{00000000-0005-0000-0000-000064120000}"/>
    <cellStyle name="Normal 5 2 9 2" xfId="5234" xr:uid="{00000000-0005-0000-0000-000065120000}"/>
    <cellStyle name="Normal 5 3" xfId="3205" xr:uid="{00000000-0005-0000-0000-000066120000}"/>
    <cellStyle name="Normal 5 3 10" xfId="5235" xr:uid="{00000000-0005-0000-0000-000067120000}"/>
    <cellStyle name="Normal 5 3 2" xfId="3206" xr:uid="{00000000-0005-0000-0000-000068120000}"/>
    <cellStyle name="Normal 5 3 2 2" xfId="3207" xr:uid="{00000000-0005-0000-0000-000069120000}"/>
    <cellStyle name="Normal 5 3 2 2 2" xfId="4335" xr:uid="{00000000-0005-0000-0000-00006A120000}"/>
    <cellStyle name="Normal 5 3 2 2 2 2" xfId="5238" xr:uid="{00000000-0005-0000-0000-00006B120000}"/>
    <cellStyle name="Normal 5 3 2 2 3" xfId="5237" xr:uid="{00000000-0005-0000-0000-00006C120000}"/>
    <cellStyle name="Normal 5 3 2 3" xfId="3208" xr:uid="{00000000-0005-0000-0000-00006D120000}"/>
    <cellStyle name="Normal 5 3 2 3 2" xfId="4336" xr:uid="{00000000-0005-0000-0000-00006E120000}"/>
    <cellStyle name="Normal 5 3 2 3 2 2" xfId="5240" xr:uid="{00000000-0005-0000-0000-00006F120000}"/>
    <cellStyle name="Normal 5 3 2 3 3" xfId="5239" xr:uid="{00000000-0005-0000-0000-000070120000}"/>
    <cellStyle name="Normal 5 3 2 4" xfId="3209" xr:uid="{00000000-0005-0000-0000-000071120000}"/>
    <cellStyle name="Normal 5 3 2 4 2" xfId="4337" xr:uid="{00000000-0005-0000-0000-000072120000}"/>
    <cellStyle name="Normal 5 3 2 4 2 2" xfId="5242" xr:uid="{00000000-0005-0000-0000-000073120000}"/>
    <cellStyle name="Normal 5 3 2 4 3" xfId="5241" xr:uid="{00000000-0005-0000-0000-000074120000}"/>
    <cellStyle name="Normal 5 3 2 5" xfId="3210" xr:uid="{00000000-0005-0000-0000-000075120000}"/>
    <cellStyle name="Normal 5 3 2 5 2" xfId="4338" xr:uid="{00000000-0005-0000-0000-000076120000}"/>
    <cellStyle name="Normal 5 3 2 5 2 2" xfId="5244" xr:uid="{00000000-0005-0000-0000-000077120000}"/>
    <cellStyle name="Normal 5 3 2 5 3" xfId="5243" xr:uid="{00000000-0005-0000-0000-000078120000}"/>
    <cellStyle name="Normal 5 3 2 6" xfId="3211" xr:uid="{00000000-0005-0000-0000-000079120000}"/>
    <cellStyle name="Normal 5 3 2 7" xfId="4334" xr:uid="{00000000-0005-0000-0000-00007A120000}"/>
    <cellStyle name="Normal 5 3 2 7 2" xfId="5245" xr:uid="{00000000-0005-0000-0000-00007B120000}"/>
    <cellStyle name="Normal 5 3 2 8" xfId="5236" xr:uid="{00000000-0005-0000-0000-00007C120000}"/>
    <cellStyle name="Normal 5 3 3" xfId="3212" xr:uid="{00000000-0005-0000-0000-00007D120000}"/>
    <cellStyle name="Normal 5 3 3 2" xfId="4339" xr:uid="{00000000-0005-0000-0000-00007E120000}"/>
    <cellStyle name="Normal 5 3 3 2 2" xfId="5247" xr:uid="{00000000-0005-0000-0000-00007F120000}"/>
    <cellStyle name="Normal 5 3 3 3" xfId="5246" xr:uid="{00000000-0005-0000-0000-000080120000}"/>
    <cellStyle name="Normal 5 3 4" xfId="3213" xr:uid="{00000000-0005-0000-0000-000081120000}"/>
    <cellStyle name="Normal 5 3 4 2" xfId="4340" xr:uid="{00000000-0005-0000-0000-000082120000}"/>
    <cellStyle name="Normal 5 3 4 2 2" xfId="5249" xr:uid="{00000000-0005-0000-0000-000083120000}"/>
    <cellStyle name="Normal 5 3 4 3" xfId="5248" xr:uid="{00000000-0005-0000-0000-000084120000}"/>
    <cellStyle name="Normal 5 3 5" xfId="3214" xr:uid="{00000000-0005-0000-0000-000085120000}"/>
    <cellStyle name="Normal 5 3 5 2" xfId="4341" xr:uid="{00000000-0005-0000-0000-000086120000}"/>
    <cellStyle name="Normal 5 3 5 2 2" xfId="5251" xr:uid="{00000000-0005-0000-0000-000087120000}"/>
    <cellStyle name="Normal 5 3 5 3" xfId="5250" xr:uid="{00000000-0005-0000-0000-000088120000}"/>
    <cellStyle name="Normal 5 3 6" xfId="3215" xr:uid="{00000000-0005-0000-0000-000089120000}"/>
    <cellStyle name="Normal 5 3 6 2" xfId="4342" xr:uid="{00000000-0005-0000-0000-00008A120000}"/>
    <cellStyle name="Normal 5 3 6 2 2" xfId="5253" xr:uid="{00000000-0005-0000-0000-00008B120000}"/>
    <cellStyle name="Normal 5 3 6 3" xfId="5252" xr:uid="{00000000-0005-0000-0000-00008C120000}"/>
    <cellStyle name="Normal 5 3 7" xfId="3216" xr:uid="{00000000-0005-0000-0000-00008D120000}"/>
    <cellStyle name="Normal 5 3 8" xfId="3217" xr:uid="{00000000-0005-0000-0000-00008E120000}"/>
    <cellStyle name="Normal 5 3 8 2" xfId="4343" xr:uid="{00000000-0005-0000-0000-00008F120000}"/>
    <cellStyle name="Normal 5 3 8 2 2" xfId="5255" xr:uid="{00000000-0005-0000-0000-000090120000}"/>
    <cellStyle name="Normal 5 3 8 3" xfId="5254" xr:uid="{00000000-0005-0000-0000-000091120000}"/>
    <cellStyle name="Normal 5 3 9" xfId="4333" xr:uid="{00000000-0005-0000-0000-000092120000}"/>
    <cellStyle name="Normal 5 3 9 2" xfId="5256" xr:uid="{00000000-0005-0000-0000-000093120000}"/>
    <cellStyle name="Normal 5 4" xfId="3218" xr:uid="{00000000-0005-0000-0000-000094120000}"/>
    <cellStyle name="Normal 5 4 2" xfId="3219" xr:uid="{00000000-0005-0000-0000-000095120000}"/>
    <cellStyle name="Normal 5 4 2 2" xfId="4345" xr:uid="{00000000-0005-0000-0000-000096120000}"/>
    <cellStyle name="Normal 5 4 2 2 2" xfId="5259" xr:uid="{00000000-0005-0000-0000-000097120000}"/>
    <cellStyle name="Normal 5 4 2 3" xfId="5258" xr:uid="{00000000-0005-0000-0000-000098120000}"/>
    <cellStyle name="Normal 5 4 3" xfId="3220" xr:uid="{00000000-0005-0000-0000-000099120000}"/>
    <cellStyle name="Normal 5 4 3 2" xfId="4346" xr:uid="{00000000-0005-0000-0000-00009A120000}"/>
    <cellStyle name="Normal 5 4 3 2 2" xfId="5261" xr:uid="{00000000-0005-0000-0000-00009B120000}"/>
    <cellStyle name="Normal 5 4 3 3" xfId="5260" xr:uid="{00000000-0005-0000-0000-00009C120000}"/>
    <cellStyle name="Normal 5 4 4" xfId="3221" xr:uid="{00000000-0005-0000-0000-00009D120000}"/>
    <cellStyle name="Normal 5 4 4 2" xfId="4347" xr:uid="{00000000-0005-0000-0000-00009E120000}"/>
    <cellStyle name="Normal 5 4 4 2 2" xfId="5263" xr:uid="{00000000-0005-0000-0000-00009F120000}"/>
    <cellStyle name="Normal 5 4 4 3" xfId="5262" xr:uid="{00000000-0005-0000-0000-0000A0120000}"/>
    <cellStyle name="Normal 5 4 5" xfId="3222" xr:uid="{00000000-0005-0000-0000-0000A1120000}"/>
    <cellStyle name="Normal 5 4 5 2" xfId="4348" xr:uid="{00000000-0005-0000-0000-0000A2120000}"/>
    <cellStyle name="Normal 5 4 5 2 2" xfId="5265" xr:uid="{00000000-0005-0000-0000-0000A3120000}"/>
    <cellStyle name="Normal 5 4 5 3" xfId="5264" xr:uid="{00000000-0005-0000-0000-0000A4120000}"/>
    <cellStyle name="Normal 5 4 6" xfId="3223" xr:uid="{00000000-0005-0000-0000-0000A5120000}"/>
    <cellStyle name="Normal 5 4 7" xfId="3224" xr:uid="{00000000-0005-0000-0000-0000A6120000}"/>
    <cellStyle name="Normal 5 4 7 2" xfId="4349" xr:uid="{00000000-0005-0000-0000-0000A7120000}"/>
    <cellStyle name="Normal 5 4 7 2 2" xfId="5267" xr:uid="{00000000-0005-0000-0000-0000A8120000}"/>
    <cellStyle name="Normal 5 4 7 3" xfId="5266" xr:uid="{00000000-0005-0000-0000-0000A9120000}"/>
    <cellStyle name="Normal 5 4 8" xfId="4344" xr:uid="{00000000-0005-0000-0000-0000AA120000}"/>
    <cellStyle name="Normal 5 4 8 2" xfId="5268" xr:uid="{00000000-0005-0000-0000-0000AB120000}"/>
    <cellStyle name="Normal 5 4 9" xfId="5257" xr:uid="{00000000-0005-0000-0000-0000AC120000}"/>
    <cellStyle name="Normal 5 5" xfId="3225" xr:uid="{00000000-0005-0000-0000-0000AD120000}"/>
    <cellStyle name="Normal 5 5 2" xfId="3226" xr:uid="{00000000-0005-0000-0000-0000AE120000}"/>
    <cellStyle name="Normal 5 5 2 2" xfId="4351" xr:uid="{00000000-0005-0000-0000-0000AF120000}"/>
    <cellStyle name="Normal 5 5 2 2 2" xfId="5271" xr:uid="{00000000-0005-0000-0000-0000B0120000}"/>
    <cellStyle name="Normal 5 5 2 3" xfId="5270" xr:uid="{00000000-0005-0000-0000-0000B1120000}"/>
    <cellStyle name="Normal 5 5 3" xfId="3227" xr:uid="{00000000-0005-0000-0000-0000B2120000}"/>
    <cellStyle name="Normal 5 5 4" xfId="4350" xr:uid="{00000000-0005-0000-0000-0000B3120000}"/>
    <cellStyle name="Normal 5 5 4 2" xfId="5272" xr:uid="{00000000-0005-0000-0000-0000B4120000}"/>
    <cellStyle name="Normal 5 5 5" xfId="5269" xr:uid="{00000000-0005-0000-0000-0000B5120000}"/>
    <cellStyle name="Normal 5 6" xfId="3228" xr:uid="{00000000-0005-0000-0000-0000B6120000}"/>
    <cellStyle name="Normal 5 6 2" xfId="3229" xr:uid="{00000000-0005-0000-0000-0000B7120000}"/>
    <cellStyle name="Normal 5 6 2 2" xfId="4353" xr:uid="{00000000-0005-0000-0000-0000B8120000}"/>
    <cellStyle name="Normal 5 6 2 2 2" xfId="5275" xr:uid="{00000000-0005-0000-0000-0000B9120000}"/>
    <cellStyle name="Normal 5 6 2 3" xfId="5274" xr:uid="{00000000-0005-0000-0000-0000BA120000}"/>
    <cellStyle name="Normal 5 6 3" xfId="3230" xr:uid="{00000000-0005-0000-0000-0000BB120000}"/>
    <cellStyle name="Normal 5 6 4" xfId="4352" xr:uid="{00000000-0005-0000-0000-0000BC120000}"/>
    <cellStyle name="Normal 5 6 4 2" xfId="5276" xr:uid="{00000000-0005-0000-0000-0000BD120000}"/>
    <cellStyle name="Normal 5 6 5" xfId="5273" xr:uid="{00000000-0005-0000-0000-0000BE120000}"/>
    <cellStyle name="Normal 5 7" xfId="3231" xr:uid="{00000000-0005-0000-0000-0000BF120000}"/>
    <cellStyle name="Normal 5 7 2" xfId="3232" xr:uid="{00000000-0005-0000-0000-0000C0120000}"/>
    <cellStyle name="Normal 5 7 2 2" xfId="4355" xr:uid="{00000000-0005-0000-0000-0000C1120000}"/>
    <cellStyle name="Normal 5 7 2 2 2" xfId="5279" xr:uid="{00000000-0005-0000-0000-0000C2120000}"/>
    <cellStyle name="Normal 5 7 2 3" xfId="5278" xr:uid="{00000000-0005-0000-0000-0000C3120000}"/>
    <cellStyle name="Normal 5 7 3" xfId="3233" xr:uid="{00000000-0005-0000-0000-0000C4120000}"/>
    <cellStyle name="Normal 5 7 4" xfId="4354" xr:uid="{00000000-0005-0000-0000-0000C5120000}"/>
    <cellStyle name="Normal 5 7 4 2" xfId="5280" xr:uid="{00000000-0005-0000-0000-0000C6120000}"/>
    <cellStyle name="Normal 5 7 5" xfId="5277" xr:uid="{00000000-0005-0000-0000-0000C7120000}"/>
    <cellStyle name="Normal 5 8" xfId="3234" xr:uid="{00000000-0005-0000-0000-0000C8120000}"/>
    <cellStyle name="Normal 5 9" xfId="3235" xr:uid="{00000000-0005-0000-0000-0000C9120000}"/>
    <cellStyle name="Normal 50" xfId="3236" xr:uid="{00000000-0005-0000-0000-0000CA120000}"/>
    <cellStyle name="Normal 51" xfId="3237" xr:uid="{00000000-0005-0000-0000-0000CB120000}"/>
    <cellStyle name="Normal 51 2" xfId="4356" xr:uid="{00000000-0005-0000-0000-0000CC120000}"/>
    <cellStyle name="Normal 51 2 2" xfId="5282" xr:uid="{00000000-0005-0000-0000-0000CD120000}"/>
    <cellStyle name="Normal 51 3" xfId="5281" xr:uid="{00000000-0005-0000-0000-0000CE120000}"/>
    <cellStyle name="Normal 52" xfId="3238" xr:uid="{00000000-0005-0000-0000-0000CF120000}"/>
    <cellStyle name="Normal 52 2" xfId="4357" xr:uid="{00000000-0005-0000-0000-0000D0120000}"/>
    <cellStyle name="Normal 52 2 2" xfId="5284" xr:uid="{00000000-0005-0000-0000-0000D1120000}"/>
    <cellStyle name="Normal 52 3" xfId="5283" xr:uid="{00000000-0005-0000-0000-0000D2120000}"/>
    <cellStyle name="Normal 53" xfId="3239" xr:uid="{00000000-0005-0000-0000-0000D3120000}"/>
    <cellStyle name="Normal 53 2" xfId="4358" xr:uid="{00000000-0005-0000-0000-0000D4120000}"/>
    <cellStyle name="Normal 53 2 2" xfId="5286" xr:uid="{00000000-0005-0000-0000-0000D5120000}"/>
    <cellStyle name="Normal 53 3" xfId="5285" xr:uid="{00000000-0005-0000-0000-0000D6120000}"/>
    <cellStyle name="Normal 54" xfId="3240" xr:uid="{00000000-0005-0000-0000-0000D7120000}"/>
    <cellStyle name="Normal 54 2" xfId="4359" xr:uid="{00000000-0005-0000-0000-0000D8120000}"/>
    <cellStyle name="Normal 54 2 2" xfId="5288" xr:uid="{00000000-0005-0000-0000-0000D9120000}"/>
    <cellStyle name="Normal 54 3" xfId="5287" xr:uid="{00000000-0005-0000-0000-0000DA120000}"/>
    <cellStyle name="Normal 55" xfId="3241" xr:uid="{00000000-0005-0000-0000-0000DB120000}"/>
    <cellStyle name="Normal 55 2" xfId="4360" xr:uid="{00000000-0005-0000-0000-0000DC120000}"/>
    <cellStyle name="Normal 55 2 2" xfId="5290" xr:uid="{00000000-0005-0000-0000-0000DD120000}"/>
    <cellStyle name="Normal 55 3" xfId="5289" xr:uid="{00000000-0005-0000-0000-0000DE120000}"/>
    <cellStyle name="Normal 56" xfId="3242" xr:uid="{00000000-0005-0000-0000-0000DF120000}"/>
    <cellStyle name="Normal 56 2" xfId="4361" xr:uid="{00000000-0005-0000-0000-0000E0120000}"/>
    <cellStyle name="Normal 56 2 2" xfId="5292" xr:uid="{00000000-0005-0000-0000-0000E1120000}"/>
    <cellStyle name="Normal 56 3" xfId="5291" xr:uid="{00000000-0005-0000-0000-0000E2120000}"/>
    <cellStyle name="Normal 57" xfId="3243" xr:uid="{00000000-0005-0000-0000-0000E3120000}"/>
    <cellStyle name="Normal 57 2" xfId="4362" xr:uid="{00000000-0005-0000-0000-0000E4120000}"/>
    <cellStyle name="Normal 57 2 2" xfId="5294" xr:uid="{00000000-0005-0000-0000-0000E5120000}"/>
    <cellStyle name="Normal 57 3" xfId="5293" xr:uid="{00000000-0005-0000-0000-0000E6120000}"/>
    <cellStyle name="Normal 58" xfId="3244" xr:uid="{00000000-0005-0000-0000-0000E7120000}"/>
    <cellStyle name="Normal 58 2" xfId="4363" xr:uid="{00000000-0005-0000-0000-0000E8120000}"/>
    <cellStyle name="Normal 58 2 2" xfId="5296" xr:uid="{00000000-0005-0000-0000-0000E9120000}"/>
    <cellStyle name="Normal 58 3" xfId="5295" xr:uid="{00000000-0005-0000-0000-0000EA120000}"/>
    <cellStyle name="Normal 59" xfId="3245" xr:uid="{00000000-0005-0000-0000-0000EB120000}"/>
    <cellStyle name="Normal 59 2" xfId="4364" xr:uid="{00000000-0005-0000-0000-0000EC120000}"/>
    <cellStyle name="Normal 59 2 2" xfId="5298" xr:uid="{00000000-0005-0000-0000-0000ED120000}"/>
    <cellStyle name="Normal 59 3" xfId="5297" xr:uid="{00000000-0005-0000-0000-0000EE120000}"/>
    <cellStyle name="Normal 6" xfId="3246" xr:uid="{00000000-0005-0000-0000-0000EF120000}"/>
    <cellStyle name="Normal 6 10" xfId="4365" xr:uid="{00000000-0005-0000-0000-0000F0120000}"/>
    <cellStyle name="Normal 6 10 2" xfId="5300" xr:uid="{00000000-0005-0000-0000-0000F1120000}"/>
    <cellStyle name="Normal 6 11" xfId="5299" xr:uid="{00000000-0005-0000-0000-0000F2120000}"/>
    <cellStyle name="Normal 6 2" xfId="3247" xr:uid="{00000000-0005-0000-0000-0000F3120000}"/>
    <cellStyle name="Normal 6 2 10" xfId="5301" xr:uid="{00000000-0005-0000-0000-0000F4120000}"/>
    <cellStyle name="Normal 6 2 2" xfId="3248" xr:uid="{00000000-0005-0000-0000-0000F5120000}"/>
    <cellStyle name="Normal 6 2 2 2" xfId="3249" xr:uid="{00000000-0005-0000-0000-0000F6120000}"/>
    <cellStyle name="Normal 6 2 2 2 2" xfId="3250" xr:uid="{00000000-0005-0000-0000-0000F7120000}"/>
    <cellStyle name="Normal 6 2 2 2 2 2" xfId="4369" xr:uid="{00000000-0005-0000-0000-0000F8120000}"/>
    <cellStyle name="Normal 6 2 2 2 2 2 2" xfId="5305" xr:uid="{00000000-0005-0000-0000-0000F9120000}"/>
    <cellStyle name="Normal 6 2 2 2 2 3" xfId="5304" xr:uid="{00000000-0005-0000-0000-0000FA120000}"/>
    <cellStyle name="Normal 6 2 2 2 3" xfId="3251" xr:uid="{00000000-0005-0000-0000-0000FB120000}"/>
    <cellStyle name="Normal 6 2 2 2 3 2" xfId="4370" xr:uid="{00000000-0005-0000-0000-0000FC120000}"/>
    <cellStyle name="Normal 6 2 2 2 3 2 2" xfId="5307" xr:uid="{00000000-0005-0000-0000-0000FD120000}"/>
    <cellStyle name="Normal 6 2 2 2 3 3" xfId="5306" xr:uid="{00000000-0005-0000-0000-0000FE120000}"/>
    <cellStyle name="Normal 6 2 2 2 4" xfId="3252" xr:uid="{00000000-0005-0000-0000-0000FF120000}"/>
    <cellStyle name="Normal 6 2 2 2 4 2" xfId="4371" xr:uid="{00000000-0005-0000-0000-000000130000}"/>
    <cellStyle name="Normal 6 2 2 2 4 2 2" xfId="5309" xr:uid="{00000000-0005-0000-0000-000001130000}"/>
    <cellStyle name="Normal 6 2 2 2 4 3" xfId="5308" xr:uid="{00000000-0005-0000-0000-000002130000}"/>
    <cellStyle name="Normal 6 2 2 2 5" xfId="4368" xr:uid="{00000000-0005-0000-0000-000003130000}"/>
    <cellStyle name="Normal 6 2 2 2 5 2" xfId="5310" xr:uid="{00000000-0005-0000-0000-000004130000}"/>
    <cellStyle name="Normal 6 2 2 2 6" xfId="5303" xr:uid="{00000000-0005-0000-0000-000005130000}"/>
    <cellStyle name="Normal 6 2 2 3" xfId="3253" xr:uid="{00000000-0005-0000-0000-000006130000}"/>
    <cellStyle name="Normal 6 2 2 3 2" xfId="4372" xr:uid="{00000000-0005-0000-0000-000007130000}"/>
    <cellStyle name="Normal 6 2 2 3 2 2" xfId="5312" xr:uid="{00000000-0005-0000-0000-000008130000}"/>
    <cellStyle name="Normal 6 2 2 3 3" xfId="5311" xr:uid="{00000000-0005-0000-0000-000009130000}"/>
    <cellStyle name="Normal 6 2 2 4" xfId="3254" xr:uid="{00000000-0005-0000-0000-00000A130000}"/>
    <cellStyle name="Normal 6 2 2 4 2" xfId="4373" xr:uid="{00000000-0005-0000-0000-00000B130000}"/>
    <cellStyle name="Normal 6 2 2 4 2 2" xfId="5314" xr:uid="{00000000-0005-0000-0000-00000C130000}"/>
    <cellStyle name="Normal 6 2 2 4 3" xfId="5313" xr:uid="{00000000-0005-0000-0000-00000D130000}"/>
    <cellStyle name="Normal 6 2 2 5" xfId="3255" xr:uid="{00000000-0005-0000-0000-00000E130000}"/>
    <cellStyle name="Normal 6 2 2 5 2" xfId="4374" xr:uid="{00000000-0005-0000-0000-00000F130000}"/>
    <cellStyle name="Normal 6 2 2 5 2 2" xfId="5316" xr:uid="{00000000-0005-0000-0000-000010130000}"/>
    <cellStyle name="Normal 6 2 2 5 3" xfId="5315" xr:uid="{00000000-0005-0000-0000-000011130000}"/>
    <cellStyle name="Normal 6 2 2 6" xfId="3256" xr:uid="{00000000-0005-0000-0000-000012130000}"/>
    <cellStyle name="Normal 6 2 2 6 2" xfId="4375" xr:uid="{00000000-0005-0000-0000-000013130000}"/>
    <cellStyle name="Normal 6 2 2 6 2 2" xfId="5318" xr:uid="{00000000-0005-0000-0000-000014130000}"/>
    <cellStyle name="Normal 6 2 2 6 3" xfId="5317" xr:uid="{00000000-0005-0000-0000-000015130000}"/>
    <cellStyle name="Normal 6 2 2 7" xfId="4367" xr:uid="{00000000-0005-0000-0000-000016130000}"/>
    <cellStyle name="Normal 6 2 2 7 2" xfId="5319" xr:uid="{00000000-0005-0000-0000-000017130000}"/>
    <cellStyle name="Normal 6 2 2 8" xfId="5302" xr:uid="{00000000-0005-0000-0000-000018130000}"/>
    <cellStyle name="Normal 6 2 3" xfId="3257" xr:uid="{00000000-0005-0000-0000-000019130000}"/>
    <cellStyle name="Normal 6 2 3 2" xfId="3258" xr:uid="{00000000-0005-0000-0000-00001A130000}"/>
    <cellStyle name="Normal 6 2 3 2 2" xfId="4377" xr:uid="{00000000-0005-0000-0000-00001B130000}"/>
    <cellStyle name="Normal 6 2 3 2 2 2" xfId="5322" xr:uid="{00000000-0005-0000-0000-00001C130000}"/>
    <cellStyle name="Normal 6 2 3 2 3" xfId="5321" xr:uid="{00000000-0005-0000-0000-00001D130000}"/>
    <cellStyle name="Normal 6 2 3 3" xfId="3259" xr:uid="{00000000-0005-0000-0000-00001E130000}"/>
    <cellStyle name="Normal 6 2 3 3 2" xfId="4378" xr:uid="{00000000-0005-0000-0000-00001F130000}"/>
    <cellStyle name="Normal 6 2 3 3 2 2" xfId="5324" xr:uid="{00000000-0005-0000-0000-000020130000}"/>
    <cellStyle name="Normal 6 2 3 3 3" xfId="5323" xr:uid="{00000000-0005-0000-0000-000021130000}"/>
    <cellStyle name="Normal 6 2 3 4" xfId="3260" xr:uid="{00000000-0005-0000-0000-000022130000}"/>
    <cellStyle name="Normal 6 2 3 4 2" xfId="4379" xr:uid="{00000000-0005-0000-0000-000023130000}"/>
    <cellStyle name="Normal 6 2 3 4 2 2" xfId="5326" xr:uid="{00000000-0005-0000-0000-000024130000}"/>
    <cellStyle name="Normal 6 2 3 4 3" xfId="5325" xr:uid="{00000000-0005-0000-0000-000025130000}"/>
    <cellStyle name="Normal 6 2 3 5" xfId="4376" xr:uid="{00000000-0005-0000-0000-000026130000}"/>
    <cellStyle name="Normal 6 2 3 5 2" xfId="5327" xr:uid="{00000000-0005-0000-0000-000027130000}"/>
    <cellStyle name="Normal 6 2 3 6" xfId="5320" xr:uid="{00000000-0005-0000-0000-000028130000}"/>
    <cellStyle name="Normal 6 2 4" xfId="3261" xr:uid="{00000000-0005-0000-0000-000029130000}"/>
    <cellStyle name="Normal 6 2 4 2" xfId="4380" xr:uid="{00000000-0005-0000-0000-00002A130000}"/>
    <cellStyle name="Normal 6 2 4 2 2" xfId="5329" xr:uid="{00000000-0005-0000-0000-00002B130000}"/>
    <cellStyle name="Normal 6 2 4 3" xfId="5328" xr:uid="{00000000-0005-0000-0000-00002C130000}"/>
    <cellStyle name="Normal 6 2 5" xfId="3262" xr:uid="{00000000-0005-0000-0000-00002D130000}"/>
    <cellStyle name="Normal 6 2 5 2" xfId="4381" xr:uid="{00000000-0005-0000-0000-00002E130000}"/>
    <cellStyle name="Normal 6 2 5 2 2" xfId="5331" xr:uid="{00000000-0005-0000-0000-00002F130000}"/>
    <cellStyle name="Normal 6 2 5 3" xfId="5330" xr:uid="{00000000-0005-0000-0000-000030130000}"/>
    <cellStyle name="Normal 6 2 6" xfId="3263" xr:uid="{00000000-0005-0000-0000-000031130000}"/>
    <cellStyle name="Normal 6 2 6 2" xfId="4382" xr:uid="{00000000-0005-0000-0000-000032130000}"/>
    <cellStyle name="Normal 6 2 6 2 2" xfId="5333" xr:uid="{00000000-0005-0000-0000-000033130000}"/>
    <cellStyle name="Normal 6 2 6 3" xfId="5332" xr:uid="{00000000-0005-0000-0000-000034130000}"/>
    <cellStyle name="Normal 6 2 7" xfId="3264" xr:uid="{00000000-0005-0000-0000-000035130000}"/>
    <cellStyle name="Normal 6 2 8" xfId="3265" xr:uid="{00000000-0005-0000-0000-000036130000}"/>
    <cellStyle name="Normal 6 2 8 2" xfId="4383" xr:uid="{00000000-0005-0000-0000-000037130000}"/>
    <cellStyle name="Normal 6 2 8 2 2" xfId="5335" xr:uid="{00000000-0005-0000-0000-000038130000}"/>
    <cellStyle name="Normal 6 2 8 3" xfId="5334" xr:uid="{00000000-0005-0000-0000-000039130000}"/>
    <cellStyle name="Normal 6 2 9" xfId="4366" xr:uid="{00000000-0005-0000-0000-00003A130000}"/>
    <cellStyle name="Normal 6 2 9 2" xfId="5336" xr:uid="{00000000-0005-0000-0000-00003B130000}"/>
    <cellStyle name="Normal 6 3" xfId="3266" xr:uid="{00000000-0005-0000-0000-00003C130000}"/>
    <cellStyle name="Normal 6 3 10" xfId="5337" xr:uid="{00000000-0005-0000-0000-00003D130000}"/>
    <cellStyle name="Normal 6 3 2" xfId="3267" xr:uid="{00000000-0005-0000-0000-00003E130000}"/>
    <cellStyle name="Normal 6 3 2 2" xfId="3268" xr:uid="{00000000-0005-0000-0000-00003F130000}"/>
    <cellStyle name="Normal 6 3 2 2 2" xfId="4386" xr:uid="{00000000-0005-0000-0000-000040130000}"/>
    <cellStyle name="Normal 6 3 2 2 2 2" xfId="5340" xr:uid="{00000000-0005-0000-0000-000041130000}"/>
    <cellStyle name="Normal 6 3 2 2 3" xfId="5339" xr:uid="{00000000-0005-0000-0000-000042130000}"/>
    <cellStyle name="Normal 6 3 2 3" xfId="3269" xr:uid="{00000000-0005-0000-0000-000043130000}"/>
    <cellStyle name="Normal 6 3 2 3 2" xfId="4387" xr:uid="{00000000-0005-0000-0000-000044130000}"/>
    <cellStyle name="Normal 6 3 2 3 2 2" xfId="5342" xr:uid="{00000000-0005-0000-0000-000045130000}"/>
    <cellStyle name="Normal 6 3 2 3 3" xfId="5341" xr:uid="{00000000-0005-0000-0000-000046130000}"/>
    <cellStyle name="Normal 6 3 2 4" xfId="3270" xr:uid="{00000000-0005-0000-0000-000047130000}"/>
    <cellStyle name="Normal 6 3 2 4 2" xfId="4388" xr:uid="{00000000-0005-0000-0000-000048130000}"/>
    <cellStyle name="Normal 6 3 2 4 2 2" xfId="5344" xr:uid="{00000000-0005-0000-0000-000049130000}"/>
    <cellStyle name="Normal 6 3 2 4 3" xfId="5343" xr:uid="{00000000-0005-0000-0000-00004A130000}"/>
    <cellStyle name="Normal 6 3 2 5" xfId="4385" xr:uid="{00000000-0005-0000-0000-00004B130000}"/>
    <cellStyle name="Normal 6 3 2 5 2" xfId="5345" xr:uid="{00000000-0005-0000-0000-00004C130000}"/>
    <cellStyle name="Normal 6 3 2 6" xfId="5338" xr:uid="{00000000-0005-0000-0000-00004D130000}"/>
    <cellStyle name="Normal 6 3 3" xfId="3271" xr:uid="{00000000-0005-0000-0000-00004E130000}"/>
    <cellStyle name="Normal 6 3 3 2" xfId="4389" xr:uid="{00000000-0005-0000-0000-00004F130000}"/>
    <cellStyle name="Normal 6 3 3 2 2" xfId="5347" xr:uid="{00000000-0005-0000-0000-000050130000}"/>
    <cellStyle name="Normal 6 3 3 3" xfId="5346" xr:uid="{00000000-0005-0000-0000-000051130000}"/>
    <cellStyle name="Normal 6 3 4" xfId="3272" xr:uid="{00000000-0005-0000-0000-000052130000}"/>
    <cellStyle name="Normal 6 3 4 2" xfId="4390" xr:uid="{00000000-0005-0000-0000-000053130000}"/>
    <cellStyle name="Normal 6 3 4 2 2" xfId="5349" xr:uid="{00000000-0005-0000-0000-000054130000}"/>
    <cellStyle name="Normal 6 3 4 3" xfId="5348" xr:uid="{00000000-0005-0000-0000-000055130000}"/>
    <cellStyle name="Normal 6 3 5" xfId="3273" xr:uid="{00000000-0005-0000-0000-000056130000}"/>
    <cellStyle name="Normal 6 3 5 2" xfId="4391" xr:uid="{00000000-0005-0000-0000-000057130000}"/>
    <cellStyle name="Normal 6 3 5 2 2" xfId="5351" xr:uid="{00000000-0005-0000-0000-000058130000}"/>
    <cellStyle name="Normal 6 3 5 3" xfId="5350" xr:uid="{00000000-0005-0000-0000-000059130000}"/>
    <cellStyle name="Normal 6 3 6" xfId="3274" xr:uid="{00000000-0005-0000-0000-00005A130000}"/>
    <cellStyle name="Normal 6 3 6 2" xfId="4392" xr:uid="{00000000-0005-0000-0000-00005B130000}"/>
    <cellStyle name="Normal 6 3 6 2 2" xfId="5353" xr:uid="{00000000-0005-0000-0000-00005C130000}"/>
    <cellStyle name="Normal 6 3 6 3" xfId="5352" xr:uid="{00000000-0005-0000-0000-00005D130000}"/>
    <cellStyle name="Normal 6 3 7" xfId="3275" xr:uid="{00000000-0005-0000-0000-00005E130000}"/>
    <cellStyle name="Normal 6 3 8" xfId="3276" xr:uid="{00000000-0005-0000-0000-00005F130000}"/>
    <cellStyle name="Normal 6 3 8 2" xfId="4393" xr:uid="{00000000-0005-0000-0000-000060130000}"/>
    <cellStyle name="Normal 6 3 8 2 2" xfId="5355" xr:uid="{00000000-0005-0000-0000-000061130000}"/>
    <cellStyle name="Normal 6 3 8 3" xfId="5354" xr:uid="{00000000-0005-0000-0000-000062130000}"/>
    <cellStyle name="Normal 6 3 9" xfId="4384" xr:uid="{00000000-0005-0000-0000-000063130000}"/>
    <cellStyle name="Normal 6 3 9 2" xfId="5356" xr:uid="{00000000-0005-0000-0000-000064130000}"/>
    <cellStyle name="Normal 6 4" xfId="3277" xr:uid="{00000000-0005-0000-0000-000065130000}"/>
    <cellStyle name="Normal 6 4 2" xfId="3278" xr:uid="{00000000-0005-0000-0000-000066130000}"/>
    <cellStyle name="Normal 6 4 2 2" xfId="4395" xr:uid="{00000000-0005-0000-0000-000067130000}"/>
    <cellStyle name="Normal 6 4 2 2 2" xfId="5359" xr:uid="{00000000-0005-0000-0000-000068130000}"/>
    <cellStyle name="Normal 6 4 2 3" xfId="5358" xr:uid="{00000000-0005-0000-0000-000069130000}"/>
    <cellStyle name="Normal 6 4 3" xfId="3279" xr:uid="{00000000-0005-0000-0000-00006A130000}"/>
    <cellStyle name="Normal 6 4 3 2" xfId="4396" xr:uid="{00000000-0005-0000-0000-00006B130000}"/>
    <cellStyle name="Normal 6 4 3 2 2" xfId="5361" xr:uid="{00000000-0005-0000-0000-00006C130000}"/>
    <cellStyle name="Normal 6 4 3 3" xfId="5360" xr:uid="{00000000-0005-0000-0000-00006D130000}"/>
    <cellStyle name="Normal 6 4 4" xfId="3280" xr:uid="{00000000-0005-0000-0000-00006E130000}"/>
    <cellStyle name="Normal 6 4 4 2" xfId="4397" xr:uid="{00000000-0005-0000-0000-00006F130000}"/>
    <cellStyle name="Normal 6 4 4 2 2" xfId="5363" xr:uid="{00000000-0005-0000-0000-000070130000}"/>
    <cellStyle name="Normal 6 4 4 3" xfId="5362" xr:uid="{00000000-0005-0000-0000-000071130000}"/>
    <cellStyle name="Normal 6 4 5" xfId="3281" xr:uid="{00000000-0005-0000-0000-000072130000}"/>
    <cellStyle name="Normal 6 4 5 2" xfId="4398" xr:uid="{00000000-0005-0000-0000-000073130000}"/>
    <cellStyle name="Normal 6 4 5 2 2" xfId="5365" xr:uid="{00000000-0005-0000-0000-000074130000}"/>
    <cellStyle name="Normal 6 4 5 3" xfId="5364" xr:uid="{00000000-0005-0000-0000-000075130000}"/>
    <cellStyle name="Normal 6 4 6" xfId="3282" xr:uid="{00000000-0005-0000-0000-000076130000}"/>
    <cellStyle name="Normal 6 4 7" xfId="3283" xr:uid="{00000000-0005-0000-0000-000077130000}"/>
    <cellStyle name="Normal 6 4 7 2" xfId="4399" xr:uid="{00000000-0005-0000-0000-000078130000}"/>
    <cellStyle name="Normal 6 4 7 2 2" xfId="5367" xr:uid="{00000000-0005-0000-0000-000079130000}"/>
    <cellStyle name="Normal 6 4 7 3" xfId="5366" xr:uid="{00000000-0005-0000-0000-00007A130000}"/>
    <cellStyle name="Normal 6 4 8" xfId="4394" xr:uid="{00000000-0005-0000-0000-00007B130000}"/>
    <cellStyle name="Normal 6 4 8 2" xfId="5368" xr:uid="{00000000-0005-0000-0000-00007C130000}"/>
    <cellStyle name="Normal 6 4 9" xfId="5357" xr:uid="{00000000-0005-0000-0000-00007D130000}"/>
    <cellStyle name="Normal 6 5" xfId="3284" xr:uid="{00000000-0005-0000-0000-00007E130000}"/>
    <cellStyle name="Normal 6 5 2" xfId="3285" xr:uid="{00000000-0005-0000-0000-00007F130000}"/>
    <cellStyle name="Normal 6 5 2 2" xfId="4401" xr:uid="{00000000-0005-0000-0000-000080130000}"/>
    <cellStyle name="Normal 6 5 2 2 2" xfId="5371" xr:uid="{00000000-0005-0000-0000-000081130000}"/>
    <cellStyle name="Normal 6 5 2 3" xfId="5370" xr:uid="{00000000-0005-0000-0000-000082130000}"/>
    <cellStyle name="Normal 6 5 3" xfId="3286" xr:uid="{00000000-0005-0000-0000-000083130000}"/>
    <cellStyle name="Normal 6 5 4" xfId="4400" xr:uid="{00000000-0005-0000-0000-000084130000}"/>
    <cellStyle name="Normal 6 5 4 2" xfId="5372" xr:uid="{00000000-0005-0000-0000-000085130000}"/>
    <cellStyle name="Normal 6 5 5" xfId="5369" xr:uid="{00000000-0005-0000-0000-000086130000}"/>
    <cellStyle name="Normal 6 6" xfId="3287" xr:uid="{00000000-0005-0000-0000-000087130000}"/>
    <cellStyle name="Normal 6 6 2" xfId="4402" xr:uid="{00000000-0005-0000-0000-000088130000}"/>
    <cellStyle name="Normal 6 6 2 2" xfId="5374" xr:uid="{00000000-0005-0000-0000-000089130000}"/>
    <cellStyle name="Normal 6 6 3" xfId="5373" xr:uid="{00000000-0005-0000-0000-00008A130000}"/>
    <cellStyle name="Normal 6 7" xfId="3288" xr:uid="{00000000-0005-0000-0000-00008B130000}"/>
    <cellStyle name="Normal 6 7 2" xfId="4403" xr:uid="{00000000-0005-0000-0000-00008C130000}"/>
    <cellStyle name="Normal 6 7 2 2" xfId="5376" xr:uid="{00000000-0005-0000-0000-00008D130000}"/>
    <cellStyle name="Normal 6 7 3" xfId="5375" xr:uid="{00000000-0005-0000-0000-00008E130000}"/>
    <cellStyle name="Normal 6 8" xfId="3289" xr:uid="{00000000-0005-0000-0000-00008F130000}"/>
    <cellStyle name="Normal 6 9" xfId="3290" xr:uid="{00000000-0005-0000-0000-000090130000}"/>
    <cellStyle name="Normal 6 9 2" xfId="4404" xr:uid="{00000000-0005-0000-0000-000091130000}"/>
    <cellStyle name="Normal 6 9 2 2" xfId="5378" xr:uid="{00000000-0005-0000-0000-000092130000}"/>
    <cellStyle name="Normal 6 9 3" xfId="5377" xr:uid="{00000000-0005-0000-0000-000093130000}"/>
    <cellStyle name="Normal 60" xfId="3291" xr:uid="{00000000-0005-0000-0000-000094130000}"/>
    <cellStyle name="Normal 60 2" xfId="4405" xr:uid="{00000000-0005-0000-0000-000095130000}"/>
    <cellStyle name="Normal 60 2 2" xfId="5380" xr:uid="{00000000-0005-0000-0000-000096130000}"/>
    <cellStyle name="Normal 60 3" xfId="5379" xr:uid="{00000000-0005-0000-0000-000097130000}"/>
    <cellStyle name="Normal 61" xfId="3292" xr:uid="{00000000-0005-0000-0000-000098130000}"/>
    <cellStyle name="Normal 61 2" xfId="4406" xr:uid="{00000000-0005-0000-0000-000099130000}"/>
    <cellStyle name="Normal 61 2 2" xfId="5382" xr:uid="{00000000-0005-0000-0000-00009A130000}"/>
    <cellStyle name="Normal 61 3" xfId="5381" xr:uid="{00000000-0005-0000-0000-00009B130000}"/>
    <cellStyle name="Normal 62" xfId="3293" xr:uid="{00000000-0005-0000-0000-00009C130000}"/>
    <cellStyle name="Normal 62 2" xfId="4407" xr:uid="{00000000-0005-0000-0000-00009D130000}"/>
    <cellStyle name="Normal 62 2 2" xfId="5384" xr:uid="{00000000-0005-0000-0000-00009E130000}"/>
    <cellStyle name="Normal 62 3" xfId="5383" xr:uid="{00000000-0005-0000-0000-00009F130000}"/>
    <cellStyle name="Normal 63" xfId="3294" xr:uid="{00000000-0005-0000-0000-0000A0130000}"/>
    <cellStyle name="Normal 63 2" xfId="4408" xr:uid="{00000000-0005-0000-0000-0000A1130000}"/>
    <cellStyle name="Normal 63 2 2" xfId="5386" xr:uid="{00000000-0005-0000-0000-0000A2130000}"/>
    <cellStyle name="Normal 63 3" xfId="5385" xr:uid="{00000000-0005-0000-0000-0000A3130000}"/>
    <cellStyle name="Normal 64" xfId="3295" xr:uid="{00000000-0005-0000-0000-0000A4130000}"/>
    <cellStyle name="Normal 64 2" xfId="4409" xr:uid="{00000000-0005-0000-0000-0000A5130000}"/>
    <cellStyle name="Normal 64 2 2" xfId="5388" xr:uid="{00000000-0005-0000-0000-0000A6130000}"/>
    <cellStyle name="Normal 64 3" xfId="5387" xr:uid="{00000000-0005-0000-0000-0000A7130000}"/>
    <cellStyle name="Normal 65" xfId="3296" xr:uid="{00000000-0005-0000-0000-0000A8130000}"/>
    <cellStyle name="Normal 65 2" xfId="4410" xr:uid="{00000000-0005-0000-0000-0000A9130000}"/>
    <cellStyle name="Normal 65 2 2" xfId="5390" xr:uid="{00000000-0005-0000-0000-0000AA130000}"/>
    <cellStyle name="Normal 65 3" xfId="5389" xr:uid="{00000000-0005-0000-0000-0000AB130000}"/>
    <cellStyle name="Normal 66" xfId="3297" xr:uid="{00000000-0005-0000-0000-0000AC130000}"/>
    <cellStyle name="Normal 66 2" xfId="4411" xr:uid="{00000000-0005-0000-0000-0000AD130000}"/>
    <cellStyle name="Normal 66 2 2" xfId="5392" xr:uid="{00000000-0005-0000-0000-0000AE130000}"/>
    <cellStyle name="Normal 66 3" xfId="5391" xr:uid="{00000000-0005-0000-0000-0000AF130000}"/>
    <cellStyle name="Normal 67" xfId="3298" xr:uid="{00000000-0005-0000-0000-0000B0130000}"/>
    <cellStyle name="Normal 67 2" xfId="4412" xr:uid="{00000000-0005-0000-0000-0000B1130000}"/>
    <cellStyle name="Normal 67 2 2" xfId="5394" xr:uid="{00000000-0005-0000-0000-0000B2130000}"/>
    <cellStyle name="Normal 67 3" xfId="5393" xr:uid="{00000000-0005-0000-0000-0000B3130000}"/>
    <cellStyle name="Normal 68" xfId="3299" xr:uid="{00000000-0005-0000-0000-0000B4130000}"/>
    <cellStyle name="Normal 69" xfId="3300" xr:uid="{00000000-0005-0000-0000-0000B5130000}"/>
    <cellStyle name="Normal 7" xfId="3301" xr:uid="{00000000-0005-0000-0000-0000B6130000}"/>
    <cellStyle name="Normal 7 10" xfId="3302" xr:uid="{00000000-0005-0000-0000-0000B7130000}"/>
    <cellStyle name="Normal 7 11" xfId="3303" xr:uid="{00000000-0005-0000-0000-0000B8130000}"/>
    <cellStyle name="Normal 7 11 2" xfId="4414" xr:uid="{00000000-0005-0000-0000-0000B9130000}"/>
    <cellStyle name="Normal 7 11 2 2" xfId="5397" xr:uid="{00000000-0005-0000-0000-0000BA130000}"/>
    <cellStyle name="Normal 7 11 3" xfId="5396" xr:uid="{00000000-0005-0000-0000-0000BB130000}"/>
    <cellStyle name="Normal 7 12" xfId="4413" xr:uid="{00000000-0005-0000-0000-0000BC130000}"/>
    <cellStyle name="Normal 7 12 2" xfId="5398" xr:uid="{00000000-0005-0000-0000-0000BD130000}"/>
    <cellStyle name="Normal 7 13" xfId="5395" xr:uid="{00000000-0005-0000-0000-0000BE130000}"/>
    <cellStyle name="Normal 7 2" xfId="3304" xr:uid="{00000000-0005-0000-0000-0000BF130000}"/>
    <cellStyle name="Normal 7 2 10" xfId="3305" xr:uid="{00000000-0005-0000-0000-0000C0130000}"/>
    <cellStyle name="Normal 7 2 10 2" xfId="4416" xr:uid="{00000000-0005-0000-0000-0000C1130000}"/>
    <cellStyle name="Normal 7 2 10 2 2" xfId="5401" xr:uid="{00000000-0005-0000-0000-0000C2130000}"/>
    <cellStyle name="Normal 7 2 10 3" xfId="5400" xr:uid="{00000000-0005-0000-0000-0000C3130000}"/>
    <cellStyle name="Normal 7 2 11" xfId="4415" xr:uid="{00000000-0005-0000-0000-0000C4130000}"/>
    <cellStyle name="Normal 7 2 11 2" xfId="5402" xr:uid="{00000000-0005-0000-0000-0000C5130000}"/>
    <cellStyle name="Normal 7 2 12" xfId="5399" xr:uid="{00000000-0005-0000-0000-0000C6130000}"/>
    <cellStyle name="Normal 7 2 2" xfId="3306" xr:uid="{00000000-0005-0000-0000-0000C7130000}"/>
    <cellStyle name="Normal 7 2 2 10" xfId="5403" xr:uid="{00000000-0005-0000-0000-0000C8130000}"/>
    <cellStyle name="Normal 7 2 2 2" xfId="3307" xr:uid="{00000000-0005-0000-0000-0000C9130000}"/>
    <cellStyle name="Normal 7 2 2 2 2" xfId="3308" xr:uid="{00000000-0005-0000-0000-0000CA130000}"/>
    <cellStyle name="Normal 7 2 2 2 2 2" xfId="4419" xr:uid="{00000000-0005-0000-0000-0000CB130000}"/>
    <cellStyle name="Normal 7 2 2 2 2 2 2" xfId="5406" xr:uid="{00000000-0005-0000-0000-0000CC130000}"/>
    <cellStyle name="Normal 7 2 2 2 2 3" xfId="5405" xr:uid="{00000000-0005-0000-0000-0000CD130000}"/>
    <cellStyle name="Normal 7 2 2 2 3" xfId="3309" xr:uid="{00000000-0005-0000-0000-0000CE130000}"/>
    <cellStyle name="Normal 7 2 2 2 3 2" xfId="4420" xr:uid="{00000000-0005-0000-0000-0000CF130000}"/>
    <cellStyle name="Normal 7 2 2 2 3 2 2" xfId="5408" xr:uid="{00000000-0005-0000-0000-0000D0130000}"/>
    <cellStyle name="Normal 7 2 2 2 3 3" xfId="5407" xr:uid="{00000000-0005-0000-0000-0000D1130000}"/>
    <cellStyle name="Normal 7 2 2 2 4" xfId="3310" xr:uid="{00000000-0005-0000-0000-0000D2130000}"/>
    <cellStyle name="Normal 7 2 2 2 4 2" xfId="4421" xr:uid="{00000000-0005-0000-0000-0000D3130000}"/>
    <cellStyle name="Normal 7 2 2 2 4 2 2" xfId="5410" xr:uid="{00000000-0005-0000-0000-0000D4130000}"/>
    <cellStyle name="Normal 7 2 2 2 4 3" xfId="5409" xr:uid="{00000000-0005-0000-0000-0000D5130000}"/>
    <cellStyle name="Normal 7 2 2 2 5" xfId="4418" xr:uid="{00000000-0005-0000-0000-0000D6130000}"/>
    <cellStyle name="Normal 7 2 2 2 5 2" xfId="5411" xr:uid="{00000000-0005-0000-0000-0000D7130000}"/>
    <cellStyle name="Normal 7 2 2 2 6" xfId="5404" xr:uid="{00000000-0005-0000-0000-0000D8130000}"/>
    <cellStyle name="Normal 7 2 2 3" xfId="3311" xr:uid="{00000000-0005-0000-0000-0000D9130000}"/>
    <cellStyle name="Normal 7 2 2 3 2" xfId="4422" xr:uid="{00000000-0005-0000-0000-0000DA130000}"/>
    <cellStyle name="Normal 7 2 2 3 2 2" xfId="5413" xr:uid="{00000000-0005-0000-0000-0000DB130000}"/>
    <cellStyle name="Normal 7 2 2 3 3" xfId="5412" xr:uid="{00000000-0005-0000-0000-0000DC130000}"/>
    <cellStyle name="Normal 7 2 2 4" xfId="3312" xr:uid="{00000000-0005-0000-0000-0000DD130000}"/>
    <cellStyle name="Normal 7 2 2 4 2" xfId="4423" xr:uid="{00000000-0005-0000-0000-0000DE130000}"/>
    <cellStyle name="Normal 7 2 2 4 2 2" xfId="5415" xr:uid="{00000000-0005-0000-0000-0000DF130000}"/>
    <cellStyle name="Normal 7 2 2 4 3" xfId="5414" xr:uid="{00000000-0005-0000-0000-0000E0130000}"/>
    <cellStyle name="Normal 7 2 2 5" xfId="3313" xr:uid="{00000000-0005-0000-0000-0000E1130000}"/>
    <cellStyle name="Normal 7 2 2 5 2" xfId="4424" xr:uid="{00000000-0005-0000-0000-0000E2130000}"/>
    <cellStyle name="Normal 7 2 2 5 2 2" xfId="5417" xr:uid="{00000000-0005-0000-0000-0000E3130000}"/>
    <cellStyle name="Normal 7 2 2 5 3" xfId="5416" xr:uid="{00000000-0005-0000-0000-0000E4130000}"/>
    <cellStyle name="Normal 7 2 2 6" xfId="3314" xr:uid="{00000000-0005-0000-0000-0000E5130000}"/>
    <cellStyle name="Normal 7 2 2 6 2" xfId="4425" xr:uid="{00000000-0005-0000-0000-0000E6130000}"/>
    <cellStyle name="Normal 7 2 2 6 2 2" xfId="5419" xr:uid="{00000000-0005-0000-0000-0000E7130000}"/>
    <cellStyle name="Normal 7 2 2 6 3" xfId="5418" xr:uid="{00000000-0005-0000-0000-0000E8130000}"/>
    <cellStyle name="Normal 7 2 2 7" xfId="3315" xr:uid="{00000000-0005-0000-0000-0000E9130000}"/>
    <cellStyle name="Normal 7 2 2 8" xfId="3316" xr:uid="{00000000-0005-0000-0000-0000EA130000}"/>
    <cellStyle name="Normal 7 2 2 8 2" xfId="4426" xr:uid="{00000000-0005-0000-0000-0000EB130000}"/>
    <cellStyle name="Normal 7 2 2 8 2 2" xfId="5421" xr:uid="{00000000-0005-0000-0000-0000EC130000}"/>
    <cellStyle name="Normal 7 2 2 8 3" xfId="5420" xr:uid="{00000000-0005-0000-0000-0000ED130000}"/>
    <cellStyle name="Normal 7 2 2 9" xfId="4417" xr:uid="{00000000-0005-0000-0000-0000EE130000}"/>
    <cellStyle name="Normal 7 2 2 9 2" xfId="5422" xr:uid="{00000000-0005-0000-0000-0000EF130000}"/>
    <cellStyle name="Normal 7 2 3" xfId="3317" xr:uid="{00000000-0005-0000-0000-0000F0130000}"/>
    <cellStyle name="Normal 7 2 3 2" xfId="3318" xr:uid="{00000000-0005-0000-0000-0000F1130000}"/>
    <cellStyle name="Normal 7 2 3 2 2" xfId="4428" xr:uid="{00000000-0005-0000-0000-0000F2130000}"/>
    <cellStyle name="Normal 7 2 3 2 2 2" xfId="5425" xr:uid="{00000000-0005-0000-0000-0000F3130000}"/>
    <cellStyle name="Normal 7 2 3 2 3" xfId="5424" xr:uid="{00000000-0005-0000-0000-0000F4130000}"/>
    <cellStyle name="Normal 7 2 3 3" xfId="3319" xr:uid="{00000000-0005-0000-0000-0000F5130000}"/>
    <cellStyle name="Normal 7 2 3 3 2" xfId="4429" xr:uid="{00000000-0005-0000-0000-0000F6130000}"/>
    <cellStyle name="Normal 7 2 3 3 2 2" xfId="5427" xr:uid="{00000000-0005-0000-0000-0000F7130000}"/>
    <cellStyle name="Normal 7 2 3 3 3" xfId="5426" xr:uid="{00000000-0005-0000-0000-0000F8130000}"/>
    <cellStyle name="Normal 7 2 3 4" xfId="3320" xr:uid="{00000000-0005-0000-0000-0000F9130000}"/>
    <cellStyle name="Normal 7 2 3 4 2" xfId="4430" xr:uid="{00000000-0005-0000-0000-0000FA130000}"/>
    <cellStyle name="Normal 7 2 3 4 2 2" xfId="5429" xr:uid="{00000000-0005-0000-0000-0000FB130000}"/>
    <cellStyle name="Normal 7 2 3 4 3" xfId="5428" xr:uid="{00000000-0005-0000-0000-0000FC130000}"/>
    <cellStyle name="Normal 7 2 3 5" xfId="3321" xr:uid="{00000000-0005-0000-0000-0000FD130000}"/>
    <cellStyle name="Normal 7 2 3 5 2" xfId="4431" xr:uid="{00000000-0005-0000-0000-0000FE130000}"/>
    <cellStyle name="Normal 7 2 3 5 2 2" xfId="5431" xr:uid="{00000000-0005-0000-0000-0000FF130000}"/>
    <cellStyle name="Normal 7 2 3 5 3" xfId="5430" xr:uid="{00000000-0005-0000-0000-000000140000}"/>
    <cellStyle name="Normal 7 2 3 6" xfId="4427" xr:uid="{00000000-0005-0000-0000-000001140000}"/>
    <cellStyle name="Normal 7 2 3 6 2" xfId="5432" xr:uid="{00000000-0005-0000-0000-000002140000}"/>
    <cellStyle name="Normal 7 2 3 7" xfId="5423" xr:uid="{00000000-0005-0000-0000-000003140000}"/>
    <cellStyle name="Normal 7 2 4" xfId="3322" xr:uid="{00000000-0005-0000-0000-000004140000}"/>
    <cellStyle name="Normal 7 2 4 2" xfId="4432" xr:uid="{00000000-0005-0000-0000-000005140000}"/>
    <cellStyle name="Normal 7 2 4 2 2" xfId="5434" xr:uid="{00000000-0005-0000-0000-000006140000}"/>
    <cellStyle name="Normal 7 2 4 3" xfId="5433" xr:uid="{00000000-0005-0000-0000-000007140000}"/>
    <cellStyle name="Normal 7 2 5" xfId="3323" xr:uid="{00000000-0005-0000-0000-000008140000}"/>
    <cellStyle name="Normal 7 2 5 2" xfId="4433" xr:uid="{00000000-0005-0000-0000-000009140000}"/>
    <cellStyle name="Normal 7 2 5 2 2" xfId="5436" xr:uid="{00000000-0005-0000-0000-00000A140000}"/>
    <cellStyle name="Normal 7 2 5 3" xfId="5435" xr:uid="{00000000-0005-0000-0000-00000B140000}"/>
    <cellStyle name="Normal 7 2 6" xfId="3324" xr:uid="{00000000-0005-0000-0000-00000C140000}"/>
    <cellStyle name="Normal 7 2 7" xfId="3325" xr:uid="{00000000-0005-0000-0000-00000D140000}"/>
    <cellStyle name="Normal 7 2 7 2" xfId="4434" xr:uid="{00000000-0005-0000-0000-00000E140000}"/>
    <cellStyle name="Normal 7 2 7 2 2" xfId="5438" xr:uid="{00000000-0005-0000-0000-00000F140000}"/>
    <cellStyle name="Normal 7 2 7 3" xfId="5437" xr:uid="{00000000-0005-0000-0000-000010140000}"/>
    <cellStyle name="Normal 7 2 8" xfId="3326" xr:uid="{00000000-0005-0000-0000-000011140000}"/>
    <cellStyle name="Normal 7 2 8 2" xfId="4435" xr:uid="{00000000-0005-0000-0000-000012140000}"/>
    <cellStyle name="Normal 7 2 8 2 2" xfId="5440" xr:uid="{00000000-0005-0000-0000-000013140000}"/>
    <cellStyle name="Normal 7 2 8 3" xfId="5439" xr:uid="{00000000-0005-0000-0000-000014140000}"/>
    <cellStyle name="Normal 7 2 9" xfId="3327" xr:uid="{00000000-0005-0000-0000-000015140000}"/>
    <cellStyle name="Normal 7 3" xfId="3328" xr:uid="{00000000-0005-0000-0000-000016140000}"/>
    <cellStyle name="Normal 7 3 10" xfId="5441" xr:uid="{00000000-0005-0000-0000-000017140000}"/>
    <cellStyle name="Normal 7 3 2" xfId="3329" xr:uid="{00000000-0005-0000-0000-000018140000}"/>
    <cellStyle name="Normal 7 3 2 2" xfId="3330" xr:uid="{00000000-0005-0000-0000-000019140000}"/>
    <cellStyle name="Normal 7 3 2 2 2" xfId="4438" xr:uid="{00000000-0005-0000-0000-00001A140000}"/>
    <cellStyle name="Normal 7 3 2 2 2 2" xfId="5444" xr:uid="{00000000-0005-0000-0000-00001B140000}"/>
    <cellStyle name="Normal 7 3 2 2 3" xfId="5443" xr:uid="{00000000-0005-0000-0000-00001C140000}"/>
    <cellStyle name="Normal 7 3 2 3" xfId="3331" xr:uid="{00000000-0005-0000-0000-00001D140000}"/>
    <cellStyle name="Normal 7 3 2 3 2" xfId="4439" xr:uid="{00000000-0005-0000-0000-00001E140000}"/>
    <cellStyle name="Normal 7 3 2 3 2 2" xfId="5446" xr:uid="{00000000-0005-0000-0000-00001F140000}"/>
    <cellStyle name="Normal 7 3 2 3 3" xfId="5445" xr:uid="{00000000-0005-0000-0000-000020140000}"/>
    <cellStyle name="Normal 7 3 2 4" xfId="3332" xr:uid="{00000000-0005-0000-0000-000021140000}"/>
    <cellStyle name="Normal 7 3 2 4 2" xfId="4440" xr:uid="{00000000-0005-0000-0000-000022140000}"/>
    <cellStyle name="Normal 7 3 2 4 2 2" xfId="5448" xr:uid="{00000000-0005-0000-0000-000023140000}"/>
    <cellStyle name="Normal 7 3 2 4 3" xfId="5447" xr:uid="{00000000-0005-0000-0000-000024140000}"/>
    <cellStyle name="Normal 7 3 2 5" xfId="4437" xr:uid="{00000000-0005-0000-0000-000025140000}"/>
    <cellStyle name="Normal 7 3 2 5 2" xfId="5449" xr:uid="{00000000-0005-0000-0000-000026140000}"/>
    <cellStyle name="Normal 7 3 2 6" xfId="5442" xr:uid="{00000000-0005-0000-0000-000027140000}"/>
    <cellStyle name="Normal 7 3 3" xfId="3333" xr:uid="{00000000-0005-0000-0000-000028140000}"/>
    <cellStyle name="Normal 7 3 3 2" xfId="4441" xr:uid="{00000000-0005-0000-0000-000029140000}"/>
    <cellStyle name="Normal 7 3 3 2 2" xfId="5451" xr:uid="{00000000-0005-0000-0000-00002A140000}"/>
    <cellStyle name="Normal 7 3 3 3" xfId="5450" xr:uid="{00000000-0005-0000-0000-00002B140000}"/>
    <cellStyle name="Normal 7 3 4" xfId="3334" xr:uid="{00000000-0005-0000-0000-00002C140000}"/>
    <cellStyle name="Normal 7 3 4 2" xfId="4442" xr:uid="{00000000-0005-0000-0000-00002D140000}"/>
    <cellStyle name="Normal 7 3 4 2 2" xfId="5453" xr:uid="{00000000-0005-0000-0000-00002E140000}"/>
    <cellStyle name="Normal 7 3 4 3" xfId="5452" xr:uid="{00000000-0005-0000-0000-00002F140000}"/>
    <cellStyle name="Normal 7 3 5" xfId="3335" xr:uid="{00000000-0005-0000-0000-000030140000}"/>
    <cellStyle name="Normal 7 3 5 2" xfId="4443" xr:uid="{00000000-0005-0000-0000-000031140000}"/>
    <cellStyle name="Normal 7 3 5 2 2" xfId="5455" xr:uid="{00000000-0005-0000-0000-000032140000}"/>
    <cellStyle name="Normal 7 3 5 3" xfId="5454" xr:uid="{00000000-0005-0000-0000-000033140000}"/>
    <cellStyle name="Normal 7 3 6" xfId="3336" xr:uid="{00000000-0005-0000-0000-000034140000}"/>
    <cellStyle name="Normal 7 3 6 2" xfId="4444" xr:uid="{00000000-0005-0000-0000-000035140000}"/>
    <cellStyle name="Normal 7 3 6 2 2" xfId="5457" xr:uid="{00000000-0005-0000-0000-000036140000}"/>
    <cellStyle name="Normal 7 3 6 3" xfId="5456" xr:uid="{00000000-0005-0000-0000-000037140000}"/>
    <cellStyle name="Normal 7 3 7" xfId="3337" xr:uid="{00000000-0005-0000-0000-000038140000}"/>
    <cellStyle name="Normal 7 3 8" xfId="3338" xr:uid="{00000000-0005-0000-0000-000039140000}"/>
    <cellStyle name="Normal 7 3 8 2" xfId="4445" xr:uid="{00000000-0005-0000-0000-00003A140000}"/>
    <cellStyle name="Normal 7 3 8 2 2" xfId="5459" xr:uid="{00000000-0005-0000-0000-00003B140000}"/>
    <cellStyle name="Normal 7 3 8 3" xfId="5458" xr:uid="{00000000-0005-0000-0000-00003C140000}"/>
    <cellStyle name="Normal 7 3 9" xfId="4436" xr:uid="{00000000-0005-0000-0000-00003D140000}"/>
    <cellStyle name="Normal 7 3 9 2" xfId="5460" xr:uid="{00000000-0005-0000-0000-00003E140000}"/>
    <cellStyle name="Normal 7 4" xfId="3339" xr:uid="{00000000-0005-0000-0000-00003F140000}"/>
    <cellStyle name="Normal 7 4 2" xfId="3340" xr:uid="{00000000-0005-0000-0000-000040140000}"/>
    <cellStyle name="Normal 7 4 2 2" xfId="4447" xr:uid="{00000000-0005-0000-0000-000041140000}"/>
    <cellStyle name="Normal 7 4 2 2 2" xfId="5463" xr:uid="{00000000-0005-0000-0000-000042140000}"/>
    <cellStyle name="Normal 7 4 2 3" xfId="5462" xr:uid="{00000000-0005-0000-0000-000043140000}"/>
    <cellStyle name="Normal 7 4 3" xfId="3341" xr:uid="{00000000-0005-0000-0000-000044140000}"/>
    <cellStyle name="Normal 7 4 3 2" xfId="4448" xr:uid="{00000000-0005-0000-0000-000045140000}"/>
    <cellStyle name="Normal 7 4 3 2 2" xfId="5465" xr:uid="{00000000-0005-0000-0000-000046140000}"/>
    <cellStyle name="Normal 7 4 3 3" xfId="5464" xr:uid="{00000000-0005-0000-0000-000047140000}"/>
    <cellStyle name="Normal 7 4 4" xfId="3342" xr:uid="{00000000-0005-0000-0000-000048140000}"/>
    <cellStyle name="Normal 7 4 4 2" xfId="4449" xr:uid="{00000000-0005-0000-0000-000049140000}"/>
    <cellStyle name="Normal 7 4 4 2 2" xfId="5467" xr:uid="{00000000-0005-0000-0000-00004A140000}"/>
    <cellStyle name="Normal 7 4 4 3" xfId="5466" xr:uid="{00000000-0005-0000-0000-00004B140000}"/>
    <cellStyle name="Normal 7 4 5" xfId="3343" xr:uid="{00000000-0005-0000-0000-00004C140000}"/>
    <cellStyle name="Normal 7 4 5 2" xfId="4450" xr:uid="{00000000-0005-0000-0000-00004D140000}"/>
    <cellStyle name="Normal 7 4 5 2 2" xfId="5469" xr:uid="{00000000-0005-0000-0000-00004E140000}"/>
    <cellStyle name="Normal 7 4 5 3" xfId="5468" xr:uid="{00000000-0005-0000-0000-00004F140000}"/>
    <cellStyle name="Normal 7 4 6" xfId="3344" xr:uid="{00000000-0005-0000-0000-000050140000}"/>
    <cellStyle name="Normal 7 4 7" xfId="3345" xr:uid="{00000000-0005-0000-0000-000051140000}"/>
    <cellStyle name="Normal 7 4 7 2" xfId="4451" xr:uid="{00000000-0005-0000-0000-000052140000}"/>
    <cellStyle name="Normal 7 4 7 2 2" xfId="5471" xr:uid="{00000000-0005-0000-0000-000053140000}"/>
    <cellStyle name="Normal 7 4 7 3" xfId="5470" xr:uid="{00000000-0005-0000-0000-000054140000}"/>
    <cellStyle name="Normal 7 4 8" xfId="4446" xr:uid="{00000000-0005-0000-0000-000055140000}"/>
    <cellStyle name="Normal 7 4 8 2" xfId="5472" xr:uid="{00000000-0005-0000-0000-000056140000}"/>
    <cellStyle name="Normal 7 4 9" xfId="5461" xr:uid="{00000000-0005-0000-0000-000057140000}"/>
    <cellStyle name="Normal 7 5" xfId="3346" xr:uid="{00000000-0005-0000-0000-000058140000}"/>
    <cellStyle name="Normal 7 5 2" xfId="3347" xr:uid="{00000000-0005-0000-0000-000059140000}"/>
    <cellStyle name="Normal 7 5 2 2" xfId="4453" xr:uid="{00000000-0005-0000-0000-00005A140000}"/>
    <cellStyle name="Normal 7 5 2 2 2" xfId="5475" xr:uid="{00000000-0005-0000-0000-00005B140000}"/>
    <cellStyle name="Normal 7 5 2 3" xfId="5474" xr:uid="{00000000-0005-0000-0000-00005C140000}"/>
    <cellStyle name="Normal 7 5 3" xfId="3348" xr:uid="{00000000-0005-0000-0000-00005D140000}"/>
    <cellStyle name="Normal 7 5 4" xfId="4452" xr:uid="{00000000-0005-0000-0000-00005E140000}"/>
    <cellStyle name="Normal 7 5 4 2" xfId="5476" xr:uid="{00000000-0005-0000-0000-00005F140000}"/>
    <cellStyle name="Normal 7 5 5" xfId="5473" xr:uid="{00000000-0005-0000-0000-000060140000}"/>
    <cellStyle name="Normal 7 6" xfId="3349" xr:uid="{00000000-0005-0000-0000-000061140000}"/>
    <cellStyle name="Normal 7 6 2" xfId="3350" xr:uid="{00000000-0005-0000-0000-000062140000}"/>
    <cellStyle name="Normal 7 6 2 2" xfId="4455" xr:uid="{00000000-0005-0000-0000-000063140000}"/>
    <cellStyle name="Normal 7 6 2 2 2" xfId="5479" xr:uid="{00000000-0005-0000-0000-000064140000}"/>
    <cellStyle name="Normal 7 6 2 3" xfId="5478" xr:uid="{00000000-0005-0000-0000-000065140000}"/>
    <cellStyle name="Normal 7 6 3" xfId="3351" xr:uid="{00000000-0005-0000-0000-000066140000}"/>
    <cellStyle name="Normal 7 6 4" xfId="4454" xr:uid="{00000000-0005-0000-0000-000067140000}"/>
    <cellStyle name="Normal 7 6 4 2" xfId="5480" xr:uid="{00000000-0005-0000-0000-000068140000}"/>
    <cellStyle name="Normal 7 6 5" xfId="5477" xr:uid="{00000000-0005-0000-0000-000069140000}"/>
    <cellStyle name="Normal 7 7" xfId="3352" xr:uid="{00000000-0005-0000-0000-00006A140000}"/>
    <cellStyle name="Normal 7 8" xfId="3353" xr:uid="{00000000-0005-0000-0000-00006B140000}"/>
    <cellStyle name="Normal 7 8 2" xfId="4456" xr:uid="{00000000-0005-0000-0000-00006C140000}"/>
    <cellStyle name="Normal 7 8 2 2" xfId="5482" xr:uid="{00000000-0005-0000-0000-00006D140000}"/>
    <cellStyle name="Normal 7 8 3" xfId="5481" xr:uid="{00000000-0005-0000-0000-00006E140000}"/>
    <cellStyle name="Normal 7 9" xfId="3354" xr:uid="{00000000-0005-0000-0000-00006F140000}"/>
    <cellStyle name="Normal 7 9 2" xfId="4457" xr:uid="{00000000-0005-0000-0000-000070140000}"/>
    <cellStyle name="Normal 7 9 2 2" xfId="5484" xr:uid="{00000000-0005-0000-0000-000071140000}"/>
    <cellStyle name="Normal 7 9 3" xfId="5483" xr:uid="{00000000-0005-0000-0000-000072140000}"/>
    <cellStyle name="Normal 70" xfId="3355" xr:uid="{00000000-0005-0000-0000-000073140000}"/>
    <cellStyle name="Normal 71" xfId="3356" xr:uid="{00000000-0005-0000-0000-000074140000}"/>
    <cellStyle name="Normal 72" xfId="3357" xr:uid="{00000000-0005-0000-0000-000075140000}"/>
    <cellStyle name="Normal 73" xfId="3358" xr:uid="{00000000-0005-0000-0000-000076140000}"/>
    <cellStyle name="Normal 74" xfId="3359" xr:uid="{00000000-0005-0000-0000-000077140000}"/>
    <cellStyle name="Normal 75" xfId="3360" xr:uid="{00000000-0005-0000-0000-000078140000}"/>
    <cellStyle name="Normal 76" xfId="3361" xr:uid="{00000000-0005-0000-0000-000079140000}"/>
    <cellStyle name="Normal 77" xfId="3362" xr:uid="{00000000-0005-0000-0000-00007A140000}"/>
    <cellStyle name="Normal 78" xfId="3363" xr:uid="{00000000-0005-0000-0000-00007B140000}"/>
    <cellStyle name="Normal 79" xfId="3364" xr:uid="{00000000-0005-0000-0000-00007C140000}"/>
    <cellStyle name="Normal 8" xfId="3365" xr:uid="{00000000-0005-0000-0000-00007D140000}"/>
    <cellStyle name="Normal 8 10" xfId="4458" xr:uid="{00000000-0005-0000-0000-00007E140000}"/>
    <cellStyle name="Normal 8 10 2" xfId="5486" xr:uid="{00000000-0005-0000-0000-00007F140000}"/>
    <cellStyle name="Normal 8 11" xfId="5485" xr:uid="{00000000-0005-0000-0000-000080140000}"/>
    <cellStyle name="Normal 8 2" xfId="3366" xr:uid="{00000000-0005-0000-0000-000081140000}"/>
    <cellStyle name="Normal 8 2 10" xfId="5487" xr:uid="{00000000-0005-0000-0000-000082140000}"/>
    <cellStyle name="Normal 8 2 2" xfId="3367" xr:uid="{00000000-0005-0000-0000-000083140000}"/>
    <cellStyle name="Normal 8 2 2 10" xfId="5488" xr:uid="{00000000-0005-0000-0000-000084140000}"/>
    <cellStyle name="Normal 8 2 2 2" xfId="3368" xr:uid="{00000000-0005-0000-0000-000085140000}"/>
    <cellStyle name="Normal 8 2 2 2 2" xfId="3369" xr:uid="{00000000-0005-0000-0000-000086140000}"/>
    <cellStyle name="Normal 8 2 2 2 2 2" xfId="4462" xr:uid="{00000000-0005-0000-0000-000087140000}"/>
    <cellStyle name="Normal 8 2 2 2 2 2 2" xfId="5491" xr:uid="{00000000-0005-0000-0000-000088140000}"/>
    <cellStyle name="Normal 8 2 2 2 2 3" xfId="5490" xr:uid="{00000000-0005-0000-0000-000089140000}"/>
    <cellStyle name="Normal 8 2 2 2 3" xfId="3370" xr:uid="{00000000-0005-0000-0000-00008A140000}"/>
    <cellStyle name="Normal 8 2 2 2 3 2" xfId="4463" xr:uid="{00000000-0005-0000-0000-00008B140000}"/>
    <cellStyle name="Normal 8 2 2 2 3 2 2" xfId="5493" xr:uid="{00000000-0005-0000-0000-00008C140000}"/>
    <cellStyle name="Normal 8 2 2 2 3 3" xfId="5492" xr:uid="{00000000-0005-0000-0000-00008D140000}"/>
    <cellStyle name="Normal 8 2 2 2 4" xfId="3371" xr:uid="{00000000-0005-0000-0000-00008E140000}"/>
    <cellStyle name="Normal 8 2 2 2 4 2" xfId="4464" xr:uid="{00000000-0005-0000-0000-00008F140000}"/>
    <cellStyle name="Normal 8 2 2 2 4 2 2" xfId="5495" xr:uid="{00000000-0005-0000-0000-000090140000}"/>
    <cellStyle name="Normal 8 2 2 2 4 3" xfId="5494" xr:uid="{00000000-0005-0000-0000-000091140000}"/>
    <cellStyle name="Normal 8 2 2 2 5" xfId="4461" xr:uid="{00000000-0005-0000-0000-000092140000}"/>
    <cellStyle name="Normal 8 2 2 2 5 2" xfId="5496" xr:uid="{00000000-0005-0000-0000-000093140000}"/>
    <cellStyle name="Normal 8 2 2 2 6" xfId="5489" xr:uid="{00000000-0005-0000-0000-000094140000}"/>
    <cellStyle name="Normal 8 2 2 3" xfId="3372" xr:uid="{00000000-0005-0000-0000-000095140000}"/>
    <cellStyle name="Normal 8 2 2 3 2" xfId="4465" xr:uid="{00000000-0005-0000-0000-000096140000}"/>
    <cellStyle name="Normal 8 2 2 3 2 2" xfId="5498" xr:uid="{00000000-0005-0000-0000-000097140000}"/>
    <cellStyle name="Normal 8 2 2 3 3" xfId="5497" xr:uid="{00000000-0005-0000-0000-000098140000}"/>
    <cellStyle name="Normal 8 2 2 4" xfId="3373" xr:uid="{00000000-0005-0000-0000-000099140000}"/>
    <cellStyle name="Normal 8 2 2 4 2" xfId="4466" xr:uid="{00000000-0005-0000-0000-00009A140000}"/>
    <cellStyle name="Normal 8 2 2 4 2 2" xfId="5500" xr:uid="{00000000-0005-0000-0000-00009B140000}"/>
    <cellStyle name="Normal 8 2 2 4 3" xfId="5499" xr:uid="{00000000-0005-0000-0000-00009C140000}"/>
    <cellStyle name="Normal 8 2 2 5" xfId="3374" xr:uid="{00000000-0005-0000-0000-00009D140000}"/>
    <cellStyle name="Normal 8 2 2 5 2" xfId="4467" xr:uid="{00000000-0005-0000-0000-00009E140000}"/>
    <cellStyle name="Normal 8 2 2 5 2 2" xfId="5502" xr:uid="{00000000-0005-0000-0000-00009F140000}"/>
    <cellStyle name="Normal 8 2 2 5 3" xfId="5501" xr:uid="{00000000-0005-0000-0000-0000A0140000}"/>
    <cellStyle name="Normal 8 2 2 6" xfId="3375" xr:uid="{00000000-0005-0000-0000-0000A1140000}"/>
    <cellStyle name="Normal 8 2 2 6 2" xfId="4468" xr:uid="{00000000-0005-0000-0000-0000A2140000}"/>
    <cellStyle name="Normal 8 2 2 6 2 2" xfId="5504" xr:uid="{00000000-0005-0000-0000-0000A3140000}"/>
    <cellStyle name="Normal 8 2 2 6 3" xfId="5503" xr:uid="{00000000-0005-0000-0000-0000A4140000}"/>
    <cellStyle name="Normal 8 2 2 7" xfId="3376" xr:uid="{00000000-0005-0000-0000-0000A5140000}"/>
    <cellStyle name="Normal 8 2 2 8" xfId="3377" xr:uid="{00000000-0005-0000-0000-0000A6140000}"/>
    <cellStyle name="Normal 8 2 2 8 2" xfId="4469" xr:uid="{00000000-0005-0000-0000-0000A7140000}"/>
    <cellStyle name="Normal 8 2 2 8 2 2" xfId="5506" xr:uid="{00000000-0005-0000-0000-0000A8140000}"/>
    <cellStyle name="Normal 8 2 2 8 3" xfId="5505" xr:uid="{00000000-0005-0000-0000-0000A9140000}"/>
    <cellStyle name="Normal 8 2 2 9" xfId="4460" xr:uid="{00000000-0005-0000-0000-0000AA140000}"/>
    <cellStyle name="Normal 8 2 2 9 2" xfId="5507" xr:uid="{00000000-0005-0000-0000-0000AB140000}"/>
    <cellStyle name="Normal 8 2 3" xfId="3378" xr:uid="{00000000-0005-0000-0000-0000AC140000}"/>
    <cellStyle name="Normal 8 2 3 2" xfId="3379" xr:uid="{00000000-0005-0000-0000-0000AD140000}"/>
    <cellStyle name="Normal 8 2 3 2 2" xfId="4471" xr:uid="{00000000-0005-0000-0000-0000AE140000}"/>
    <cellStyle name="Normal 8 2 3 2 2 2" xfId="5510" xr:uid="{00000000-0005-0000-0000-0000AF140000}"/>
    <cellStyle name="Normal 8 2 3 2 3" xfId="5509" xr:uid="{00000000-0005-0000-0000-0000B0140000}"/>
    <cellStyle name="Normal 8 2 3 3" xfId="3380" xr:uid="{00000000-0005-0000-0000-0000B1140000}"/>
    <cellStyle name="Normal 8 2 3 3 2" xfId="4472" xr:uid="{00000000-0005-0000-0000-0000B2140000}"/>
    <cellStyle name="Normal 8 2 3 3 2 2" xfId="5512" xr:uid="{00000000-0005-0000-0000-0000B3140000}"/>
    <cellStyle name="Normal 8 2 3 3 3" xfId="5511" xr:uid="{00000000-0005-0000-0000-0000B4140000}"/>
    <cellStyle name="Normal 8 2 3 4" xfId="3381" xr:uid="{00000000-0005-0000-0000-0000B5140000}"/>
    <cellStyle name="Normal 8 2 3 4 2" xfId="4473" xr:uid="{00000000-0005-0000-0000-0000B6140000}"/>
    <cellStyle name="Normal 8 2 3 4 2 2" xfId="5514" xr:uid="{00000000-0005-0000-0000-0000B7140000}"/>
    <cellStyle name="Normal 8 2 3 4 3" xfId="5513" xr:uid="{00000000-0005-0000-0000-0000B8140000}"/>
    <cellStyle name="Normal 8 2 3 5" xfId="4470" xr:uid="{00000000-0005-0000-0000-0000B9140000}"/>
    <cellStyle name="Normal 8 2 3 5 2" xfId="5515" xr:uid="{00000000-0005-0000-0000-0000BA140000}"/>
    <cellStyle name="Normal 8 2 3 6" xfId="5508" xr:uid="{00000000-0005-0000-0000-0000BB140000}"/>
    <cellStyle name="Normal 8 2 4" xfId="3382" xr:uid="{00000000-0005-0000-0000-0000BC140000}"/>
    <cellStyle name="Normal 8 2 4 2" xfId="4474" xr:uid="{00000000-0005-0000-0000-0000BD140000}"/>
    <cellStyle name="Normal 8 2 4 2 2" xfId="5517" xr:uid="{00000000-0005-0000-0000-0000BE140000}"/>
    <cellStyle name="Normal 8 2 4 3" xfId="5516" xr:uid="{00000000-0005-0000-0000-0000BF140000}"/>
    <cellStyle name="Normal 8 2 5" xfId="3383" xr:uid="{00000000-0005-0000-0000-0000C0140000}"/>
    <cellStyle name="Normal 8 2 5 2" xfId="4475" xr:uid="{00000000-0005-0000-0000-0000C1140000}"/>
    <cellStyle name="Normal 8 2 5 2 2" xfId="5519" xr:uid="{00000000-0005-0000-0000-0000C2140000}"/>
    <cellStyle name="Normal 8 2 5 3" xfId="5518" xr:uid="{00000000-0005-0000-0000-0000C3140000}"/>
    <cellStyle name="Normal 8 2 6" xfId="3384" xr:uid="{00000000-0005-0000-0000-0000C4140000}"/>
    <cellStyle name="Normal 8 2 6 2" xfId="4476" xr:uid="{00000000-0005-0000-0000-0000C5140000}"/>
    <cellStyle name="Normal 8 2 6 2 2" xfId="5521" xr:uid="{00000000-0005-0000-0000-0000C6140000}"/>
    <cellStyle name="Normal 8 2 6 3" xfId="5520" xr:uid="{00000000-0005-0000-0000-0000C7140000}"/>
    <cellStyle name="Normal 8 2 7" xfId="3385" xr:uid="{00000000-0005-0000-0000-0000C8140000}"/>
    <cellStyle name="Normal 8 2 8" xfId="3386" xr:uid="{00000000-0005-0000-0000-0000C9140000}"/>
    <cellStyle name="Normal 8 2 8 2" xfId="4477" xr:uid="{00000000-0005-0000-0000-0000CA140000}"/>
    <cellStyle name="Normal 8 2 8 2 2" xfId="5523" xr:uid="{00000000-0005-0000-0000-0000CB140000}"/>
    <cellStyle name="Normal 8 2 8 3" xfId="5522" xr:uid="{00000000-0005-0000-0000-0000CC140000}"/>
    <cellStyle name="Normal 8 2 9" xfId="4459" xr:uid="{00000000-0005-0000-0000-0000CD140000}"/>
    <cellStyle name="Normal 8 2 9 2" xfId="5524" xr:uid="{00000000-0005-0000-0000-0000CE140000}"/>
    <cellStyle name="Normal 8 3" xfId="3387" xr:uid="{00000000-0005-0000-0000-0000CF140000}"/>
    <cellStyle name="Normal 8 3 10" xfId="5525" xr:uid="{00000000-0005-0000-0000-0000D0140000}"/>
    <cellStyle name="Normal 8 3 2" xfId="3388" xr:uid="{00000000-0005-0000-0000-0000D1140000}"/>
    <cellStyle name="Normal 8 3 2 2" xfId="3389" xr:uid="{00000000-0005-0000-0000-0000D2140000}"/>
    <cellStyle name="Normal 8 3 2 2 2" xfId="4480" xr:uid="{00000000-0005-0000-0000-0000D3140000}"/>
    <cellStyle name="Normal 8 3 2 2 2 2" xfId="5528" xr:uid="{00000000-0005-0000-0000-0000D4140000}"/>
    <cellStyle name="Normal 8 3 2 2 3" xfId="5527" xr:uid="{00000000-0005-0000-0000-0000D5140000}"/>
    <cellStyle name="Normal 8 3 2 3" xfId="3390" xr:uid="{00000000-0005-0000-0000-0000D6140000}"/>
    <cellStyle name="Normal 8 3 2 3 2" xfId="4481" xr:uid="{00000000-0005-0000-0000-0000D7140000}"/>
    <cellStyle name="Normal 8 3 2 3 2 2" xfId="5530" xr:uid="{00000000-0005-0000-0000-0000D8140000}"/>
    <cellStyle name="Normal 8 3 2 3 3" xfId="5529" xr:uid="{00000000-0005-0000-0000-0000D9140000}"/>
    <cellStyle name="Normal 8 3 2 4" xfId="3391" xr:uid="{00000000-0005-0000-0000-0000DA140000}"/>
    <cellStyle name="Normal 8 3 2 4 2" xfId="4482" xr:uid="{00000000-0005-0000-0000-0000DB140000}"/>
    <cellStyle name="Normal 8 3 2 4 2 2" xfId="5532" xr:uid="{00000000-0005-0000-0000-0000DC140000}"/>
    <cellStyle name="Normal 8 3 2 4 3" xfId="5531" xr:uid="{00000000-0005-0000-0000-0000DD140000}"/>
    <cellStyle name="Normal 8 3 2 5" xfId="4479" xr:uid="{00000000-0005-0000-0000-0000DE140000}"/>
    <cellStyle name="Normal 8 3 2 5 2" xfId="5533" xr:uid="{00000000-0005-0000-0000-0000DF140000}"/>
    <cellStyle name="Normal 8 3 2 6" xfId="5526" xr:uid="{00000000-0005-0000-0000-0000E0140000}"/>
    <cellStyle name="Normal 8 3 3" xfId="3392" xr:uid="{00000000-0005-0000-0000-0000E1140000}"/>
    <cellStyle name="Normal 8 3 3 2" xfId="4483" xr:uid="{00000000-0005-0000-0000-0000E2140000}"/>
    <cellStyle name="Normal 8 3 3 2 2" xfId="5535" xr:uid="{00000000-0005-0000-0000-0000E3140000}"/>
    <cellStyle name="Normal 8 3 3 3" xfId="5534" xr:uid="{00000000-0005-0000-0000-0000E4140000}"/>
    <cellStyle name="Normal 8 3 4" xfId="3393" xr:uid="{00000000-0005-0000-0000-0000E5140000}"/>
    <cellStyle name="Normal 8 3 4 2" xfId="4484" xr:uid="{00000000-0005-0000-0000-0000E6140000}"/>
    <cellStyle name="Normal 8 3 4 2 2" xfId="5537" xr:uid="{00000000-0005-0000-0000-0000E7140000}"/>
    <cellStyle name="Normal 8 3 4 3" xfId="5536" xr:uid="{00000000-0005-0000-0000-0000E8140000}"/>
    <cellStyle name="Normal 8 3 5" xfId="3394" xr:uid="{00000000-0005-0000-0000-0000E9140000}"/>
    <cellStyle name="Normal 8 3 5 2" xfId="4485" xr:uid="{00000000-0005-0000-0000-0000EA140000}"/>
    <cellStyle name="Normal 8 3 5 2 2" xfId="5539" xr:uid="{00000000-0005-0000-0000-0000EB140000}"/>
    <cellStyle name="Normal 8 3 5 3" xfId="5538" xr:uid="{00000000-0005-0000-0000-0000EC140000}"/>
    <cellStyle name="Normal 8 3 6" xfId="3395" xr:uid="{00000000-0005-0000-0000-0000ED140000}"/>
    <cellStyle name="Normal 8 3 6 2" xfId="4486" xr:uid="{00000000-0005-0000-0000-0000EE140000}"/>
    <cellStyle name="Normal 8 3 6 2 2" xfId="5541" xr:uid="{00000000-0005-0000-0000-0000EF140000}"/>
    <cellStyle name="Normal 8 3 6 3" xfId="5540" xr:uid="{00000000-0005-0000-0000-0000F0140000}"/>
    <cellStyle name="Normal 8 3 7" xfId="3396" xr:uid="{00000000-0005-0000-0000-0000F1140000}"/>
    <cellStyle name="Normal 8 3 8" xfId="3397" xr:uid="{00000000-0005-0000-0000-0000F2140000}"/>
    <cellStyle name="Normal 8 3 8 2" xfId="4487" xr:uid="{00000000-0005-0000-0000-0000F3140000}"/>
    <cellStyle name="Normal 8 3 8 2 2" xfId="5543" xr:uid="{00000000-0005-0000-0000-0000F4140000}"/>
    <cellStyle name="Normal 8 3 8 3" xfId="5542" xr:uid="{00000000-0005-0000-0000-0000F5140000}"/>
    <cellStyle name="Normal 8 3 9" xfId="4478" xr:uid="{00000000-0005-0000-0000-0000F6140000}"/>
    <cellStyle name="Normal 8 3 9 2" xfId="5544" xr:uid="{00000000-0005-0000-0000-0000F7140000}"/>
    <cellStyle name="Normal 8 4" xfId="3398" xr:uid="{00000000-0005-0000-0000-0000F8140000}"/>
    <cellStyle name="Normal 8 4 2" xfId="3399" xr:uid="{00000000-0005-0000-0000-0000F9140000}"/>
    <cellStyle name="Normal 8 4 2 2" xfId="4489" xr:uid="{00000000-0005-0000-0000-0000FA140000}"/>
    <cellStyle name="Normal 8 4 2 2 2" xfId="5547" xr:uid="{00000000-0005-0000-0000-0000FB140000}"/>
    <cellStyle name="Normal 8 4 2 3" xfId="5546" xr:uid="{00000000-0005-0000-0000-0000FC140000}"/>
    <cellStyle name="Normal 8 4 3" xfId="3400" xr:uid="{00000000-0005-0000-0000-0000FD140000}"/>
    <cellStyle name="Normal 8 4 3 2" xfId="4490" xr:uid="{00000000-0005-0000-0000-0000FE140000}"/>
    <cellStyle name="Normal 8 4 3 2 2" xfId="5549" xr:uid="{00000000-0005-0000-0000-0000FF140000}"/>
    <cellStyle name="Normal 8 4 3 3" xfId="5548" xr:uid="{00000000-0005-0000-0000-000000150000}"/>
    <cellStyle name="Normal 8 4 4" xfId="3401" xr:uid="{00000000-0005-0000-0000-000001150000}"/>
    <cellStyle name="Normal 8 4 4 2" xfId="4491" xr:uid="{00000000-0005-0000-0000-000002150000}"/>
    <cellStyle name="Normal 8 4 4 2 2" xfId="5551" xr:uid="{00000000-0005-0000-0000-000003150000}"/>
    <cellStyle name="Normal 8 4 4 3" xfId="5550" xr:uid="{00000000-0005-0000-0000-000004150000}"/>
    <cellStyle name="Normal 8 4 5" xfId="3402" xr:uid="{00000000-0005-0000-0000-000005150000}"/>
    <cellStyle name="Normal 8 4 5 2" xfId="4492" xr:uid="{00000000-0005-0000-0000-000006150000}"/>
    <cellStyle name="Normal 8 4 5 2 2" xfId="5553" xr:uid="{00000000-0005-0000-0000-000007150000}"/>
    <cellStyle name="Normal 8 4 5 3" xfId="5552" xr:uid="{00000000-0005-0000-0000-000008150000}"/>
    <cellStyle name="Normal 8 4 6" xfId="3403" xr:uid="{00000000-0005-0000-0000-000009150000}"/>
    <cellStyle name="Normal 8 4 7" xfId="3404" xr:uid="{00000000-0005-0000-0000-00000A150000}"/>
    <cellStyle name="Normal 8 4 7 2" xfId="4493" xr:uid="{00000000-0005-0000-0000-00000B150000}"/>
    <cellStyle name="Normal 8 4 7 2 2" xfId="5555" xr:uid="{00000000-0005-0000-0000-00000C150000}"/>
    <cellStyle name="Normal 8 4 7 3" xfId="5554" xr:uid="{00000000-0005-0000-0000-00000D150000}"/>
    <cellStyle name="Normal 8 4 8" xfId="4488" xr:uid="{00000000-0005-0000-0000-00000E150000}"/>
    <cellStyle name="Normal 8 4 8 2" xfId="5556" xr:uid="{00000000-0005-0000-0000-00000F150000}"/>
    <cellStyle name="Normal 8 4 9" xfId="5545" xr:uid="{00000000-0005-0000-0000-000010150000}"/>
    <cellStyle name="Normal 8 5" xfId="3405" xr:uid="{00000000-0005-0000-0000-000011150000}"/>
    <cellStyle name="Normal 8 5 2" xfId="3406" xr:uid="{00000000-0005-0000-0000-000012150000}"/>
    <cellStyle name="Normal 8 5 2 2" xfId="4495" xr:uid="{00000000-0005-0000-0000-000013150000}"/>
    <cellStyle name="Normal 8 5 2 2 2" xfId="5559" xr:uid="{00000000-0005-0000-0000-000014150000}"/>
    <cellStyle name="Normal 8 5 2 3" xfId="5558" xr:uid="{00000000-0005-0000-0000-000015150000}"/>
    <cellStyle name="Normal 8 5 3" xfId="3407" xr:uid="{00000000-0005-0000-0000-000016150000}"/>
    <cellStyle name="Normal 8 5 4" xfId="4494" xr:uid="{00000000-0005-0000-0000-000017150000}"/>
    <cellStyle name="Normal 8 5 4 2" xfId="5560" xr:uid="{00000000-0005-0000-0000-000018150000}"/>
    <cellStyle name="Normal 8 5 5" xfId="5557" xr:uid="{00000000-0005-0000-0000-000019150000}"/>
    <cellStyle name="Normal 8 6" xfId="3408" xr:uid="{00000000-0005-0000-0000-00001A150000}"/>
    <cellStyle name="Normal 8 6 2" xfId="4496" xr:uid="{00000000-0005-0000-0000-00001B150000}"/>
    <cellStyle name="Normal 8 6 2 2" xfId="5562" xr:uid="{00000000-0005-0000-0000-00001C150000}"/>
    <cellStyle name="Normal 8 6 3" xfId="5561" xr:uid="{00000000-0005-0000-0000-00001D150000}"/>
    <cellStyle name="Normal 8 7" xfId="3409" xr:uid="{00000000-0005-0000-0000-00001E150000}"/>
    <cellStyle name="Normal 8 7 2" xfId="4497" xr:uid="{00000000-0005-0000-0000-00001F150000}"/>
    <cellStyle name="Normal 8 7 2 2" xfId="5564" xr:uid="{00000000-0005-0000-0000-000020150000}"/>
    <cellStyle name="Normal 8 7 3" xfId="5563" xr:uid="{00000000-0005-0000-0000-000021150000}"/>
    <cellStyle name="Normal 8 8" xfId="3410" xr:uid="{00000000-0005-0000-0000-000022150000}"/>
    <cellStyle name="Normal 8 9" xfId="3411" xr:uid="{00000000-0005-0000-0000-000023150000}"/>
    <cellStyle name="Normal 8 9 2" xfId="4498" xr:uid="{00000000-0005-0000-0000-000024150000}"/>
    <cellStyle name="Normal 8 9 2 2" xfId="5566" xr:uid="{00000000-0005-0000-0000-000025150000}"/>
    <cellStyle name="Normal 8 9 3" xfId="5565" xr:uid="{00000000-0005-0000-0000-000026150000}"/>
    <cellStyle name="Normal 80" xfId="3412" xr:uid="{00000000-0005-0000-0000-000027150000}"/>
    <cellStyle name="Normal 81" xfId="3413" xr:uid="{00000000-0005-0000-0000-000028150000}"/>
    <cellStyle name="Normal 81 2" xfId="4499" xr:uid="{00000000-0005-0000-0000-000029150000}"/>
    <cellStyle name="Normal 81 2 2" xfId="5568" xr:uid="{00000000-0005-0000-0000-00002A150000}"/>
    <cellStyle name="Normal 81 3" xfId="5567" xr:uid="{00000000-0005-0000-0000-00002B150000}"/>
    <cellStyle name="Normal 82" xfId="3414" xr:uid="{00000000-0005-0000-0000-00002C150000}"/>
    <cellStyle name="Normal 82 2" xfId="4500" xr:uid="{00000000-0005-0000-0000-00002D150000}"/>
    <cellStyle name="Normal 82 2 2" xfId="5570" xr:uid="{00000000-0005-0000-0000-00002E150000}"/>
    <cellStyle name="Normal 82 3" xfId="5569" xr:uid="{00000000-0005-0000-0000-00002F150000}"/>
    <cellStyle name="Normal 83" xfId="3415" xr:uid="{00000000-0005-0000-0000-000030150000}"/>
    <cellStyle name="Normal 83 2" xfId="4501" xr:uid="{00000000-0005-0000-0000-000031150000}"/>
    <cellStyle name="Normal 83 2 2" xfId="5572" xr:uid="{00000000-0005-0000-0000-000032150000}"/>
    <cellStyle name="Normal 83 3" xfId="5571" xr:uid="{00000000-0005-0000-0000-000033150000}"/>
    <cellStyle name="Normal 84" xfId="3416" xr:uid="{00000000-0005-0000-0000-000034150000}"/>
    <cellStyle name="Normal 84 2" xfId="4502" xr:uid="{00000000-0005-0000-0000-000035150000}"/>
    <cellStyle name="Normal 84 2 2" xfId="5574" xr:uid="{00000000-0005-0000-0000-000036150000}"/>
    <cellStyle name="Normal 84 3" xfId="5573" xr:uid="{00000000-0005-0000-0000-000037150000}"/>
    <cellStyle name="Normal 85" xfId="3417" xr:uid="{00000000-0005-0000-0000-000038150000}"/>
    <cellStyle name="Normal 85 2" xfId="4503" xr:uid="{00000000-0005-0000-0000-000039150000}"/>
    <cellStyle name="Normal 85 2 2" xfId="5576" xr:uid="{00000000-0005-0000-0000-00003A150000}"/>
    <cellStyle name="Normal 85 3" xfId="5575" xr:uid="{00000000-0005-0000-0000-00003B150000}"/>
    <cellStyle name="Normal 86" xfId="3418" xr:uid="{00000000-0005-0000-0000-00003C150000}"/>
    <cellStyle name="Normal 86 2" xfId="4504" xr:uid="{00000000-0005-0000-0000-00003D150000}"/>
    <cellStyle name="Normal 86 2 2" xfId="5578" xr:uid="{00000000-0005-0000-0000-00003E150000}"/>
    <cellStyle name="Normal 86 3" xfId="5577" xr:uid="{00000000-0005-0000-0000-00003F150000}"/>
    <cellStyle name="Normal 87" xfId="3419" xr:uid="{00000000-0005-0000-0000-000040150000}"/>
    <cellStyle name="Normal 87 2" xfId="4505" xr:uid="{00000000-0005-0000-0000-000041150000}"/>
    <cellStyle name="Normal 87 2 2" xfId="5580" xr:uid="{00000000-0005-0000-0000-000042150000}"/>
    <cellStyle name="Normal 87 3" xfId="5579" xr:uid="{00000000-0005-0000-0000-000043150000}"/>
    <cellStyle name="Normal 88" xfId="3420" xr:uid="{00000000-0005-0000-0000-000044150000}"/>
    <cellStyle name="Normal 88 2" xfId="4506" xr:uid="{00000000-0005-0000-0000-000045150000}"/>
    <cellStyle name="Normal 88 2 2" xfId="5582" xr:uid="{00000000-0005-0000-0000-000046150000}"/>
    <cellStyle name="Normal 88 3" xfId="5581" xr:uid="{00000000-0005-0000-0000-000047150000}"/>
    <cellStyle name="Normal 89" xfId="3421" xr:uid="{00000000-0005-0000-0000-000048150000}"/>
    <cellStyle name="Normal 89 2" xfId="4507" xr:uid="{00000000-0005-0000-0000-000049150000}"/>
    <cellStyle name="Normal 89 2 2" xfId="5584" xr:uid="{00000000-0005-0000-0000-00004A150000}"/>
    <cellStyle name="Normal 89 3" xfId="5583" xr:uid="{00000000-0005-0000-0000-00004B150000}"/>
    <cellStyle name="Normal 9" xfId="3422" xr:uid="{00000000-0005-0000-0000-00004C150000}"/>
    <cellStyle name="Normal 9 10" xfId="4508" xr:uid="{00000000-0005-0000-0000-00004D150000}"/>
    <cellStyle name="Normal 9 10 2" xfId="5586" xr:uid="{00000000-0005-0000-0000-00004E150000}"/>
    <cellStyle name="Normal 9 11" xfId="5585" xr:uid="{00000000-0005-0000-0000-00004F150000}"/>
    <cellStyle name="Normal 9 2" xfId="3423" xr:uid="{00000000-0005-0000-0000-000050150000}"/>
    <cellStyle name="Normal 9 2 10" xfId="5587" xr:uid="{00000000-0005-0000-0000-000051150000}"/>
    <cellStyle name="Normal 9 2 2" xfId="3424" xr:uid="{00000000-0005-0000-0000-000052150000}"/>
    <cellStyle name="Normal 9 2 2 10" xfId="5588" xr:uid="{00000000-0005-0000-0000-000053150000}"/>
    <cellStyle name="Normal 9 2 2 2" xfId="3425" xr:uid="{00000000-0005-0000-0000-000054150000}"/>
    <cellStyle name="Normal 9 2 2 2 2" xfId="3426" xr:uid="{00000000-0005-0000-0000-000055150000}"/>
    <cellStyle name="Normal 9 2 2 2 2 2" xfId="4512" xr:uid="{00000000-0005-0000-0000-000056150000}"/>
    <cellStyle name="Normal 9 2 2 2 2 2 2" xfId="5591" xr:uid="{00000000-0005-0000-0000-000057150000}"/>
    <cellStyle name="Normal 9 2 2 2 2 3" xfId="5590" xr:uid="{00000000-0005-0000-0000-000058150000}"/>
    <cellStyle name="Normal 9 2 2 2 3" xfId="3427" xr:uid="{00000000-0005-0000-0000-000059150000}"/>
    <cellStyle name="Normal 9 2 2 2 3 2" xfId="4513" xr:uid="{00000000-0005-0000-0000-00005A150000}"/>
    <cellStyle name="Normal 9 2 2 2 3 2 2" xfId="5593" xr:uid="{00000000-0005-0000-0000-00005B150000}"/>
    <cellStyle name="Normal 9 2 2 2 3 3" xfId="5592" xr:uid="{00000000-0005-0000-0000-00005C150000}"/>
    <cellStyle name="Normal 9 2 2 2 4" xfId="3428" xr:uid="{00000000-0005-0000-0000-00005D150000}"/>
    <cellStyle name="Normal 9 2 2 2 4 2" xfId="4514" xr:uid="{00000000-0005-0000-0000-00005E150000}"/>
    <cellStyle name="Normal 9 2 2 2 4 2 2" xfId="5595" xr:uid="{00000000-0005-0000-0000-00005F150000}"/>
    <cellStyle name="Normal 9 2 2 2 4 3" xfId="5594" xr:uid="{00000000-0005-0000-0000-000060150000}"/>
    <cellStyle name="Normal 9 2 2 2 5" xfId="4511" xr:uid="{00000000-0005-0000-0000-000061150000}"/>
    <cellStyle name="Normal 9 2 2 2 5 2" xfId="5596" xr:uid="{00000000-0005-0000-0000-000062150000}"/>
    <cellStyle name="Normal 9 2 2 2 6" xfId="5589" xr:uid="{00000000-0005-0000-0000-000063150000}"/>
    <cellStyle name="Normal 9 2 2 3" xfId="3429" xr:uid="{00000000-0005-0000-0000-000064150000}"/>
    <cellStyle name="Normal 9 2 2 3 2" xfId="4515" xr:uid="{00000000-0005-0000-0000-000065150000}"/>
    <cellStyle name="Normal 9 2 2 3 2 2" xfId="5598" xr:uid="{00000000-0005-0000-0000-000066150000}"/>
    <cellStyle name="Normal 9 2 2 3 3" xfId="5597" xr:uid="{00000000-0005-0000-0000-000067150000}"/>
    <cellStyle name="Normal 9 2 2 4" xfId="3430" xr:uid="{00000000-0005-0000-0000-000068150000}"/>
    <cellStyle name="Normal 9 2 2 4 2" xfId="4516" xr:uid="{00000000-0005-0000-0000-000069150000}"/>
    <cellStyle name="Normal 9 2 2 4 2 2" xfId="5600" xr:uid="{00000000-0005-0000-0000-00006A150000}"/>
    <cellStyle name="Normal 9 2 2 4 3" xfId="5599" xr:uid="{00000000-0005-0000-0000-00006B150000}"/>
    <cellStyle name="Normal 9 2 2 5" xfId="3431" xr:uid="{00000000-0005-0000-0000-00006C150000}"/>
    <cellStyle name="Normal 9 2 2 5 2" xfId="4517" xr:uid="{00000000-0005-0000-0000-00006D150000}"/>
    <cellStyle name="Normal 9 2 2 5 2 2" xfId="5602" xr:uid="{00000000-0005-0000-0000-00006E150000}"/>
    <cellStyle name="Normal 9 2 2 5 3" xfId="5601" xr:uid="{00000000-0005-0000-0000-00006F150000}"/>
    <cellStyle name="Normal 9 2 2 6" xfId="3432" xr:uid="{00000000-0005-0000-0000-000070150000}"/>
    <cellStyle name="Normal 9 2 2 6 2" xfId="4518" xr:uid="{00000000-0005-0000-0000-000071150000}"/>
    <cellStyle name="Normal 9 2 2 6 2 2" xfId="5604" xr:uid="{00000000-0005-0000-0000-000072150000}"/>
    <cellStyle name="Normal 9 2 2 6 3" xfId="5603" xr:uid="{00000000-0005-0000-0000-000073150000}"/>
    <cellStyle name="Normal 9 2 2 7" xfId="3433" xr:uid="{00000000-0005-0000-0000-000074150000}"/>
    <cellStyle name="Normal 9 2 2 8" xfId="3434" xr:uid="{00000000-0005-0000-0000-000075150000}"/>
    <cellStyle name="Normal 9 2 2 8 2" xfId="4519" xr:uid="{00000000-0005-0000-0000-000076150000}"/>
    <cellStyle name="Normal 9 2 2 8 2 2" xfId="5606" xr:uid="{00000000-0005-0000-0000-000077150000}"/>
    <cellStyle name="Normal 9 2 2 8 3" xfId="5605" xr:uid="{00000000-0005-0000-0000-000078150000}"/>
    <cellStyle name="Normal 9 2 2 9" xfId="4510" xr:uid="{00000000-0005-0000-0000-000079150000}"/>
    <cellStyle name="Normal 9 2 2 9 2" xfId="5607" xr:uid="{00000000-0005-0000-0000-00007A150000}"/>
    <cellStyle name="Normal 9 2 3" xfId="3435" xr:uid="{00000000-0005-0000-0000-00007B150000}"/>
    <cellStyle name="Normal 9 2 3 2" xfId="3436" xr:uid="{00000000-0005-0000-0000-00007C150000}"/>
    <cellStyle name="Normal 9 2 3 2 2" xfId="4521" xr:uid="{00000000-0005-0000-0000-00007D150000}"/>
    <cellStyle name="Normal 9 2 3 2 2 2" xfId="5610" xr:uid="{00000000-0005-0000-0000-00007E150000}"/>
    <cellStyle name="Normal 9 2 3 2 3" xfId="5609" xr:uid="{00000000-0005-0000-0000-00007F150000}"/>
    <cellStyle name="Normal 9 2 3 3" xfId="3437" xr:uid="{00000000-0005-0000-0000-000080150000}"/>
    <cellStyle name="Normal 9 2 3 3 2" xfId="4522" xr:uid="{00000000-0005-0000-0000-000081150000}"/>
    <cellStyle name="Normal 9 2 3 3 2 2" xfId="5612" xr:uid="{00000000-0005-0000-0000-000082150000}"/>
    <cellStyle name="Normal 9 2 3 3 3" xfId="5611" xr:uid="{00000000-0005-0000-0000-000083150000}"/>
    <cellStyle name="Normal 9 2 3 4" xfId="3438" xr:uid="{00000000-0005-0000-0000-000084150000}"/>
    <cellStyle name="Normal 9 2 3 4 2" xfId="4523" xr:uid="{00000000-0005-0000-0000-000085150000}"/>
    <cellStyle name="Normal 9 2 3 4 2 2" xfId="5614" xr:uid="{00000000-0005-0000-0000-000086150000}"/>
    <cellStyle name="Normal 9 2 3 4 3" xfId="5613" xr:uid="{00000000-0005-0000-0000-000087150000}"/>
    <cellStyle name="Normal 9 2 3 5" xfId="4520" xr:uid="{00000000-0005-0000-0000-000088150000}"/>
    <cellStyle name="Normal 9 2 3 5 2" xfId="5615" xr:uid="{00000000-0005-0000-0000-000089150000}"/>
    <cellStyle name="Normal 9 2 3 6" xfId="5608" xr:uid="{00000000-0005-0000-0000-00008A150000}"/>
    <cellStyle name="Normal 9 2 4" xfId="3439" xr:uid="{00000000-0005-0000-0000-00008B150000}"/>
    <cellStyle name="Normal 9 2 4 2" xfId="4524" xr:uid="{00000000-0005-0000-0000-00008C150000}"/>
    <cellStyle name="Normal 9 2 4 2 2" xfId="5617" xr:uid="{00000000-0005-0000-0000-00008D150000}"/>
    <cellStyle name="Normal 9 2 4 3" xfId="5616" xr:uid="{00000000-0005-0000-0000-00008E150000}"/>
    <cellStyle name="Normal 9 2 5" xfId="3440" xr:uid="{00000000-0005-0000-0000-00008F150000}"/>
    <cellStyle name="Normal 9 2 5 2" xfId="4525" xr:uid="{00000000-0005-0000-0000-000090150000}"/>
    <cellStyle name="Normal 9 2 5 2 2" xfId="5619" xr:uid="{00000000-0005-0000-0000-000091150000}"/>
    <cellStyle name="Normal 9 2 5 3" xfId="5618" xr:uid="{00000000-0005-0000-0000-000092150000}"/>
    <cellStyle name="Normal 9 2 6" xfId="3441" xr:uid="{00000000-0005-0000-0000-000093150000}"/>
    <cellStyle name="Normal 9 2 6 2" xfId="4526" xr:uid="{00000000-0005-0000-0000-000094150000}"/>
    <cellStyle name="Normal 9 2 6 2 2" xfId="5621" xr:uid="{00000000-0005-0000-0000-000095150000}"/>
    <cellStyle name="Normal 9 2 6 3" xfId="5620" xr:uid="{00000000-0005-0000-0000-000096150000}"/>
    <cellStyle name="Normal 9 2 7" xfId="3442" xr:uid="{00000000-0005-0000-0000-000097150000}"/>
    <cellStyle name="Normal 9 2 8" xfId="3443" xr:uid="{00000000-0005-0000-0000-000098150000}"/>
    <cellStyle name="Normal 9 2 8 2" xfId="4527" xr:uid="{00000000-0005-0000-0000-000099150000}"/>
    <cellStyle name="Normal 9 2 8 2 2" xfId="5623" xr:uid="{00000000-0005-0000-0000-00009A150000}"/>
    <cellStyle name="Normal 9 2 8 3" xfId="5622" xr:uid="{00000000-0005-0000-0000-00009B150000}"/>
    <cellStyle name="Normal 9 2 9" xfId="4509" xr:uid="{00000000-0005-0000-0000-00009C150000}"/>
    <cellStyle name="Normal 9 2 9 2" xfId="5624" xr:uid="{00000000-0005-0000-0000-00009D150000}"/>
    <cellStyle name="Normal 9 3" xfId="3444" xr:uid="{00000000-0005-0000-0000-00009E150000}"/>
    <cellStyle name="Normal 9 3 10" xfId="5625" xr:uid="{00000000-0005-0000-0000-00009F150000}"/>
    <cellStyle name="Normal 9 3 2" xfId="3445" xr:uid="{00000000-0005-0000-0000-0000A0150000}"/>
    <cellStyle name="Normal 9 3 2 2" xfId="3446" xr:uid="{00000000-0005-0000-0000-0000A1150000}"/>
    <cellStyle name="Normal 9 3 2 2 2" xfId="4530" xr:uid="{00000000-0005-0000-0000-0000A2150000}"/>
    <cellStyle name="Normal 9 3 2 2 2 2" xfId="5628" xr:uid="{00000000-0005-0000-0000-0000A3150000}"/>
    <cellStyle name="Normal 9 3 2 2 3" xfId="5627" xr:uid="{00000000-0005-0000-0000-0000A4150000}"/>
    <cellStyle name="Normal 9 3 2 3" xfId="3447" xr:uid="{00000000-0005-0000-0000-0000A5150000}"/>
    <cellStyle name="Normal 9 3 2 3 2" xfId="4531" xr:uid="{00000000-0005-0000-0000-0000A6150000}"/>
    <cellStyle name="Normal 9 3 2 3 2 2" xfId="5630" xr:uid="{00000000-0005-0000-0000-0000A7150000}"/>
    <cellStyle name="Normal 9 3 2 3 3" xfId="5629" xr:uid="{00000000-0005-0000-0000-0000A8150000}"/>
    <cellStyle name="Normal 9 3 2 4" xfId="3448" xr:uid="{00000000-0005-0000-0000-0000A9150000}"/>
    <cellStyle name="Normal 9 3 2 4 2" xfId="4532" xr:uid="{00000000-0005-0000-0000-0000AA150000}"/>
    <cellStyle name="Normal 9 3 2 4 2 2" xfId="5632" xr:uid="{00000000-0005-0000-0000-0000AB150000}"/>
    <cellStyle name="Normal 9 3 2 4 3" xfId="5631" xr:uid="{00000000-0005-0000-0000-0000AC150000}"/>
    <cellStyle name="Normal 9 3 2 5" xfId="4529" xr:uid="{00000000-0005-0000-0000-0000AD150000}"/>
    <cellStyle name="Normal 9 3 2 5 2" xfId="5633" xr:uid="{00000000-0005-0000-0000-0000AE150000}"/>
    <cellStyle name="Normal 9 3 2 6" xfId="5626" xr:uid="{00000000-0005-0000-0000-0000AF150000}"/>
    <cellStyle name="Normal 9 3 3" xfId="3449" xr:uid="{00000000-0005-0000-0000-0000B0150000}"/>
    <cellStyle name="Normal 9 3 3 2" xfId="4533" xr:uid="{00000000-0005-0000-0000-0000B1150000}"/>
    <cellStyle name="Normal 9 3 3 2 2" xfId="5635" xr:uid="{00000000-0005-0000-0000-0000B2150000}"/>
    <cellStyle name="Normal 9 3 3 3" xfId="5634" xr:uid="{00000000-0005-0000-0000-0000B3150000}"/>
    <cellStyle name="Normal 9 3 4" xfId="3450" xr:uid="{00000000-0005-0000-0000-0000B4150000}"/>
    <cellStyle name="Normal 9 3 4 2" xfId="4534" xr:uid="{00000000-0005-0000-0000-0000B5150000}"/>
    <cellStyle name="Normal 9 3 4 2 2" xfId="5637" xr:uid="{00000000-0005-0000-0000-0000B6150000}"/>
    <cellStyle name="Normal 9 3 4 3" xfId="5636" xr:uid="{00000000-0005-0000-0000-0000B7150000}"/>
    <cellStyle name="Normal 9 3 5" xfId="3451" xr:uid="{00000000-0005-0000-0000-0000B8150000}"/>
    <cellStyle name="Normal 9 3 5 2" xfId="4535" xr:uid="{00000000-0005-0000-0000-0000B9150000}"/>
    <cellStyle name="Normal 9 3 5 2 2" xfId="5639" xr:uid="{00000000-0005-0000-0000-0000BA150000}"/>
    <cellStyle name="Normal 9 3 5 3" xfId="5638" xr:uid="{00000000-0005-0000-0000-0000BB150000}"/>
    <cellStyle name="Normal 9 3 6" xfId="3452" xr:uid="{00000000-0005-0000-0000-0000BC150000}"/>
    <cellStyle name="Normal 9 3 6 2" xfId="4536" xr:uid="{00000000-0005-0000-0000-0000BD150000}"/>
    <cellStyle name="Normal 9 3 6 2 2" xfId="5641" xr:uid="{00000000-0005-0000-0000-0000BE150000}"/>
    <cellStyle name="Normal 9 3 6 3" xfId="5640" xr:uid="{00000000-0005-0000-0000-0000BF150000}"/>
    <cellStyle name="Normal 9 3 7" xfId="3453" xr:uid="{00000000-0005-0000-0000-0000C0150000}"/>
    <cellStyle name="Normal 9 3 8" xfId="3454" xr:uid="{00000000-0005-0000-0000-0000C1150000}"/>
    <cellStyle name="Normal 9 3 8 2" xfId="4537" xr:uid="{00000000-0005-0000-0000-0000C2150000}"/>
    <cellStyle name="Normal 9 3 8 2 2" xfId="5643" xr:uid="{00000000-0005-0000-0000-0000C3150000}"/>
    <cellStyle name="Normal 9 3 8 3" xfId="5642" xr:uid="{00000000-0005-0000-0000-0000C4150000}"/>
    <cellStyle name="Normal 9 3 9" xfId="4528" xr:uid="{00000000-0005-0000-0000-0000C5150000}"/>
    <cellStyle name="Normal 9 3 9 2" xfId="5644" xr:uid="{00000000-0005-0000-0000-0000C6150000}"/>
    <cellStyle name="Normal 9 4" xfId="3455" xr:uid="{00000000-0005-0000-0000-0000C7150000}"/>
    <cellStyle name="Normal 9 4 2" xfId="3456" xr:uid="{00000000-0005-0000-0000-0000C8150000}"/>
    <cellStyle name="Normal 9 4 2 2" xfId="4539" xr:uid="{00000000-0005-0000-0000-0000C9150000}"/>
    <cellStyle name="Normal 9 4 2 2 2" xfId="5647" xr:uid="{00000000-0005-0000-0000-0000CA150000}"/>
    <cellStyle name="Normal 9 4 2 3" xfId="5646" xr:uid="{00000000-0005-0000-0000-0000CB150000}"/>
    <cellStyle name="Normal 9 4 3" xfId="3457" xr:uid="{00000000-0005-0000-0000-0000CC150000}"/>
    <cellStyle name="Normal 9 4 3 2" xfId="4540" xr:uid="{00000000-0005-0000-0000-0000CD150000}"/>
    <cellStyle name="Normal 9 4 3 2 2" xfId="5649" xr:uid="{00000000-0005-0000-0000-0000CE150000}"/>
    <cellStyle name="Normal 9 4 3 3" xfId="5648" xr:uid="{00000000-0005-0000-0000-0000CF150000}"/>
    <cellStyle name="Normal 9 4 4" xfId="3458" xr:uid="{00000000-0005-0000-0000-0000D0150000}"/>
    <cellStyle name="Normal 9 4 4 2" xfId="4541" xr:uid="{00000000-0005-0000-0000-0000D1150000}"/>
    <cellStyle name="Normal 9 4 4 2 2" xfId="5651" xr:uid="{00000000-0005-0000-0000-0000D2150000}"/>
    <cellStyle name="Normal 9 4 4 3" xfId="5650" xr:uid="{00000000-0005-0000-0000-0000D3150000}"/>
    <cellStyle name="Normal 9 4 5" xfId="3459" xr:uid="{00000000-0005-0000-0000-0000D4150000}"/>
    <cellStyle name="Normal 9 4 5 2" xfId="4542" xr:uid="{00000000-0005-0000-0000-0000D5150000}"/>
    <cellStyle name="Normal 9 4 5 2 2" xfId="5653" xr:uid="{00000000-0005-0000-0000-0000D6150000}"/>
    <cellStyle name="Normal 9 4 5 3" xfId="5652" xr:uid="{00000000-0005-0000-0000-0000D7150000}"/>
    <cellStyle name="Normal 9 4 6" xfId="3460" xr:uid="{00000000-0005-0000-0000-0000D8150000}"/>
    <cellStyle name="Normal 9 4 7" xfId="3461" xr:uid="{00000000-0005-0000-0000-0000D9150000}"/>
    <cellStyle name="Normal 9 4 7 2" xfId="4543" xr:uid="{00000000-0005-0000-0000-0000DA150000}"/>
    <cellStyle name="Normal 9 4 7 2 2" xfId="5655" xr:uid="{00000000-0005-0000-0000-0000DB150000}"/>
    <cellStyle name="Normal 9 4 7 3" xfId="5654" xr:uid="{00000000-0005-0000-0000-0000DC150000}"/>
    <cellStyle name="Normal 9 4 8" xfId="4538" xr:uid="{00000000-0005-0000-0000-0000DD150000}"/>
    <cellStyle name="Normal 9 4 8 2" xfId="5656" xr:uid="{00000000-0005-0000-0000-0000DE150000}"/>
    <cellStyle name="Normal 9 4 9" xfId="5645" xr:uid="{00000000-0005-0000-0000-0000DF150000}"/>
    <cellStyle name="Normal 9 5" xfId="3462" xr:uid="{00000000-0005-0000-0000-0000E0150000}"/>
    <cellStyle name="Normal 9 5 2" xfId="3463" xr:uid="{00000000-0005-0000-0000-0000E1150000}"/>
    <cellStyle name="Normal 9 5 2 2" xfId="4545" xr:uid="{00000000-0005-0000-0000-0000E2150000}"/>
    <cellStyle name="Normal 9 5 2 2 2" xfId="5659" xr:uid="{00000000-0005-0000-0000-0000E3150000}"/>
    <cellStyle name="Normal 9 5 2 3" xfId="5658" xr:uid="{00000000-0005-0000-0000-0000E4150000}"/>
    <cellStyle name="Normal 9 5 3" xfId="3464" xr:uid="{00000000-0005-0000-0000-0000E5150000}"/>
    <cellStyle name="Normal 9 5 4" xfId="4544" xr:uid="{00000000-0005-0000-0000-0000E6150000}"/>
    <cellStyle name="Normal 9 5 4 2" xfId="5660" xr:uid="{00000000-0005-0000-0000-0000E7150000}"/>
    <cellStyle name="Normal 9 5 5" xfId="5657" xr:uid="{00000000-0005-0000-0000-0000E8150000}"/>
    <cellStyle name="Normal 9 6" xfId="3465" xr:uid="{00000000-0005-0000-0000-0000E9150000}"/>
    <cellStyle name="Normal 9 6 2" xfId="4546" xr:uid="{00000000-0005-0000-0000-0000EA150000}"/>
    <cellStyle name="Normal 9 6 2 2" xfId="5662" xr:uid="{00000000-0005-0000-0000-0000EB150000}"/>
    <cellStyle name="Normal 9 6 3" xfId="5661" xr:uid="{00000000-0005-0000-0000-0000EC150000}"/>
    <cellStyle name="Normal 9 7" xfId="3466" xr:uid="{00000000-0005-0000-0000-0000ED150000}"/>
    <cellStyle name="Normal 9 7 2" xfId="4547" xr:uid="{00000000-0005-0000-0000-0000EE150000}"/>
    <cellStyle name="Normal 9 7 2 2" xfId="5664" xr:uid="{00000000-0005-0000-0000-0000EF150000}"/>
    <cellStyle name="Normal 9 7 3" xfId="5663" xr:uid="{00000000-0005-0000-0000-0000F0150000}"/>
    <cellStyle name="Normal 9 8" xfId="3467" xr:uid="{00000000-0005-0000-0000-0000F1150000}"/>
    <cellStyle name="Normal 9 9" xfId="3468" xr:uid="{00000000-0005-0000-0000-0000F2150000}"/>
    <cellStyle name="Normal 9 9 2" xfId="4548" xr:uid="{00000000-0005-0000-0000-0000F3150000}"/>
    <cellStyle name="Normal 9 9 2 2" xfId="5666" xr:uid="{00000000-0005-0000-0000-0000F4150000}"/>
    <cellStyle name="Normal 9 9 3" xfId="5665" xr:uid="{00000000-0005-0000-0000-0000F5150000}"/>
    <cellStyle name="Normal 90" xfId="3469" xr:uid="{00000000-0005-0000-0000-0000F6150000}"/>
    <cellStyle name="Normal 90 2" xfId="4549" xr:uid="{00000000-0005-0000-0000-0000F7150000}"/>
    <cellStyle name="Normal 90 2 2" xfId="5668" xr:uid="{00000000-0005-0000-0000-0000F8150000}"/>
    <cellStyle name="Normal 90 3" xfId="5667" xr:uid="{00000000-0005-0000-0000-0000F9150000}"/>
    <cellStyle name="Normal 91" xfId="3470" xr:uid="{00000000-0005-0000-0000-0000FA150000}"/>
    <cellStyle name="Normal 91 2" xfId="4550" xr:uid="{00000000-0005-0000-0000-0000FB150000}"/>
    <cellStyle name="Normal 91 2 2" xfId="5670" xr:uid="{00000000-0005-0000-0000-0000FC150000}"/>
    <cellStyle name="Normal 91 3" xfId="5669" xr:uid="{00000000-0005-0000-0000-0000FD150000}"/>
    <cellStyle name="Normal 92" xfId="3471" xr:uid="{00000000-0005-0000-0000-0000FE150000}"/>
    <cellStyle name="Normal 92 2" xfId="4551" xr:uid="{00000000-0005-0000-0000-0000FF150000}"/>
    <cellStyle name="Normal 92 2 2" xfId="5672" xr:uid="{00000000-0005-0000-0000-000000160000}"/>
    <cellStyle name="Normal 92 3" xfId="5671" xr:uid="{00000000-0005-0000-0000-000001160000}"/>
    <cellStyle name="Normal 93" xfId="3472" xr:uid="{00000000-0005-0000-0000-000002160000}"/>
    <cellStyle name="Normal 93 2" xfId="4552" xr:uid="{00000000-0005-0000-0000-000003160000}"/>
    <cellStyle name="Normal 93 2 2" xfId="5674" xr:uid="{00000000-0005-0000-0000-000004160000}"/>
    <cellStyle name="Normal 93 3" xfId="5673" xr:uid="{00000000-0005-0000-0000-000005160000}"/>
    <cellStyle name="Normal 94" xfId="3473" xr:uid="{00000000-0005-0000-0000-000006160000}"/>
    <cellStyle name="Normal 94 2" xfId="4553" xr:uid="{00000000-0005-0000-0000-000007160000}"/>
    <cellStyle name="Normal 94 2 2" xfId="5676" xr:uid="{00000000-0005-0000-0000-000008160000}"/>
    <cellStyle name="Normal 94 3" xfId="5675" xr:uid="{00000000-0005-0000-0000-000009160000}"/>
    <cellStyle name="Normal 95" xfId="3474" xr:uid="{00000000-0005-0000-0000-00000A160000}"/>
    <cellStyle name="Normal 95 2" xfId="4554" xr:uid="{00000000-0005-0000-0000-00000B160000}"/>
    <cellStyle name="Normal 95 2 2" xfId="5678" xr:uid="{00000000-0005-0000-0000-00000C160000}"/>
    <cellStyle name="Normal 95 3" xfId="5677" xr:uid="{00000000-0005-0000-0000-00000D160000}"/>
    <cellStyle name="Normal 96" xfId="3475" xr:uid="{00000000-0005-0000-0000-00000E160000}"/>
    <cellStyle name="Normal 96 2" xfId="4555" xr:uid="{00000000-0005-0000-0000-00000F160000}"/>
    <cellStyle name="Normal 96 2 2" xfId="5680" xr:uid="{00000000-0005-0000-0000-000010160000}"/>
    <cellStyle name="Normal 96 3" xfId="5679" xr:uid="{00000000-0005-0000-0000-000011160000}"/>
    <cellStyle name="Normal 97" xfId="3995" xr:uid="{00000000-0005-0000-0000-000012160000}"/>
    <cellStyle name="Normal 97 2" xfId="5681" xr:uid="{00000000-0005-0000-0000-000013160000}"/>
    <cellStyle name="Normal 98" xfId="4560" xr:uid="{00000000-0005-0000-0000-000014160000}"/>
    <cellStyle name="Normal 99" xfId="5690" xr:uid="{00000000-0005-0000-0000-000015160000}"/>
    <cellStyle name="Normal_Sheet1" xfId="2" xr:uid="{00000000-0005-0000-0000-000016160000}"/>
    <cellStyle name="Note 10" xfId="3476" xr:uid="{00000000-0005-0000-0000-000017160000}"/>
    <cellStyle name="Note 10 2" xfId="3477" xr:uid="{00000000-0005-0000-0000-000018160000}"/>
    <cellStyle name="Note 10 3" xfId="3478" xr:uid="{00000000-0005-0000-0000-000019160000}"/>
    <cellStyle name="Note 11" xfId="3479" xr:uid="{00000000-0005-0000-0000-00001A160000}"/>
    <cellStyle name="Note 11 2" xfId="3480" xr:uid="{00000000-0005-0000-0000-00001B160000}"/>
    <cellStyle name="Note 11 3" xfId="3481" xr:uid="{00000000-0005-0000-0000-00001C160000}"/>
    <cellStyle name="Note 11 4" xfId="3482" xr:uid="{00000000-0005-0000-0000-00001D160000}"/>
    <cellStyle name="Note 12" xfId="3483" xr:uid="{00000000-0005-0000-0000-00001E160000}"/>
    <cellStyle name="Note 12 2" xfId="3484" xr:uid="{00000000-0005-0000-0000-00001F160000}"/>
    <cellStyle name="Note 12 3" xfId="3485" xr:uid="{00000000-0005-0000-0000-000020160000}"/>
    <cellStyle name="Note 13" xfId="3486" xr:uid="{00000000-0005-0000-0000-000021160000}"/>
    <cellStyle name="Note 13 2" xfId="3487" xr:uid="{00000000-0005-0000-0000-000022160000}"/>
    <cellStyle name="Note 14" xfId="3488" xr:uid="{00000000-0005-0000-0000-000023160000}"/>
    <cellStyle name="Note 15" xfId="3489" xr:uid="{00000000-0005-0000-0000-000024160000}"/>
    <cellStyle name="Note 2" xfId="3490" xr:uid="{00000000-0005-0000-0000-000025160000}"/>
    <cellStyle name="Note 2 10" xfId="3491" xr:uid="{00000000-0005-0000-0000-000026160000}"/>
    <cellStyle name="Note 2 11" xfId="3492" xr:uid="{00000000-0005-0000-0000-000027160000}"/>
    <cellStyle name="Note 2 12" xfId="3493" xr:uid="{00000000-0005-0000-0000-000028160000}"/>
    <cellStyle name="Note 2 13" xfId="3494" xr:uid="{00000000-0005-0000-0000-000029160000}"/>
    <cellStyle name="Note 2 14" xfId="3495" xr:uid="{00000000-0005-0000-0000-00002A160000}"/>
    <cellStyle name="Note 2 15" xfId="3496" xr:uid="{00000000-0005-0000-0000-00002B160000}"/>
    <cellStyle name="Note 2 2" xfId="3497" xr:uid="{00000000-0005-0000-0000-00002C160000}"/>
    <cellStyle name="Note 2 2 2" xfId="3498" xr:uid="{00000000-0005-0000-0000-00002D160000}"/>
    <cellStyle name="Note 2 2 3" xfId="3499" xr:uid="{00000000-0005-0000-0000-00002E160000}"/>
    <cellStyle name="Note 2 3" xfId="3500" xr:uid="{00000000-0005-0000-0000-00002F160000}"/>
    <cellStyle name="Note 2 3 2" xfId="3501" xr:uid="{00000000-0005-0000-0000-000030160000}"/>
    <cellStyle name="Note 2 4" xfId="3502" xr:uid="{00000000-0005-0000-0000-000031160000}"/>
    <cellStyle name="Note 2 5" xfId="3503" xr:uid="{00000000-0005-0000-0000-000032160000}"/>
    <cellStyle name="Note 2 6" xfId="3504" xr:uid="{00000000-0005-0000-0000-000033160000}"/>
    <cellStyle name="Note 2 7" xfId="3505" xr:uid="{00000000-0005-0000-0000-000034160000}"/>
    <cellStyle name="Note 2 8" xfId="3506" xr:uid="{00000000-0005-0000-0000-000035160000}"/>
    <cellStyle name="Note 2 9" xfId="3507" xr:uid="{00000000-0005-0000-0000-000036160000}"/>
    <cellStyle name="Note 3" xfId="3508" xr:uid="{00000000-0005-0000-0000-000037160000}"/>
    <cellStyle name="Note 3 10" xfId="3509" xr:uid="{00000000-0005-0000-0000-000038160000}"/>
    <cellStyle name="Note 3 2" xfId="3510" xr:uid="{00000000-0005-0000-0000-000039160000}"/>
    <cellStyle name="Note 3 2 2" xfId="3511" xr:uid="{00000000-0005-0000-0000-00003A160000}"/>
    <cellStyle name="Note 3 2 3" xfId="3512" xr:uid="{00000000-0005-0000-0000-00003B160000}"/>
    <cellStyle name="Note 3 3" xfId="3513" xr:uid="{00000000-0005-0000-0000-00003C160000}"/>
    <cellStyle name="Note 3 4" xfId="3514" xr:uid="{00000000-0005-0000-0000-00003D160000}"/>
    <cellStyle name="Note 3 5" xfId="3515" xr:uid="{00000000-0005-0000-0000-00003E160000}"/>
    <cellStyle name="Note 3 6" xfId="3516" xr:uid="{00000000-0005-0000-0000-00003F160000}"/>
    <cellStyle name="Note 3 7" xfId="3517" xr:uid="{00000000-0005-0000-0000-000040160000}"/>
    <cellStyle name="Note 3 8" xfId="3518" xr:uid="{00000000-0005-0000-0000-000041160000}"/>
    <cellStyle name="Note 3 9" xfId="3519" xr:uid="{00000000-0005-0000-0000-000042160000}"/>
    <cellStyle name="Note 4" xfId="3520" xr:uid="{00000000-0005-0000-0000-000043160000}"/>
    <cellStyle name="Note 4 2" xfId="3521" xr:uid="{00000000-0005-0000-0000-000044160000}"/>
    <cellStyle name="Note 4 3" xfId="3522" xr:uid="{00000000-0005-0000-0000-000045160000}"/>
    <cellStyle name="Note 4 4" xfId="3523" xr:uid="{00000000-0005-0000-0000-000046160000}"/>
    <cellStyle name="Note 4 5" xfId="3524" xr:uid="{00000000-0005-0000-0000-000047160000}"/>
    <cellStyle name="Note 4 6" xfId="3525" xr:uid="{00000000-0005-0000-0000-000048160000}"/>
    <cellStyle name="Note 4 7" xfId="3526" xr:uid="{00000000-0005-0000-0000-000049160000}"/>
    <cellStyle name="Note 5" xfId="3527" xr:uid="{00000000-0005-0000-0000-00004A160000}"/>
    <cellStyle name="Note 5 2" xfId="3528" xr:uid="{00000000-0005-0000-0000-00004B160000}"/>
    <cellStyle name="Note 5 3" xfId="3529" xr:uid="{00000000-0005-0000-0000-00004C160000}"/>
    <cellStyle name="Note 5 4" xfId="3530" xr:uid="{00000000-0005-0000-0000-00004D160000}"/>
    <cellStyle name="Note 5 5" xfId="3531" xr:uid="{00000000-0005-0000-0000-00004E160000}"/>
    <cellStyle name="Note 5 6" xfId="3532" xr:uid="{00000000-0005-0000-0000-00004F160000}"/>
    <cellStyle name="Note 6" xfId="3533" xr:uid="{00000000-0005-0000-0000-000050160000}"/>
    <cellStyle name="Note 6 2" xfId="3534" xr:uid="{00000000-0005-0000-0000-000051160000}"/>
    <cellStyle name="Note 6 3" xfId="3535" xr:uid="{00000000-0005-0000-0000-000052160000}"/>
    <cellStyle name="Note 6 4" xfId="3536" xr:uid="{00000000-0005-0000-0000-000053160000}"/>
    <cellStyle name="Note 6 5" xfId="3537" xr:uid="{00000000-0005-0000-0000-000054160000}"/>
    <cellStyle name="Note 7" xfId="3538" xr:uid="{00000000-0005-0000-0000-000055160000}"/>
    <cellStyle name="Note 7 2" xfId="3539" xr:uid="{00000000-0005-0000-0000-000056160000}"/>
    <cellStyle name="Note 7 3" xfId="3540" xr:uid="{00000000-0005-0000-0000-000057160000}"/>
    <cellStyle name="Note 7 4" xfId="3541" xr:uid="{00000000-0005-0000-0000-000058160000}"/>
    <cellStyle name="Note 7 5" xfId="3542" xr:uid="{00000000-0005-0000-0000-000059160000}"/>
    <cellStyle name="Note 8" xfId="3543" xr:uid="{00000000-0005-0000-0000-00005A160000}"/>
    <cellStyle name="Note 8 2" xfId="3544" xr:uid="{00000000-0005-0000-0000-00005B160000}"/>
    <cellStyle name="Note 8 3" xfId="3545" xr:uid="{00000000-0005-0000-0000-00005C160000}"/>
    <cellStyle name="Note 8 4" xfId="3546" xr:uid="{00000000-0005-0000-0000-00005D160000}"/>
    <cellStyle name="Note 9" xfId="3547" xr:uid="{00000000-0005-0000-0000-00005E160000}"/>
    <cellStyle name="Note 9 2" xfId="3548" xr:uid="{00000000-0005-0000-0000-00005F160000}"/>
    <cellStyle name="Note 9 3" xfId="3549" xr:uid="{00000000-0005-0000-0000-000060160000}"/>
    <cellStyle name="Note 9 4" xfId="3550" xr:uid="{00000000-0005-0000-0000-000061160000}"/>
    <cellStyle name="Output 10" xfId="3551" xr:uid="{00000000-0005-0000-0000-000062160000}"/>
    <cellStyle name="Output 10 2" xfId="3552" xr:uid="{00000000-0005-0000-0000-000063160000}"/>
    <cellStyle name="Output 10 3" xfId="3553" xr:uid="{00000000-0005-0000-0000-000064160000}"/>
    <cellStyle name="Output 11" xfId="3554" xr:uid="{00000000-0005-0000-0000-000065160000}"/>
    <cellStyle name="Output 11 2" xfId="3555" xr:uid="{00000000-0005-0000-0000-000066160000}"/>
    <cellStyle name="Output 11 3" xfId="3556" xr:uid="{00000000-0005-0000-0000-000067160000}"/>
    <cellStyle name="Output 12" xfId="3557" xr:uid="{00000000-0005-0000-0000-000068160000}"/>
    <cellStyle name="Output 12 2" xfId="3558" xr:uid="{00000000-0005-0000-0000-000069160000}"/>
    <cellStyle name="Output 13" xfId="3559" xr:uid="{00000000-0005-0000-0000-00006A160000}"/>
    <cellStyle name="Output 13 2" xfId="3560" xr:uid="{00000000-0005-0000-0000-00006B160000}"/>
    <cellStyle name="Output 14" xfId="3561" xr:uid="{00000000-0005-0000-0000-00006C160000}"/>
    <cellStyle name="Output 15" xfId="3562" xr:uid="{00000000-0005-0000-0000-00006D160000}"/>
    <cellStyle name="Output 2" xfId="3563" xr:uid="{00000000-0005-0000-0000-00006E160000}"/>
    <cellStyle name="Output 2 10" xfId="3564" xr:uid="{00000000-0005-0000-0000-00006F160000}"/>
    <cellStyle name="Output 2 11" xfId="3565" xr:uid="{00000000-0005-0000-0000-000070160000}"/>
    <cellStyle name="Output 2 12" xfId="3566" xr:uid="{00000000-0005-0000-0000-000071160000}"/>
    <cellStyle name="Output 2 13" xfId="3567" xr:uid="{00000000-0005-0000-0000-000072160000}"/>
    <cellStyle name="Output 2 14" xfId="3568" xr:uid="{00000000-0005-0000-0000-000073160000}"/>
    <cellStyle name="Output 2 2" xfId="3569" xr:uid="{00000000-0005-0000-0000-000074160000}"/>
    <cellStyle name="Output 2 2 2" xfId="3570" xr:uid="{00000000-0005-0000-0000-000075160000}"/>
    <cellStyle name="Output 2 2 3" xfId="3571" xr:uid="{00000000-0005-0000-0000-000076160000}"/>
    <cellStyle name="Output 2 3" xfId="3572" xr:uid="{00000000-0005-0000-0000-000077160000}"/>
    <cellStyle name="Output 2 3 2" xfId="3573" xr:uid="{00000000-0005-0000-0000-000078160000}"/>
    <cellStyle name="Output 2 4" xfId="3574" xr:uid="{00000000-0005-0000-0000-000079160000}"/>
    <cellStyle name="Output 2 5" xfId="3575" xr:uid="{00000000-0005-0000-0000-00007A160000}"/>
    <cellStyle name="Output 2 6" xfId="3576" xr:uid="{00000000-0005-0000-0000-00007B160000}"/>
    <cellStyle name="Output 2 7" xfId="3577" xr:uid="{00000000-0005-0000-0000-00007C160000}"/>
    <cellStyle name="Output 2 8" xfId="3578" xr:uid="{00000000-0005-0000-0000-00007D160000}"/>
    <cellStyle name="Output 2 9" xfId="3579" xr:uid="{00000000-0005-0000-0000-00007E160000}"/>
    <cellStyle name="Output 3" xfId="3580" xr:uid="{00000000-0005-0000-0000-00007F160000}"/>
    <cellStyle name="Output 3 2" xfId="3581" xr:uid="{00000000-0005-0000-0000-000080160000}"/>
    <cellStyle name="Output 3 3" xfId="3582" xr:uid="{00000000-0005-0000-0000-000081160000}"/>
    <cellStyle name="Output 3 4" xfId="3583" xr:uid="{00000000-0005-0000-0000-000082160000}"/>
    <cellStyle name="Output 3 5" xfId="3584" xr:uid="{00000000-0005-0000-0000-000083160000}"/>
    <cellStyle name="Output 3 6" xfId="3585" xr:uid="{00000000-0005-0000-0000-000084160000}"/>
    <cellStyle name="Output 3 7" xfId="3586" xr:uid="{00000000-0005-0000-0000-000085160000}"/>
    <cellStyle name="Output 3 8" xfId="3587" xr:uid="{00000000-0005-0000-0000-000086160000}"/>
    <cellStyle name="Output 4" xfId="3588" xr:uid="{00000000-0005-0000-0000-000087160000}"/>
    <cellStyle name="Output 4 2" xfId="3589" xr:uid="{00000000-0005-0000-0000-000088160000}"/>
    <cellStyle name="Output 4 3" xfId="3590" xr:uid="{00000000-0005-0000-0000-000089160000}"/>
    <cellStyle name="Output 4 4" xfId="3591" xr:uid="{00000000-0005-0000-0000-00008A160000}"/>
    <cellStyle name="Output 4 5" xfId="3592" xr:uid="{00000000-0005-0000-0000-00008B160000}"/>
    <cellStyle name="Output 4 6" xfId="3593" xr:uid="{00000000-0005-0000-0000-00008C160000}"/>
    <cellStyle name="Output 5" xfId="3594" xr:uid="{00000000-0005-0000-0000-00008D160000}"/>
    <cellStyle name="Output 5 2" xfId="3595" xr:uid="{00000000-0005-0000-0000-00008E160000}"/>
    <cellStyle name="Output 5 3" xfId="3596" xr:uid="{00000000-0005-0000-0000-00008F160000}"/>
    <cellStyle name="Output 5 4" xfId="3597" xr:uid="{00000000-0005-0000-0000-000090160000}"/>
    <cellStyle name="Output 5 5" xfId="3598" xr:uid="{00000000-0005-0000-0000-000091160000}"/>
    <cellStyle name="Output 6" xfId="3599" xr:uid="{00000000-0005-0000-0000-000092160000}"/>
    <cellStyle name="Output 6 2" xfId="3600" xr:uid="{00000000-0005-0000-0000-000093160000}"/>
    <cellStyle name="Output 6 3" xfId="3601" xr:uid="{00000000-0005-0000-0000-000094160000}"/>
    <cellStyle name="Output 6 4" xfId="3602" xr:uid="{00000000-0005-0000-0000-000095160000}"/>
    <cellStyle name="Output 7" xfId="3603" xr:uid="{00000000-0005-0000-0000-000096160000}"/>
    <cellStyle name="Output 7 2" xfId="3604" xr:uid="{00000000-0005-0000-0000-000097160000}"/>
    <cellStyle name="Output 7 3" xfId="3605" xr:uid="{00000000-0005-0000-0000-000098160000}"/>
    <cellStyle name="Output 7 4" xfId="3606" xr:uid="{00000000-0005-0000-0000-000099160000}"/>
    <cellStyle name="Output 8" xfId="3607" xr:uid="{00000000-0005-0000-0000-00009A160000}"/>
    <cellStyle name="Output 8 2" xfId="3608" xr:uid="{00000000-0005-0000-0000-00009B160000}"/>
    <cellStyle name="Output 8 3" xfId="3609" xr:uid="{00000000-0005-0000-0000-00009C160000}"/>
    <cellStyle name="Output 9" xfId="3610" xr:uid="{00000000-0005-0000-0000-00009D160000}"/>
    <cellStyle name="Output 9 2" xfId="3611" xr:uid="{00000000-0005-0000-0000-00009E160000}"/>
    <cellStyle name="Output 9 3" xfId="3612" xr:uid="{00000000-0005-0000-0000-00009F160000}"/>
    <cellStyle name="PB Table Heading" xfId="3613" xr:uid="{00000000-0005-0000-0000-0000A0160000}"/>
    <cellStyle name="PB Table Highlight1" xfId="3614" xr:uid="{00000000-0005-0000-0000-0000A1160000}"/>
    <cellStyle name="PB Table Highlight2" xfId="3615" xr:uid="{00000000-0005-0000-0000-0000A2160000}"/>
    <cellStyle name="PB Table Highlight2 2" xfId="3616" xr:uid="{00000000-0005-0000-0000-0000A3160000}"/>
    <cellStyle name="PB Table Highlight3" xfId="3617" xr:uid="{00000000-0005-0000-0000-0000A4160000}"/>
    <cellStyle name="PB Table Highlight3 2" xfId="3618" xr:uid="{00000000-0005-0000-0000-0000A5160000}"/>
    <cellStyle name="PB Table Standard Row" xfId="3619" xr:uid="{00000000-0005-0000-0000-0000A6160000}"/>
    <cellStyle name="PB Table Subtotal Row" xfId="3620" xr:uid="{00000000-0005-0000-0000-0000A7160000}"/>
    <cellStyle name="PB Table Total Row" xfId="3621" xr:uid="{00000000-0005-0000-0000-0000A8160000}"/>
    <cellStyle name="Percent" xfId="6156" builtinId="5"/>
    <cellStyle name="Percent [2]" xfId="3622" xr:uid="{00000000-0005-0000-0000-0000AA160000}"/>
    <cellStyle name="Percent [2] 2" xfId="3623" xr:uid="{00000000-0005-0000-0000-0000AB160000}"/>
    <cellStyle name="Percent [2] 3" xfId="3624" xr:uid="{00000000-0005-0000-0000-0000AC160000}"/>
    <cellStyle name="Percent [2] 4" xfId="3625" xr:uid="{00000000-0005-0000-0000-0000AD160000}"/>
    <cellStyle name="Percent 10" xfId="3626" xr:uid="{00000000-0005-0000-0000-0000AE160000}"/>
    <cellStyle name="Percent 11" xfId="3627" xr:uid="{00000000-0005-0000-0000-0000AF160000}"/>
    <cellStyle name="Percent 12" xfId="3628" xr:uid="{00000000-0005-0000-0000-0000B0160000}"/>
    <cellStyle name="Percent 13" xfId="3629" xr:uid="{00000000-0005-0000-0000-0000B1160000}"/>
    <cellStyle name="Percent 14" xfId="3630" xr:uid="{00000000-0005-0000-0000-0000B2160000}"/>
    <cellStyle name="Percent 15" xfId="3631" xr:uid="{00000000-0005-0000-0000-0000B3160000}"/>
    <cellStyle name="Percent 16" xfId="3632" xr:uid="{00000000-0005-0000-0000-0000B4160000}"/>
    <cellStyle name="Percent 17" xfId="3633" xr:uid="{00000000-0005-0000-0000-0000B5160000}"/>
    <cellStyle name="Percent 18" xfId="3634" xr:uid="{00000000-0005-0000-0000-0000B6160000}"/>
    <cellStyle name="Percent 19" xfId="3635" xr:uid="{00000000-0005-0000-0000-0000B7160000}"/>
    <cellStyle name="Percent 2" xfId="3636" xr:uid="{00000000-0005-0000-0000-0000B8160000}"/>
    <cellStyle name="Percent 2 2" xfId="3637" xr:uid="{00000000-0005-0000-0000-0000B9160000}"/>
    <cellStyle name="Percent 2 2 2" xfId="3638" xr:uid="{00000000-0005-0000-0000-0000BA160000}"/>
    <cellStyle name="Percent 2 2 3" xfId="3639" xr:uid="{00000000-0005-0000-0000-0000BB160000}"/>
    <cellStyle name="Percent 2 3" xfId="3640" xr:uid="{00000000-0005-0000-0000-0000BC160000}"/>
    <cellStyle name="Percent 2 3 2" xfId="3641" xr:uid="{00000000-0005-0000-0000-0000BD160000}"/>
    <cellStyle name="Percent 2 3 2 2" xfId="4557" xr:uid="{00000000-0005-0000-0000-0000BE160000}"/>
    <cellStyle name="Percent 2 3 2 2 2" xfId="5684" xr:uid="{00000000-0005-0000-0000-0000BF160000}"/>
    <cellStyle name="Percent 2 3 2 3" xfId="5683" xr:uid="{00000000-0005-0000-0000-0000C0160000}"/>
    <cellStyle name="Percent 2 3 3" xfId="3642" xr:uid="{00000000-0005-0000-0000-0000C1160000}"/>
    <cellStyle name="Percent 2 3 4" xfId="4556" xr:uid="{00000000-0005-0000-0000-0000C2160000}"/>
    <cellStyle name="Percent 2 3 4 2" xfId="5685" xr:uid="{00000000-0005-0000-0000-0000C3160000}"/>
    <cellStyle name="Percent 2 3 5" xfId="5682" xr:uid="{00000000-0005-0000-0000-0000C4160000}"/>
    <cellStyle name="Percent 2 4" xfId="3643" xr:uid="{00000000-0005-0000-0000-0000C5160000}"/>
    <cellStyle name="Percent 2 4 2" xfId="3644" xr:uid="{00000000-0005-0000-0000-0000C6160000}"/>
    <cellStyle name="Percent 2 4 2 2" xfId="4559" xr:uid="{00000000-0005-0000-0000-0000C7160000}"/>
    <cellStyle name="Percent 2 4 2 2 2" xfId="5688" xr:uid="{00000000-0005-0000-0000-0000C8160000}"/>
    <cellStyle name="Percent 2 4 2 3" xfId="5687" xr:uid="{00000000-0005-0000-0000-0000C9160000}"/>
    <cellStyle name="Percent 2 4 3" xfId="4558" xr:uid="{00000000-0005-0000-0000-0000CA160000}"/>
    <cellStyle name="Percent 2 4 3 2" xfId="5689" xr:uid="{00000000-0005-0000-0000-0000CB160000}"/>
    <cellStyle name="Percent 2 4 4" xfId="5686" xr:uid="{00000000-0005-0000-0000-0000CC160000}"/>
    <cellStyle name="Percent 2 5" xfId="3645" xr:uid="{00000000-0005-0000-0000-0000CD160000}"/>
    <cellStyle name="Percent 20" xfId="3646" xr:uid="{00000000-0005-0000-0000-0000CE160000}"/>
    <cellStyle name="Percent 21" xfId="3647" xr:uid="{00000000-0005-0000-0000-0000CF160000}"/>
    <cellStyle name="Percent 22" xfId="3648" xr:uid="{00000000-0005-0000-0000-0000D0160000}"/>
    <cellStyle name="Percent 23" xfId="3649" xr:uid="{00000000-0005-0000-0000-0000D1160000}"/>
    <cellStyle name="Percent 24" xfId="3650" xr:uid="{00000000-0005-0000-0000-0000D2160000}"/>
    <cellStyle name="Percent 24 2" xfId="3651" xr:uid="{00000000-0005-0000-0000-0000D3160000}"/>
    <cellStyle name="Percent 24 3" xfId="3652" xr:uid="{00000000-0005-0000-0000-0000D4160000}"/>
    <cellStyle name="Percent 25" xfId="3653" xr:uid="{00000000-0005-0000-0000-0000D5160000}"/>
    <cellStyle name="Percent 26" xfId="3654" xr:uid="{00000000-0005-0000-0000-0000D6160000}"/>
    <cellStyle name="Percent 26 2" xfId="3655" xr:uid="{00000000-0005-0000-0000-0000D7160000}"/>
    <cellStyle name="Percent 26 3" xfId="3656" xr:uid="{00000000-0005-0000-0000-0000D8160000}"/>
    <cellStyle name="Percent 27" xfId="3657" xr:uid="{00000000-0005-0000-0000-0000D9160000}"/>
    <cellStyle name="Percent 27 2" xfId="3658" xr:uid="{00000000-0005-0000-0000-0000DA160000}"/>
    <cellStyle name="Percent 27 3" xfId="3659" xr:uid="{00000000-0005-0000-0000-0000DB160000}"/>
    <cellStyle name="Percent 28" xfId="3660" xr:uid="{00000000-0005-0000-0000-0000DC160000}"/>
    <cellStyle name="Percent 28 2" xfId="3661" xr:uid="{00000000-0005-0000-0000-0000DD160000}"/>
    <cellStyle name="Percent 28 3" xfId="3662" xr:uid="{00000000-0005-0000-0000-0000DE160000}"/>
    <cellStyle name="Percent 29" xfId="3663" xr:uid="{00000000-0005-0000-0000-0000DF160000}"/>
    <cellStyle name="Percent 29 2" xfId="3664" xr:uid="{00000000-0005-0000-0000-0000E0160000}"/>
    <cellStyle name="Percent 29 3" xfId="3665" xr:uid="{00000000-0005-0000-0000-0000E1160000}"/>
    <cellStyle name="Percent 3" xfId="3666" xr:uid="{00000000-0005-0000-0000-0000E2160000}"/>
    <cellStyle name="Percent 3 2" xfId="3667" xr:uid="{00000000-0005-0000-0000-0000E3160000}"/>
    <cellStyle name="Percent 3 2 2" xfId="3668" xr:uid="{00000000-0005-0000-0000-0000E4160000}"/>
    <cellStyle name="Percent 3 2 2 2" xfId="3669" xr:uid="{00000000-0005-0000-0000-0000E5160000}"/>
    <cellStyle name="Percent 3 2 2 2 2" xfId="3670" xr:uid="{00000000-0005-0000-0000-0000E6160000}"/>
    <cellStyle name="Percent 3 2 2 3" xfId="3671" xr:uid="{00000000-0005-0000-0000-0000E7160000}"/>
    <cellStyle name="Percent 3 2 3" xfId="3672" xr:uid="{00000000-0005-0000-0000-0000E8160000}"/>
    <cellStyle name="Percent 3 2 3 2" xfId="3673" xr:uid="{00000000-0005-0000-0000-0000E9160000}"/>
    <cellStyle name="Percent 3 2 4" xfId="3674" xr:uid="{00000000-0005-0000-0000-0000EA160000}"/>
    <cellStyle name="Percent 3 3" xfId="3675" xr:uid="{00000000-0005-0000-0000-0000EB160000}"/>
    <cellStyle name="Percent 3 3 2" xfId="3676" xr:uid="{00000000-0005-0000-0000-0000EC160000}"/>
    <cellStyle name="Percent 3 3 2 2" xfId="3677" xr:uid="{00000000-0005-0000-0000-0000ED160000}"/>
    <cellStyle name="Percent 3 3 3" xfId="3678" xr:uid="{00000000-0005-0000-0000-0000EE160000}"/>
    <cellStyle name="Percent 3 4" xfId="3679" xr:uid="{00000000-0005-0000-0000-0000EF160000}"/>
    <cellStyle name="Percent 3 4 2" xfId="3680" xr:uid="{00000000-0005-0000-0000-0000F0160000}"/>
    <cellStyle name="Percent 3 5" xfId="3681" xr:uid="{00000000-0005-0000-0000-0000F1160000}"/>
    <cellStyle name="Percent 3 6" xfId="3682" xr:uid="{00000000-0005-0000-0000-0000F2160000}"/>
    <cellStyle name="Percent 30" xfId="3683" xr:uid="{00000000-0005-0000-0000-0000F3160000}"/>
    <cellStyle name="Percent 30 2" xfId="3684" xr:uid="{00000000-0005-0000-0000-0000F4160000}"/>
    <cellStyle name="Percent 30 3" xfId="3685" xr:uid="{00000000-0005-0000-0000-0000F5160000}"/>
    <cellStyle name="Percent 31" xfId="3686" xr:uid="{00000000-0005-0000-0000-0000F6160000}"/>
    <cellStyle name="Percent 31 2" xfId="3687" xr:uid="{00000000-0005-0000-0000-0000F7160000}"/>
    <cellStyle name="Percent 31 3" xfId="3688" xr:uid="{00000000-0005-0000-0000-0000F8160000}"/>
    <cellStyle name="Percent 32" xfId="3689" xr:uid="{00000000-0005-0000-0000-0000F9160000}"/>
    <cellStyle name="Percent 4" xfId="3690" xr:uid="{00000000-0005-0000-0000-0000FA160000}"/>
    <cellStyle name="Percent 4 2" xfId="3691" xr:uid="{00000000-0005-0000-0000-0000FB160000}"/>
    <cellStyle name="Percent 4 3" xfId="3692" xr:uid="{00000000-0005-0000-0000-0000FC160000}"/>
    <cellStyle name="Percent 5" xfId="3693" xr:uid="{00000000-0005-0000-0000-0000FD160000}"/>
    <cellStyle name="Percent 6" xfId="3694" xr:uid="{00000000-0005-0000-0000-0000FE160000}"/>
    <cellStyle name="Percent 7" xfId="3695" xr:uid="{00000000-0005-0000-0000-0000FF160000}"/>
    <cellStyle name="Percent 8" xfId="3696" xr:uid="{00000000-0005-0000-0000-000000170000}"/>
    <cellStyle name="Percent 9" xfId="3697" xr:uid="{00000000-0005-0000-0000-000001170000}"/>
    <cellStyle name="PERCENTAGE" xfId="3698" xr:uid="{00000000-0005-0000-0000-000002170000}"/>
    <cellStyle name="PLAN" xfId="3699" xr:uid="{00000000-0005-0000-0000-000003170000}"/>
    <cellStyle name="Quantity" xfId="3700" xr:uid="{00000000-0005-0000-0000-000004170000}"/>
    <cellStyle name="RevList" xfId="3701" xr:uid="{00000000-0005-0000-0000-000005170000}"/>
    <cellStyle name="Stocks" xfId="3702" xr:uid="{00000000-0005-0000-0000-000006170000}"/>
    <cellStyle name="style" xfId="3703" xr:uid="{00000000-0005-0000-0000-000007170000}"/>
    <cellStyle name="Style 1" xfId="3704" xr:uid="{00000000-0005-0000-0000-000008170000}"/>
    <cellStyle name="Style 1 2" xfId="3705" xr:uid="{00000000-0005-0000-0000-000009170000}"/>
    <cellStyle name="Style 1 2 2" xfId="3992" xr:uid="{00000000-0005-0000-0000-00000A170000}"/>
    <cellStyle name="Style 1 2 2 2" xfId="5854" xr:uid="{00000000-0005-0000-0000-00000B170000}"/>
    <cellStyle name="Style 1 2 2 2 2" xfId="6149" xr:uid="{00000000-0005-0000-0000-00000C170000}"/>
    <cellStyle name="Style 1 2 2 3" xfId="5964" xr:uid="{00000000-0005-0000-0000-00000D170000}"/>
    <cellStyle name="Style 1 2 3" xfId="5853" xr:uid="{00000000-0005-0000-0000-00000E170000}"/>
    <cellStyle name="Style 1 2 3 2" xfId="6148" xr:uid="{00000000-0005-0000-0000-00000F170000}"/>
    <cellStyle name="Style 1 2 4" xfId="5909" xr:uid="{00000000-0005-0000-0000-000010170000}"/>
    <cellStyle name="Style 1 3" xfId="3991" xr:uid="{00000000-0005-0000-0000-000011170000}"/>
    <cellStyle name="Style 1 3 2" xfId="5855" xr:uid="{00000000-0005-0000-0000-000012170000}"/>
    <cellStyle name="Style 1 3 2 2" xfId="6150" xr:uid="{00000000-0005-0000-0000-000013170000}"/>
    <cellStyle name="Style 1 3 3" xfId="5963" xr:uid="{00000000-0005-0000-0000-000014170000}"/>
    <cellStyle name="Style 1 4" xfId="5852" xr:uid="{00000000-0005-0000-0000-000015170000}"/>
    <cellStyle name="Style 1 4 2" xfId="6147" xr:uid="{00000000-0005-0000-0000-000016170000}"/>
    <cellStyle name="Style 1 5" xfId="5908" xr:uid="{00000000-0005-0000-0000-000017170000}"/>
    <cellStyle name="style1" xfId="3706" xr:uid="{00000000-0005-0000-0000-000018170000}"/>
    <cellStyle name="style2" xfId="3707" xr:uid="{00000000-0005-0000-0000-000019170000}"/>
    <cellStyle name="Subtotal" xfId="3708" xr:uid="{00000000-0005-0000-0000-00001A170000}"/>
    <cellStyle name="SwitchTime" xfId="3709" xr:uid="{00000000-0005-0000-0000-00001B170000}"/>
    <cellStyle name="þ_x001d_ð &amp;ý&amp;†ýG_x0008_ X_x000a__x0007__x0001__x0001_" xfId="3710" xr:uid="{00000000-0005-0000-0000-00001C170000}"/>
    <cellStyle name="þ_x001d_ð &amp;ý&amp;†ýG_x0008_ X_x000a__x0007__x0001__x0001_ 2" xfId="3711" xr:uid="{00000000-0005-0000-0000-00001D170000}"/>
    <cellStyle name="þ_x001d_ð &amp;ý&amp;†ýG_x0008_ X_x000a__x0007__x0001__x0001_ 2 2" xfId="3994" xr:uid="{00000000-0005-0000-0000-00001E170000}"/>
    <cellStyle name="þ_x001d_ð &amp;ý&amp;†ýG_x0008_ X_x000a__x0007__x0001__x0001_ 2 2 2" xfId="5858" xr:uid="{00000000-0005-0000-0000-00001F170000}"/>
    <cellStyle name="þ_x001d_ð &amp;ý&amp;†ýG_x0008_ X_x000a__x0007__x0001__x0001_ 2 2 2 2" xfId="6153" xr:uid="{00000000-0005-0000-0000-000020170000}"/>
    <cellStyle name="þ_x001d_ð &amp;ý&amp;†ýG_x0008_ X_x000a__x0007__x0001__x0001_ 2 2 3" xfId="5966" xr:uid="{00000000-0005-0000-0000-000021170000}"/>
    <cellStyle name="þ_x001d_ð &amp;ý&amp;†ýG_x0008_ X_x000a__x0007__x0001__x0001_ 2 3" xfId="5857" xr:uid="{00000000-0005-0000-0000-000022170000}"/>
    <cellStyle name="þ_x001d_ð &amp;ý&amp;†ýG_x0008_ X_x000a__x0007__x0001__x0001_ 2 3 2" xfId="6152" xr:uid="{00000000-0005-0000-0000-000023170000}"/>
    <cellStyle name="þ_x001d_ð &amp;ý&amp;†ýG_x0008_ X_x000a__x0007__x0001__x0001_ 2 4" xfId="5911" xr:uid="{00000000-0005-0000-0000-000024170000}"/>
    <cellStyle name="þ_x001d_ð &amp;ý&amp;†ýG_x0008_ X_x000a__x0007__x0001__x0001_ 3" xfId="3993" xr:uid="{00000000-0005-0000-0000-000025170000}"/>
    <cellStyle name="þ_x001d_ð &amp;ý&amp;†ýG_x0008_ X_x000a__x0007__x0001__x0001_ 3 2" xfId="5859" xr:uid="{00000000-0005-0000-0000-000026170000}"/>
    <cellStyle name="þ_x001d_ð &amp;ý&amp;†ýG_x0008_ X_x000a__x0007__x0001__x0001_ 3 2 2" xfId="6154" xr:uid="{00000000-0005-0000-0000-000027170000}"/>
    <cellStyle name="þ_x001d_ð &amp;ý&amp;†ýG_x0008_ X_x000a__x0007__x0001__x0001_ 3 3" xfId="5965" xr:uid="{00000000-0005-0000-0000-000028170000}"/>
    <cellStyle name="þ_x001d_ð &amp;ý&amp;†ýG_x0008_ X_x000a__x0007__x0001__x0001_ 4" xfId="5856" xr:uid="{00000000-0005-0000-0000-000029170000}"/>
    <cellStyle name="þ_x001d_ð &amp;ý&amp;†ýG_x0008_ X_x000a__x0007__x0001__x0001_ 4 2" xfId="6151" xr:uid="{00000000-0005-0000-0000-00002A170000}"/>
    <cellStyle name="þ_x001d_ð &amp;ý&amp;†ýG_x0008_ X_x000a__x0007__x0001__x0001_ 5" xfId="5910" xr:uid="{00000000-0005-0000-0000-00002B170000}"/>
    <cellStyle name="þ_x001d_ð&quot;_x000c_Býò_x000c_5ýU_x0001_e_x0005_¹,_x0007__x0001__x0001_" xfId="3712" xr:uid="{00000000-0005-0000-0000-00002C170000}"/>
    <cellStyle name="Title 10" xfId="3713" xr:uid="{00000000-0005-0000-0000-00002D170000}"/>
    <cellStyle name="Title 10 2" xfId="3714" xr:uid="{00000000-0005-0000-0000-00002E170000}"/>
    <cellStyle name="Title 10 3" xfId="3715" xr:uid="{00000000-0005-0000-0000-00002F170000}"/>
    <cellStyle name="Title 11" xfId="3716" xr:uid="{00000000-0005-0000-0000-000030170000}"/>
    <cellStyle name="Title 11 2" xfId="3717" xr:uid="{00000000-0005-0000-0000-000031170000}"/>
    <cellStyle name="Title 11 3" xfId="3718" xr:uid="{00000000-0005-0000-0000-000032170000}"/>
    <cellStyle name="Title 12" xfId="3719" xr:uid="{00000000-0005-0000-0000-000033170000}"/>
    <cellStyle name="Title 12 2" xfId="3720" xr:uid="{00000000-0005-0000-0000-000034170000}"/>
    <cellStyle name="Title 13" xfId="3721" xr:uid="{00000000-0005-0000-0000-000035170000}"/>
    <cellStyle name="Title 13 2" xfId="3722" xr:uid="{00000000-0005-0000-0000-000036170000}"/>
    <cellStyle name="Title 14" xfId="3723" xr:uid="{00000000-0005-0000-0000-000037170000}"/>
    <cellStyle name="Title 15" xfId="3724" xr:uid="{00000000-0005-0000-0000-000038170000}"/>
    <cellStyle name="Title 2" xfId="3725" xr:uid="{00000000-0005-0000-0000-000039170000}"/>
    <cellStyle name="Title 2 10" xfId="3726" xr:uid="{00000000-0005-0000-0000-00003A170000}"/>
    <cellStyle name="Title 2 11" xfId="3727" xr:uid="{00000000-0005-0000-0000-00003B170000}"/>
    <cellStyle name="Title 2 12" xfId="3728" xr:uid="{00000000-0005-0000-0000-00003C170000}"/>
    <cellStyle name="Title 2 13" xfId="3729" xr:uid="{00000000-0005-0000-0000-00003D170000}"/>
    <cellStyle name="Title 2 14" xfId="3730" xr:uid="{00000000-0005-0000-0000-00003E170000}"/>
    <cellStyle name="Title 2 2" xfId="3731" xr:uid="{00000000-0005-0000-0000-00003F170000}"/>
    <cellStyle name="Title 2 2 2" xfId="3732" xr:uid="{00000000-0005-0000-0000-000040170000}"/>
    <cellStyle name="Title 2 2 3" xfId="3733" xr:uid="{00000000-0005-0000-0000-000041170000}"/>
    <cellStyle name="Title 2 3" xfId="3734" xr:uid="{00000000-0005-0000-0000-000042170000}"/>
    <cellStyle name="Title 2 3 2" xfId="3735" xr:uid="{00000000-0005-0000-0000-000043170000}"/>
    <cellStyle name="Title 2 4" xfId="3736" xr:uid="{00000000-0005-0000-0000-000044170000}"/>
    <cellStyle name="Title 2 5" xfId="3737" xr:uid="{00000000-0005-0000-0000-000045170000}"/>
    <cellStyle name="Title 2 6" xfId="3738" xr:uid="{00000000-0005-0000-0000-000046170000}"/>
    <cellStyle name="Title 2 7" xfId="3739" xr:uid="{00000000-0005-0000-0000-000047170000}"/>
    <cellStyle name="Title 2 8" xfId="3740" xr:uid="{00000000-0005-0000-0000-000048170000}"/>
    <cellStyle name="Title 2 9" xfId="3741" xr:uid="{00000000-0005-0000-0000-000049170000}"/>
    <cellStyle name="Title 3" xfId="3742" xr:uid="{00000000-0005-0000-0000-00004A170000}"/>
    <cellStyle name="Title 3 2" xfId="3743" xr:uid="{00000000-0005-0000-0000-00004B170000}"/>
    <cellStyle name="Title 3 3" xfId="3744" xr:uid="{00000000-0005-0000-0000-00004C170000}"/>
    <cellStyle name="Title 3 4" xfId="3745" xr:uid="{00000000-0005-0000-0000-00004D170000}"/>
    <cellStyle name="Title 3 5" xfId="3746" xr:uid="{00000000-0005-0000-0000-00004E170000}"/>
    <cellStyle name="Title 3 6" xfId="3747" xr:uid="{00000000-0005-0000-0000-00004F170000}"/>
    <cellStyle name="Title 3 7" xfId="3748" xr:uid="{00000000-0005-0000-0000-000050170000}"/>
    <cellStyle name="Title 3 8" xfId="3749" xr:uid="{00000000-0005-0000-0000-000051170000}"/>
    <cellStyle name="Title 4" xfId="3750" xr:uid="{00000000-0005-0000-0000-000052170000}"/>
    <cellStyle name="Title 4 2" xfId="3751" xr:uid="{00000000-0005-0000-0000-000053170000}"/>
    <cellStyle name="Title 4 3" xfId="3752" xr:uid="{00000000-0005-0000-0000-000054170000}"/>
    <cellStyle name="Title 4 4" xfId="3753" xr:uid="{00000000-0005-0000-0000-000055170000}"/>
    <cellStyle name="Title 4 5" xfId="3754" xr:uid="{00000000-0005-0000-0000-000056170000}"/>
    <cellStyle name="Title 4 6" xfId="3755" xr:uid="{00000000-0005-0000-0000-000057170000}"/>
    <cellStyle name="Title 5" xfId="3756" xr:uid="{00000000-0005-0000-0000-000058170000}"/>
    <cellStyle name="Title 5 2" xfId="3757" xr:uid="{00000000-0005-0000-0000-000059170000}"/>
    <cellStyle name="Title 5 3" xfId="3758" xr:uid="{00000000-0005-0000-0000-00005A170000}"/>
    <cellStyle name="Title 5 4" xfId="3759" xr:uid="{00000000-0005-0000-0000-00005B170000}"/>
    <cellStyle name="Title 5 5" xfId="3760" xr:uid="{00000000-0005-0000-0000-00005C170000}"/>
    <cellStyle name="Title 6" xfId="3761" xr:uid="{00000000-0005-0000-0000-00005D170000}"/>
    <cellStyle name="Title 6 2" xfId="3762" xr:uid="{00000000-0005-0000-0000-00005E170000}"/>
    <cellStyle name="Title 6 3" xfId="3763" xr:uid="{00000000-0005-0000-0000-00005F170000}"/>
    <cellStyle name="Title 6 4" xfId="3764" xr:uid="{00000000-0005-0000-0000-000060170000}"/>
    <cellStyle name="Title 7" xfId="3765" xr:uid="{00000000-0005-0000-0000-000061170000}"/>
    <cellStyle name="Title 7 2" xfId="3766" xr:uid="{00000000-0005-0000-0000-000062170000}"/>
    <cellStyle name="Title 7 3" xfId="3767" xr:uid="{00000000-0005-0000-0000-000063170000}"/>
    <cellStyle name="Title 7 4" xfId="3768" xr:uid="{00000000-0005-0000-0000-000064170000}"/>
    <cellStyle name="Title 8" xfId="3769" xr:uid="{00000000-0005-0000-0000-000065170000}"/>
    <cellStyle name="Title 8 2" xfId="3770" xr:uid="{00000000-0005-0000-0000-000066170000}"/>
    <cellStyle name="Title 8 3" xfId="3771" xr:uid="{00000000-0005-0000-0000-000067170000}"/>
    <cellStyle name="Title 9" xfId="3772" xr:uid="{00000000-0005-0000-0000-000068170000}"/>
    <cellStyle name="Title 9 2" xfId="3773" xr:uid="{00000000-0005-0000-0000-000069170000}"/>
    <cellStyle name="Title 9 3" xfId="3774" xr:uid="{00000000-0005-0000-0000-00006A170000}"/>
    <cellStyle name="Total 10" xfId="3775" xr:uid="{00000000-0005-0000-0000-00006B170000}"/>
    <cellStyle name="Total 10 2" xfId="3776" xr:uid="{00000000-0005-0000-0000-00006C170000}"/>
    <cellStyle name="Total 10 3" xfId="3777" xr:uid="{00000000-0005-0000-0000-00006D170000}"/>
    <cellStyle name="Total 11" xfId="3778" xr:uid="{00000000-0005-0000-0000-00006E170000}"/>
    <cellStyle name="Total 11 2" xfId="3779" xr:uid="{00000000-0005-0000-0000-00006F170000}"/>
    <cellStyle name="Total 11 3" xfId="3780" xr:uid="{00000000-0005-0000-0000-000070170000}"/>
    <cellStyle name="Total 12" xfId="3781" xr:uid="{00000000-0005-0000-0000-000071170000}"/>
    <cellStyle name="Total 12 2" xfId="3782" xr:uid="{00000000-0005-0000-0000-000072170000}"/>
    <cellStyle name="Total 13" xfId="3783" xr:uid="{00000000-0005-0000-0000-000073170000}"/>
    <cellStyle name="Total 13 2" xfId="3784" xr:uid="{00000000-0005-0000-0000-000074170000}"/>
    <cellStyle name="Total 14" xfId="3785" xr:uid="{00000000-0005-0000-0000-000075170000}"/>
    <cellStyle name="Total 15" xfId="3786" xr:uid="{00000000-0005-0000-0000-000076170000}"/>
    <cellStyle name="Total 2" xfId="3787" xr:uid="{00000000-0005-0000-0000-000077170000}"/>
    <cellStyle name="Total 2 10" xfId="3788" xr:uid="{00000000-0005-0000-0000-000078170000}"/>
    <cellStyle name="Total 2 11" xfId="3789" xr:uid="{00000000-0005-0000-0000-000079170000}"/>
    <cellStyle name="Total 2 12" xfId="3790" xr:uid="{00000000-0005-0000-0000-00007A170000}"/>
    <cellStyle name="Total 2 13" xfId="3791" xr:uid="{00000000-0005-0000-0000-00007B170000}"/>
    <cellStyle name="Total 2 14" xfId="3792" xr:uid="{00000000-0005-0000-0000-00007C170000}"/>
    <cellStyle name="Total 2 2" xfId="3793" xr:uid="{00000000-0005-0000-0000-00007D170000}"/>
    <cellStyle name="Total 2 2 2" xfId="3794" xr:uid="{00000000-0005-0000-0000-00007E170000}"/>
    <cellStyle name="Total 2 2 3" xfId="3795" xr:uid="{00000000-0005-0000-0000-00007F170000}"/>
    <cellStyle name="Total 2 3" xfId="3796" xr:uid="{00000000-0005-0000-0000-000080170000}"/>
    <cellStyle name="Total 2 3 2" xfId="3797" xr:uid="{00000000-0005-0000-0000-000081170000}"/>
    <cellStyle name="Total 2 4" xfId="3798" xr:uid="{00000000-0005-0000-0000-000082170000}"/>
    <cellStyle name="Total 2 5" xfId="3799" xr:uid="{00000000-0005-0000-0000-000083170000}"/>
    <cellStyle name="Total 2 6" xfId="3800" xr:uid="{00000000-0005-0000-0000-000084170000}"/>
    <cellStyle name="Total 2 7" xfId="3801" xr:uid="{00000000-0005-0000-0000-000085170000}"/>
    <cellStyle name="Total 2 8" xfId="3802" xr:uid="{00000000-0005-0000-0000-000086170000}"/>
    <cellStyle name="Total 2 9" xfId="3803" xr:uid="{00000000-0005-0000-0000-000087170000}"/>
    <cellStyle name="Total 3" xfId="3804" xr:uid="{00000000-0005-0000-0000-000088170000}"/>
    <cellStyle name="Total 3 2" xfId="3805" xr:uid="{00000000-0005-0000-0000-000089170000}"/>
    <cellStyle name="Total 3 3" xfId="3806" xr:uid="{00000000-0005-0000-0000-00008A170000}"/>
    <cellStyle name="Total 3 4" xfId="3807" xr:uid="{00000000-0005-0000-0000-00008B170000}"/>
    <cellStyle name="Total 3 5" xfId="3808" xr:uid="{00000000-0005-0000-0000-00008C170000}"/>
    <cellStyle name="Total 3 6" xfId="3809" xr:uid="{00000000-0005-0000-0000-00008D170000}"/>
    <cellStyle name="Total 3 7" xfId="3810" xr:uid="{00000000-0005-0000-0000-00008E170000}"/>
    <cellStyle name="Total 3 8" xfId="3811" xr:uid="{00000000-0005-0000-0000-00008F170000}"/>
    <cellStyle name="Total 4" xfId="3812" xr:uid="{00000000-0005-0000-0000-000090170000}"/>
    <cellStyle name="Total 4 2" xfId="3813" xr:uid="{00000000-0005-0000-0000-000091170000}"/>
    <cellStyle name="Total 4 3" xfId="3814" xr:uid="{00000000-0005-0000-0000-000092170000}"/>
    <cellStyle name="Total 4 4" xfId="3815" xr:uid="{00000000-0005-0000-0000-000093170000}"/>
    <cellStyle name="Total 4 5" xfId="3816" xr:uid="{00000000-0005-0000-0000-000094170000}"/>
    <cellStyle name="Total 4 6" xfId="3817" xr:uid="{00000000-0005-0000-0000-000095170000}"/>
    <cellStyle name="Total 5" xfId="3818" xr:uid="{00000000-0005-0000-0000-000096170000}"/>
    <cellStyle name="Total 5 2" xfId="3819" xr:uid="{00000000-0005-0000-0000-000097170000}"/>
    <cellStyle name="Total 5 3" xfId="3820" xr:uid="{00000000-0005-0000-0000-000098170000}"/>
    <cellStyle name="Total 5 4" xfId="3821" xr:uid="{00000000-0005-0000-0000-000099170000}"/>
    <cellStyle name="Total 5 5" xfId="3822" xr:uid="{00000000-0005-0000-0000-00009A170000}"/>
    <cellStyle name="Total 6" xfId="3823" xr:uid="{00000000-0005-0000-0000-00009B170000}"/>
    <cellStyle name="Total 6 2" xfId="3824" xr:uid="{00000000-0005-0000-0000-00009C170000}"/>
    <cellStyle name="Total 6 3" xfId="3825" xr:uid="{00000000-0005-0000-0000-00009D170000}"/>
    <cellStyle name="Total 6 4" xfId="3826" xr:uid="{00000000-0005-0000-0000-00009E170000}"/>
    <cellStyle name="Total 7" xfId="3827" xr:uid="{00000000-0005-0000-0000-00009F170000}"/>
    <cellStyle name="Total 7 2" xfId="3828" xr:uid="{00000000-0005-0000-0000-0000A0170000}"/>
    <cellStyle name="Total 7 3" xfId="3829" xr:uid="{00000000-0005-0000-0000-0000A1170000}"/>
    <cellStyle name="Total 7 4" xfId="3830" xr:uid="{00000000-0005-0000-0000-0000A2170000}"/>
    <cellStyle name="Total 8" xfId="3831" xr:uid="{00000000-0005-0000-0000-0000A3170000}"/>
    <cellStyle name="Total 8 2" xfId="3832" xr:uid="{00000000-0005-0000-0000-0000A4170000}"/>
    <cellStyle name="Total 8 3" xfId="3833" xr:uid="{00000000-0005-0000-0000-0000A5170000}"/>
    <cellStyle name="Total 9" xfId="3834" xr:uid="{00000000-0005-0000-0000-0000A6170000}"/>
    <cellStyle name="Total 9 2" xfId="3835" xr:uid="{00000000-0005-0000-0000-0000A7170000}"/>
    <cellStyle name="Total 9 3" xfId="3836" xr:uid="{00000000-0005-0000-0000-0000A8170000}"/>
    <cellStyle name="Warning Text 10" xfId="3837" xr:uid="{00000000-0005-0000-0000-0000A9170000}"/>
    <cellStyle name="Warning Text 10 2" xfId="3838" xr:uid="{00000000-0005-0000-0000-0000AA170000}"/>
    <cellStyle name="Warning Text 10 3" xfId="3839" xr:uid="{00000000-0005-0000-0000-0000AB170000}"/>
    <cellStyle name="Warning Text 11" xfId="3840" xr:uid="{00000000-0005-0000-0000-0000AC170000}"/>
    <cellStyle name="Warning Text 11 2" xfId="3841" xr:uid="{00000000-0005-0000-0000-0000AD170000}"/>
    <cellStyle name="Warning Text 11 3" xfId="3842" xr:uid="{00000000-0005-0000-0000-0000AE170000}"/>
    <cellStyle name="Warning Text 12" xfId="3843" xr:uid="{00000000-0005-0000-0000-0000AF170000}"/>
    <cellStyle name="Warning Text 12 2" xfId="3844" xr:uid="{00000000-0005-0000-0000-0000B0170000}"/>
    <cellStyle name="Warning Text 13" xfId="3845" xr:uid="{00000000-0005-0000-0000-0000B1170000}"/>
    <cellStyle name="Warning Text 13 2" xfId="3846" xr:uid="{00000000-0005-0000-0000-0000B2170000}"/>
    <cellStyle name="Warning Text 14" xfId="3847" xr:uid="{00000000-0005-0000-0000-0000B3170000}"/>
    <cellStyle name="Warning Text 15" xfId="3848" xr:uid="{00000000-0005-0000-0000-0000B4170000}"/>
    <cellStyle name="Warning Text 2" xfId="3849" xr:uid="{00000000-0005-0000-0000-0000B5170000}"/>
    <cellStyle name="Warning Text 2 10" xfId="3850" xr:uid="{00000000-0005-0000-0000-0000B6170000}"/>
    <cellStyle name="Warning Text 2 11" xfId="3851" xr:uid="{00000000-0005-0000-0000-0000B7170000}"/>
    <cellStyle name="Warning Text 2 12" xfId="3852" xr:uid="{00000000-0005-0000-0000-0000B8170000}"/>
    <cellStyle name="Warning Text 2 13" xfId="3853" xr:uid="{00000000-0005-0000-0000-0000B9170000}"/>
    <cellStyle name="Warning Text 2 14" xfId="3854" xr:uid="{00000000-0005-0000-0000-0000BA170000}"/>
    <cellStyle name="Warning Text 2 2" xfId="3855" xr:uid="{00000000-0005-0000-0000-0000BB170000}"/>
    <cellStyle name="Warning Text 2 2 2" xfId="3856" xr:uid="{00000000-0005-0000-0000-0000BC170000}"/>
    <cellStyle name="Warning Text 2 2 3" xfId="3857" xr:uid="{00000000-0005-0000-0000-0000BD170000}"/>
    <cellStyle name="Warning Text 2 3" xfId="3858" xr:uid="{00000000-0005-0000-0000-0000BE170000}"/>
    <cellStyle name="Warning Text 2 3 2" xfId="3859" xr:uid="{00000000-0005-0000-0000-0000BF170000}"/>
    <cellStyle name="Warning Text 2 4" xfId="3860" xr:uid="{00000000-0005-0000-0000-0000C0170000}"/>
    <cellStyle name="Warning Text 2 5" xfId="3861" xr:uid="{00000000-0005-0000-0000-0000C1170000}"/>
    <cellStyle name="Warning Text 2 6" xfId="3862" xr:uid="{00000000-0005-0000-0000-0000C2170000}"/>
    <cellStyle name="Warning Text 2 7" xfId="3863" xr:uid="{00000000-0005-0000-0000-0000C3170000}"/>
    <cellStyle name="Warning Text 2 8" xfId="3864" xr:uid="{00000000-0005-0000-0000-0000C4170000}"/>
    <cellStyle name="Warning Text 2 9" xfId="3865" xr:uid="{00000000-0005-0000-0000-0000C5170000}"/>
    <cellStyle name="Warning Text 3" xfId="3866" xr:uid="{00000000-0005-0000-0000-0000C6170000}"/>
    <cellStyle name="Warning Text 3 2" xfId="3867" xr:uid="{00000000-0005-0000-0000-0000C7170000}"/>
    <cellStyle name="Warning Text 3 3" xfId="3868" xr:uid="{00000000-0005-0000-0000-0000C8170000}"/>
    <cellStyle name="Warning Text 3 4" xfId="3869" xr:uid="{00000000-0005-0000-0000-0000C9170000}"/>
    <cellStyle name="Warning Text 3 5" xfId="3870" xr:uid="{00000000-0005-0000-0000-0000CA170000}"/>
    <cellStyle name="Warning Text 3 6" xfId="3871" xr:uid="{00000000-0005-0000-0000-0000CB170000}"/>
    <cellStyle name="Warning Text 3 7" xfId="3872" xr:uid="{00000000-0005-0000-0000-0000CC170000}"/>
    <cellStyle name="Warning Text 3 8" xfId="3873" xr:uid="{00000000-0005-0000-0000-0000CD170000}"/>
    <cellStyle name="Warning Text 4" xfId="3874" xr:uid="{00000000-0005-0000-0000-0000CE170000}"/>
    <cellStyle name="Warning Text 4 2" xfId="3875" xr:uid="{00000000-0005-0000-0000-0000CF170000}"/>
    <cellStyle name="Warning Text 4 3" xfId="3876" xr:uid="{00000000-0005-0000-0000-0000D0170000}"/>
    <cellStyle name="Warning Text 4 4" xfId="3877" xr:uid="{00000000-0005-0000-0000-0000D1170000}"/>
    <cellStyle name="Warning Text 4 5" xfId="3878" xr:uid="{00000000-0005-0000-0000-0000D2170000}"/>
    <cellStyle name="Warning Text 4 6" xfId="3879" xr:uid="{00000000-0005-0000-0000-0000D3170000}"/>
    <cellStyle name="Warning Text 5" xfId="3880" xr:uid="{00000000-0005-0000-0000-0000D4170000}"/>
    <cellStyle name="Warning Text 5 2" xfId="3881" xr:uid="{00000000-0005-0000-0000-0000D5170000}"/>
    <cellStyle name="Warning Text 5 3" xfId="3882" xr:uid="{00000000-0005-0000-0000-0000D6170000}"/>
    <cellStyle name="Warning Text 5 4" xfId="3883" xr:uid="{00000000-0005-0000-0000-0000D7170000}"/>
    <cellStyle name="Warning Text 5 5" xfId="3884" xr:uid="{00000000-0005-0000-0000-0000D8170000}"/>
    <cellStyle name="Warning Text 6" xfId="3885" xr:uid="{00000000-0005-0000-0000-0000D9170000}"/>
    <cellStyle name="Warning Text 6 2" xfId="3886" xr:uid="{00000000-0005-0000-0000-0000DA170000}"/>
    <cellStyle name="Warning Text 6 3" xfId="3887" xr:uid="{00000000-0005-0000-0000-0000DB170000}"/>
    <cellStyle name="Warning Text 6 4" xfId="3888" xr:uid="{00000000-0005-0000-0000-0000DC170000}"/>
    <cellStyle name="Warning Text 7" xfId="3889" xr:uid="{00000000-0005-0000-0000-0000DD170000}"/>
    <cellStyle name="Warning Text 7 2" xfId="3890" xr:uid="{00000000-0005-0000-0000-0000DE170000}"/>
    <cellStyle name="Warning Text 7 3" xfId="3891" xr:uid="{00000000-0005-0000-0000-0000DF170000}"/>
    <cellStyle name="Warning Text 7 4" xfId="3892" xr:uid="{00000000-0005-0000-0000-0000E0170000}"/>
    <cellStyle name="Warning Text 8" xfId="3893" xr:uid="{00000000-0005-0000-0000-0000E1170000}"/>
    <cellStyle name="Warning Text 8 2" xfId="3894" xr:uid="{00000000-0005-0000-0000-0000E2170000}"/>
    <cellStyle name="Warning Text 8 3" xfId="3895" xr:uid="{00000000-0005-0000-0000-0000E3170000}"/>
    <cellStyle name="Warning Text 9" xfId="3896" xr:uid="{00000000-0005-0000-0000-0000E4170000}"/>
    <cellStyle name="Warning Text 9 2" xfId="3897" xr:uid="{00000000-0005-0000-0000-0000E5170000}"/>
    <cellStyle name="Warning Text 9 3" xfId="3898" xr:uid="{00000000-0005-0000-0000-0000E6170000}"/>
    <cellStyle name="เครื่องหมายจุลภาค [0]_TOC3LOG" xfId="3899" xr:uid="{00000000-0005-0000-0000-0000E8170000}"/>
    <cellStyle name="เครื่องหมายจุลภาค_TOC3LOG" xfId="3900" xr:uid="{00000000-0005-0000-0000-0000E9170000}"/>
    <cellStyle name="เครื่องหมายสกุลเงิน [0]_TOC3LOG" xfId="3901" xr:uid="{00000000-0005-0000-0000-0000EA170000}"/>
    <cellStyle name="เครื่องหมายสกุลเงิน_TOC3LOG" xfId="3902" xr:uid="{00000000-0005-0000-0000-0000EB170000}"/>
    <cellStyle name="ค@ฏ๋_out575" xfId="3903" xr:uid="{00000000-0005-0000-0000-0000E7170000}"/>
    <cellStyle name="น้บะภฒ_95" xfId="3904" xr:uid="{00000000-0005-0000-0000-0000EC170000}"/>
    <cellStyle name="ปกติ 3 2" xfId="3905" xr:uid="{00000000-0005-0000-0000-0000ED170000}"/>
    <cellStyle name="ฤธถ [0]_95" xfId="3906" xr:uid="{00000000-0005-0000-0000-0000EE170000}"/>
    <cellStyle name="ฤธถ_95" xfId="3907" xr:uid="{00000000-0005-0000-0000-0000EF170000}"/>
    <cellStyle name="ล๋ศญ [0]_95" xfId="3908" xr:uid="{00000000-0005-0000-0000-0000F0170000}"/>
    <cellStyle name="ล๋ศญ_95" xfId="3909" xr:uid="{00000000-0005-0000-0000-0000F1170000}"/>
    <cellStyle name="วฅมุ_4ฟ๙ฝวภ๛" xfId="3910" xr:uid="{00000000-0005-0000-0000-0000F2170000}"/>
    <cellStyle name="강조색1" xfId="3911" xr:uid="{00000000-0005-0000-0000-0000F3170000}"/>
    <cellStyle name="강조색2" xfId="3912" xr:uid="{00000000-0005-0000-0000-0000F4170000}"/>
    <cellStyle name="강조색3" xfId="3913" xr:uid="{00000000-0005-0000-0000-0000F5170000}"/>
    <cellStyle name="강조색4" xfId="3914" xr:uid="{00000000-0005-0000-0000-0000F6170000}"/>
    <cellStyle name="강조색5" xfId="3915" xr:uid="{00000000-0005-0000-0000-0000F7170000}"/>
    <cellStyle name="강조색6" xfId="3916" xr:uid="{00000000-0005-0000-0000-0000F8170000}"/>
    <cellStyle name="경고문" xfId="3917" xr:uid="{00000000-0005-0000-0000-0000F9170000}"/>
    <cellStyle name="계산" xfId="3918" xr:uid="{00000000-0005-0000-0000-0000FA170000}"/>
    <cellStyle name="나쁨" xfId="3919" xr:uid="{00000000-0005-0000-0000-0000FB170000}"/>
    <cellStyle name="메모" xfId="3920" xr:uid="{00000000-0005-0000-0000-0000FC170000}"/>
    <cellStyle name="메모 2" xfId="3921" xr:uid="{00000000-0005-0000-0000-0000FD170000}"/>
    <cellStyle name="메모 3" xfId="3922" xr:uid="{00000000-0005-0000-0000-0000FE170000}"/>
    <cellStyle name="메모 4" xfId="3923" xr:uid="{00000000-0005-0000-0000-0000FF170000}"/>
    <cellStyle name="보통" xfId="3924" xr:uid="{00000000-0005-0000-0000-000000180000}"/>
    <cellStyle name="설명 텍스트" xfId="3925" xr:uid="{00000000-0005-0000-0000-000001180000}"/>
    <cellStyle name="셀 확인" xfId="3926" xr:uid="{00000000-0005-0000-0000-000002180000}"/>
    <cellStyle name="연결된 셀" xfId="3927" xr:uid="{00000000-0005-0000-0000-000003180000}"/>
    <cellStyle name="요약" xfId="3928" xr:uid="{00000000-0005-0000-0000-000004180000}"/>
    <cellStyle name="입력" xfId="3929" xr:uid="{00000000-0005-0000-0000-000005180000}"/>
    <cellStyle name="제목" xfId="3930" xr:uid="{00000000-0005-0000-0000-000006180000}"/>
    <cellStyle name="제목 1" xfId="3931" xr:uid="{00000000-0005-0000-0000-000007180000}"/>
    <cellStyle name="제목 2" xfId="3932" xr:uid="{00000000-0005-0000-0000-000008180000}"/>
    <cellStyle name="제목 3" xfId="3933" xr:uid="{00000000-0005-0000-0000-000009180000}"/>
    <cellStyle name="제목 4" xfId="3934" xr:uid="{00000000-0005-0000-0000-00000A180000}"/>
    <cellStyle name="좋음" xfId="3935" xr:uid="{00000000-0005-0000-0000-00000B180000}"/>
    <cellStyle name="출력" xfId="3936" xr:uid="{00000000-0005-0000-0000-00000C180000}"/>
    <cellStyle name="콤마 [0]_VERA" xfId="3937" xr:uid="{00000000-0005-0000-0000-00000D180000}"/>
    <cellStyle name="콤마_VERA" xfId="3938" xr:uid="{00000000-0005-0000-0000-00000E180000}"/>
    <cellStyle name="표준_VERA" xfId="3939" xr:uid="{00000000-0005-0000-0000-00000F180000}"/>
  </cellStyles>
  <dxfs count="0"/>
  <tableStyles count="0" defaultTableStyle="TableStyleMedium2" defaultPivotStyle="PivotStyleLight16"/>
  <colors>
    <mruColors>
      <color rgb="FF0000FF"/>
      <color rgb="FF0000CC"/>
      <color rgb="FFFFFF99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Dubai</a:t>
            </a:r>
            <a:r>
              <a:rPr lang="en-US" sz="2800" baseline="0"/>
              <a:t>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15'!$F$12:$G$12,'[1]28 Sept 15'!$I$12:$P$12)</c:f>
              <c:numCache>
                <c:formatCode>General</c:formatCode>
                <c:ptCount val="10"/>
                <c:pt idx="4">
                  <c:v>52.3</c:v>
                </c:pt>
                <c:pt idx="5">
                  <c:v>47</c:v>
                </c:pt>
                <c:pt idx="6">
                  <c:v>0</c:v>
                </c:pt>
                <c:pt idx="7">
                  <c:v>0</c:v>
                </c:pt>
                <c:pt idx="8">
                  <c:v>52</c:v>
                </c:pt>
                <c:pt idx="9">
                  <c:v>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9-484A-8115-E3F59E7F4042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15'!$F$11:$G$11,'[1]28 Sept 15'!$I$11:$P$11)</c:f>
              <c:numCache>
                <c:formatCode>General</c:formatCode>
                <c:ptCount val="10"/>
                <c:pt idx="4">
                  <c:v>47.4</c:v>
                </c:pt>
                <c:pt idx="5">
                  <c:v>47.4</c:v>
                </c:pt>
                <c:pt idx="6">
                  <c:v>0</c:v>
                </c:pt>
                <c:pt idx="7">
                  <c:v>0</c:v>
                </c:pt>
                <c:pt idx="8">
                  <c:v>47.5</c:v>
                </c:pt>
                <c:pt idx="9">
                  <c:v>47.8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E9-484A-8115-E3F59E7F4042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E9-484A-8115-E3F59E7F4042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15'!$F$10:$G$10,'[1]28 Sept 15'!$I$10:$P$10)</c:f>
              <c:numCache>
                <c:formatCode>General</c:formatCode>
                <c:ptCount val="10"/>
                <c:pt idx="4">
                  <c:v>46.5</c:v>
                </c:pt>
                <c:pt idx="5">
                  <c:v>46</c:v>
                </c:pt>
                <c:pt idx="8">
                  <c:v>47.3</c:v>
                </c:pt>
                <c:pt idx="9">
                  <c:v>48.7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E9-484A-8115-E3F59E7F4042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15'!$F$9:$G$9,'[1]28 Sept 15'!$I$9:$P$9)</c:f>
              <c:numCache>
                <c:formatCode>General</c:formatCode>
                <c:ptCount val="10"/>
                <c:pt idx="4">
                  <c:v>47</c:v>
                </c:pt>
                <c:pt idx="5">
                  <c:v>47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E9-484A-8115-E3F59E7F4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6894912"/>
        <c:axId val="306893344"/>
      </c:lineChart>
      <c:catAx>
        <c:axId val="3068949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306893344"/>
        <c:crosses val="autoZero"/>
        <c:auto val="1"/>
        <c:lblAlgn val="ctr"/>
        <c:lblOffset val="100"/>
        <c:noMultiLvlLbl val="0"/>
      </c:catAx>
      <c:valAx>
        <c:axId val="306893344"/>
        <c:scaling>
          <c:orientation val="minMax"/>
          <c:max val="90"/>
          <c:min val="4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06894912"/>
        <c:crosses val="autoZero"/>
        <c:crossBetween val="between"/>
        <c:majorUnit val="5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Naphtha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15'!$F$23:$G$23,'[1]28 Sept 15'!$I$23:$P$23)</c:f>
              <c:numCache>
                <c:formatCode>General</c:formatCode>
                <c:ptCount val="10"/>
                <c:pt idx="4">
                  <c:v>1.84</c:v>
                </c:pt>
                <c:pt idx="5">
                  <c:v>1.84</c:v>
                </c:pt>
                <c:pt idx="6">
                  <c:v>0</c:v>
                </c:pt>
                <c:pt idx="7">
                  <c:v>0</c:v>
                </c:pt>
                <c:pt idx="8">
                  <c:v>-1.53</c:v>
                </c:pt>
                <c:pt idx="9">
                  <c:v>-0.23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D-411F-AE70-FE5D357B2CC3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15'!$F$22:$G$22,'[1]28 Sept 15'!$I$22:$P$22)</c:f>
              <c:numCache>
                <c:formatCode>General</c:formatCode>
                <c:ptCount val="10"/>
                <c:pt idx="4">
                  <c:v>-2</c:v>
                </c:pt>
                <c:pt idx="5">
                  <c:v>0.6</c:v>
                </c:pt>
                <c:pt idx="6">
                  <c:v>0</c:v>
                </c:pt>
                <c:pt idx="7">
                  <c:v>0</c:v>
                </c:pt>
                <c:pt idx="8">
                  <c:v>-0.2</c:v>
                </c:pt>
                <c:pt idx="9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AD-411F-AE70-FE5D357B2CC3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AD-411F-AE70-FE5D357B2CC3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15'!$F$21:$G$21,'[1]28 Sept 15'!$I$21:$P$21)</c:f>
              <c:numCache>
                <c:formatCode>General</c:formatCode>
                <c:ptCount val="10"/>
                <c:pt idx="4">
                  <c:v>-0.4</c:v>
                </c:pt>
                <c:pt idx="5">
                  <c:v>0.3</c:v>
                </c:pt>
                <c:pt idx="8">
                  <c:v>0</c:v>
                </c:pt>
                <c:pt idx="9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AD-411F-AE70-FE5D357B2CC3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15'!$F$20:$G$20,'[1]28 Sept 15'!$I$20:$P$20)</c:f>
              <c:numCache>
                <c:formatCode>General</c:formatCode>
                <c:ptCount val="10"/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2.25</c:v>
                </c:pt>
                <c:pt idx="9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AD-411F-AE70-FE5D357B2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503504"/>
        <c:axId val="236498800"/>
      </c:lineChart>
      <c:catAx>
        <c:axId val="2365035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236498800"/>
        <c:crossesAt val="-7"/>
        <c:auto val="1"/>
        <c:lblAlgn val="ctr"/>
        <c:lblOffset val="100"/>
        <c:noMultiLvlLbl val="0"/>
      </c:catAx>
      <c:valAx>
        <c:axId val="236498800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236503504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Mogas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15'!$F$35:$G$35,'[1]28 Sept 15'!$I$35:$P$35)</c:f>
              <c:numCache>
                <c:formatCode>General</c:formatCode>
                <c:ptCount val="10"/>
                <c:pt idx="4">
                  <c:v>15.68</c:v>
                </c:pt>
                <c:pt idx="5">
                  <c:v>18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13.87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F-498B-A7B9-9239B41914F2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15'!$F$34:$G$34,'[1]28 Sept 15'!$I$34:$P$34)</c:f>
              <c:numCache>
                <c:formatCode>General</c:formatCode>
                <c:ptCount val="10"/>
                <c:pt idx="4">
                  <c:v>16</c:v>
                </c:pt>
                <c:pt idx="5">
                  <c:v>16</c:v>
                </c:pt>
                <c:pt idx="6">
                  <c:v>0</c:v>
                </c:pt>
                <c:pt idx="7">
                  <c:v>0</c:v>
                </c:pt>
                <c:pt idx="8">
                  <c:v>16</c:v>
                </c:pt>
                <c:pt idx="9">
                  <c:v>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BF-498B-A7B9-9239B41914F2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BF-498B-A7B9-9239B41914F2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15'!$F$33:$G$33,'[1]28 Sept 15'!$I$33:$P$33)</c:f>
              <c:numCache>
                <c:formatCode>General</c:formatCode>
                <c:ptCount val="10"/>
                <c:pt idx="4">
                  <c:v>17</c:v>
                </c:pt>
                <c:pt idx="5">
                  <c:v>17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BF-498B-A7B9-9239B41914F2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15'!$F$32:$G$32,'[1]28 Sept 15'!$I$32:$P$32)</c:f>
              <c:numCache>
                <c:formatCode>General</c:formatCode>
                <c:ptCount val="10"/>
                <c:pt idx="4">
                  <c:v>17.25</c:v>
                </c:pt>
                <c:pt idx="5">
                  <c:v>18</c:v>
                </c:pt>
                <c:pt idx="6">
                  <c:v>0</c:v>
                </c:pt>
                <c:pt idx="7">
                  <c:v>0</c:v>
                </c:pt>
                <c:pt idx="8">
                  <c:v>17</c:v>
                </c:pt>
                <c:pt idx="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BF-498B-A7B9-9239B4191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502328"/>
        <c:axId val="237375160"/>
      </c:lineChart>
      <c:catAx>
        <c:axId val="2365023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237375160"/>
        <c:crossesAt val="-7"/>
        <c:auto val="1"/>
        <c:lblAlgn val="ctr"/>
        <c:lblOffset val="100"/>
        <c:noMultiLvlLbl val="0"/>
      </c:catAx>
      <c:valAx>
        <c:axId val="237375160"/>
        <c:scaling>
          <c:orientation val="minMax"/>
          <c:max val="25"/>
          <c:min val="5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236502328"/>
        <c:crosses val="autoZero"/>
        <c:crossBetween val="between"/>
        <c:majorUnit val="5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Kero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15'!$F$46:$G$46,'[1]28 Sept 15'!$I$46:$P$46)</c:f>
              <c:numCache>
                <c:formatCode>General</c:formatCode>
                <c:ptCount val="10"/>
                <c:pt idx="4">
                  <c:v>13.34</c:v>
                </c:pt>
                <c:pt idx="5">
                  <c:v>13.34</c:v>
                </c:pt>
                <c:pt idx="6">
                  <c:v>0</c:v>
                </c:pt>
                <c:pt idx="7">
                  <c:v>0</c:v>
                </c:pt>
                <c:pt idx="8">
                  <c:v>14.12</c:v>
                </c:pt>
                <c:pt idx="9">
                  <c:v>14.67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8D-4BFA-93EE-143188FC308B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15'!$F$45:$G$45,'[1]28 Sept 15'!$I$45:$P$45)</c:f>
              <c:numCache>
                <c:formatCode>General</c:formatCode>
                <c:ptCount val="10"/>
                <c:pt idx="4">
                  <c:v>12.5</c:v>
                </c:pt>
                <c:pt idx="5">
                  <c:v>13.2</c:v>
                </c:pt>
                <c:pt idx="6">
                  <c:v>0</c:v>
                </c:pt>
                <c:pt idx="7">
                  <c:v>0</c:v>
                </c:pt>
                <c:pt idx="8">
                  <c:v>13.45</c:v>
                </c:pt>
                <c:pt idx="9">
                  <c:v>13.7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8D-4BFA-93EE-143188FC308B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8D-4BFA-93EE-143188FC308B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15'!$F$44:$G$44,'[1]28 Sept 15'!$I$44:$P$44)</c:f>
              <c:numCache>
                <c:formatCode>General</c:formatCode>
                <c:ptCount val="10"/>
                <c:pt idx="4">
                  <c:v>13.4</c:v>
                </c:pt>
                <c:pt idx="5">
                  <c:v>13.3</c:v>
                </c:pt>
                <c:pt idx="6">
                  <c:v>0</c:v>
                </c:pt>
                <c:pt idx="7">
                  <c:v>0</c:v>
                </c:pt>
                <c:pt idx="8">
                  <c:v>13.5</c:v>
                </c:pt>
                <c:pt idx="9">
                  <c:v>13.7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8D-4BFA-93EE-143188FC308B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15'!$F$43:$G$43,'[1]28 Sept 15'!$I$43:$P$43)</c:f>
              <c:numCache>
                <c:formatCode>General</c:formatCode>
                <c:ptCount val="10"/>
                <c:pt idx="4">
                  <c:v>13.2</c:v>
                </c:pt>
                <c:pt idx="5">
                  <c:v>13.9</c:v>
                </c:pt>
                <c:pt idx="6">
                  <c:v>0</c:v>
                </c:pt>
                <c:pt idx="7">
                  <c:v>0</c:v>
                </c:pt>
                <c:pt idx="8">
                  <c:v>14</c:v>
                </c:pt>
                <c:pt idx="9">
                  <c:v>14.25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8D-4BFA-93EE-143188FC3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361440"/>
        <c:axId val="301751656"/>
      </c:lineChart>
      <c:catAx>
        <c:axId val="237361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01751656"/>
        <c:crossesAt val="-7"/>
        <c:auto val="1"/>
        <c:lblAlgn val="ctr"/>
        <c:lblOffset val="100"/>
        <c:noMultiLvlLbl val="0"/>
      </c:catAx>
      <c:valAx>
        <c:axId val="301751656"/>
        <c:scaling>
          <c:orientation val="minMax"/>
          <c:max val="20"/>
          <c:min val="1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237361440"/>
        <c:crosses val="autoZero"/>
        <c:crossBetween val="between"/>
        <c:majorUnit val="1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Diesel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15'!$F$57:$G$57,'[1]28 Sept 15'!$I$57:$P$57)</c:f>
              <c:numCache>
                <c:formatCode>General</c:formatCode>
                <c:ptCount val="10"/>
                <c:pt idx="4">
                  <c:v>13.4</c:v>
                </c:pt>
                <c:pt idx="5">
                  <c:v>13.4</c:v>
                </c:pt>
                <c:pt idx="6">
                  <c:v>0</c:v>
                </c:pt>
                <c:pt idx="7">
                  <c:v>0</c:v>
                </c:pt>
                <c:pt idx="8">
                  <c:v>13.62</c:v>
                </c:pt>
                <c:pt idx="9">
                  <c:v>14.59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D-4107-924C-F0BF49B58955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15'!$F$56:$G$56,'[1]28 Sept 15'!$I$56:$P$56)</c:f>
              <c:numCache>
                <c:formatCode>General</c:formatCode>
                <c:ptCount val="10"/>
                <c:pt idx="4">
                  <c:v>13</c:v>
                </c:pt>
                <c:pt idx="5">
                  <c:v>13</c:v>
                </c:pt>
                <c:pt idx="6">
                  <c:v>0</c:v>
                </c:pt>
                <c:pt idx="7">
                  <c:v>0</c:v>
                </c:pt>
                <c:pt idx="8">
                  <c:v>13.25</c:v>
                </c:pt>
                <c:pt idx="9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BD-4107-924C-F0BF49B58955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BD-4107-924C-F0BF49B58955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15'!$F$55:$G$55,'[1]28 Sept 15'!$I$55:$P$55)</c:f>
              <c:numCache>
                <c:formatCode>General</c:formatCode>
                <c:ptCount val="10"/>
                <c:pt idx="4">
                  <c:v>13.5</c:v>
                </c:pt>
                <c:pt idx="5">
                  <c:v>13.6</c:v>
                </c:pt>
                <c:pt idx="6">
                  <c:v>0</c:v>
                </c:pt>
                <c:pt idx="7">
                  <c:v>0</c:v>
                </c:pt>
                <c:pt idx="8">
                  <c:v>13.3</c:v>
                </c:pt>
                <c:pt idx="9">
                  <c:v>13.4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BD-4107-924C-F0BF49B58955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15'!$F$54:$G$54,'[1]28 Sept 15'!$I$54:$P$54)</c:f>
              <c:numCache>
                <c:formatCode>General</c:formatCode>
                <c:ptCount val="10"/>
                <c:pt idx="4">
                  <c:v>13.5</c:v>
                </c:pt>
                <c:pt idx="5">
                  <c:v>14.2</c:v>
                </c:pt>
                <c:pt idx="6">
                  <c:v>0</c:v>
                </c:pt>
                <c:pt idx="7">
                  <c:v>0</c:v>
                </c:pt>
                <c:pt idx="8">
                  <c:v>14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BD-4107-924C-F0BF49B58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48536"/>
        <c:axId val="106251280"/>
      </c:lineChart>
      <c:catAx>
        <c:axId val="106248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106251280"/>
        <c:crossesAt val="-7"/>
        <c:auto val="1"/>
        <c:lblAlgn val="ctr"/>
        <c:lblOffset val="100"/>
        <c:noMultiLvlLbl val="0"/>
      </c:catAx>
      <c:valAx>
        <c:axId val="106251280"/>
        <c:scaling>
          <c:orientation val="minMax"/>
          <c:max val="20"/>
          <c:min val="1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106248536"/>
        <c:crosses val="autoZero"/>
        <c:crossBetween val="between"/>
        <c:majorUnit val="1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Fuel OIl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15'!$F$68:$G$68,'[1]28 Sept 15'!$I$68:$P$68)</c:f>
              <c:numCache>
                <c:formatCode>General</c:formatCode>
                <c:ptCount val="10"/>
                <c:pt idx="4">
                  <c:v>-9.02</c:v>
                </c:pt>
                <c:pt idx="5">
                  <c:v>-9.02</c:v>
                </c:pt>
                <c:pt idx="6">
                  <c:v>0</c:v>
                </c:pt>
                <c:pt idx="7">
                  <c:v>0</c:v>
                </c:pt>
                <c:pt idx="8">
                  <c:v>-7.94</c:v>
                </c:pt>
                <c:pt idx="9">
                  <c:v>-7.64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D-4F7D-91B4-B573C69110AB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15'!$F$67:$G$67,'[1]28 Sept 15'!$I$67:$P$67)</c:f>
              <c:numCache>
                <c:formatCode>General</c:formatCode>
                <c:ptCount val="10"/>
                <c:pt idx="4">
                  <c:v>-8</c:v>
                </c:pt>
                <c:pt idx="5">
                  <c:v>-8</c:v>
                </c:pt>
                <c:pt idx="6">
                  <c:v>0</c:v>
                </c:pt>
                <c:pt idx="7">
                  <c:v>0</c:v>
                </c:pt>
                <c:pt idx="8">
                  <c:v>-9</c:v>
                </c:pt>
                <c:pt idx="9">
                  <c:v>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D-4F7D-91B4-B573C69110AB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D-4F7D-91B4-B573C69110AB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15'!$F$66:$G$66,'[1]28 Sept 15'!$I$66:$P$66)</c:f>
              <c:numCache>
                <c:formatCode>General</c:formatCode>
                <c:ptCount val="10"/>
                <c:pt idx="4">
                  <c:v>-8.1</c:v>
                </c:pt>
                <c:pt idx="5">
                  <c:v>-8.1</c:v>
                </c:pt>
                <c:pt idx="6">
                  <c:v>0</c:v>
                </c:pt>
                <c:pt idx="7">
                  <c:v>0</c:v>
                </c:pt>
                <c:pt idx="8">
                  <c:v>-8</c:v>
                </c:pt>
                <c:pt idx="9">
                  <c:v>-7.8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D-4F7D-91B4-B573C69110AB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15'!$F$65:$G$65,'[1]28 Sept 15'!$I$65:$P$65)</c:f>
              <c:numCache>
                <c:formatCode>General</c:formatCode>
                <c:ptCount val="10"/>
                <c:pt idx="4">
                  <c:v>-7.5</c:v>
                </c:pt>
                <c:pt idx="5">
                  <c:v>-7.5</c:v>
                </c:pt>
                <c:pt idx="6">
                  <c:v>0</c:v>
                </c:pt>
                <c:pt idx="7">
                  <c:v>0</c:v>
                </c:pt>
                <c:pt idx="8">
                  <c:v>-7</c:v>
                </c:pt>
                <c:pt idx="9">
                  <c:v>-6.75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D-4F7D-91B4-B573C6911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6048"/>
        <c:axId val="310595264"/>
      </c:lineChart>
      <c:catAx>
        <c:axId val="3105960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10595264"/>
        <c:crossesAt val="-7"/>
        <c:auto val="1"/>
        <c:lblAlgn val="ctr"/>
        <c:lblOffset val="100"/>
        <c:noMultiLvlLbl val="0"/>
      </c:catAx>
      <c:valAx>
        <c:axId val="310595264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0596048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Dtd/DB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15'!$F$79:$G$79,'[1]28 Sept 15'!$I$79:$P$79)</c:f>
              <c:numCache>
                <c:formatCode>General</c:formatCode>
                <c:ptCount val="10"/>
                <c:pt idx="4">
                  <c:v>1.2</c:v>
                </c:pt>
                <c:pt idx="5">
                  <c:v>1.2</c:v>
                </c:pt>
                <c:pt idx="8">
                  <c:v>1.4</c:v>
                </c:pt>
                <c:pt idx="9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A-4984-B420-C2C8641A3924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15'!$F$78:$G$78,'[1]28 Sept 15'!$I$78:$P$78)</c:f>
              <c:numCache>
                <c:formatCode>General</c:formatCode>
                <c:ptCount val="10"/>
                <c:pt idx="4">
                  <c:v>0.5</c:v>
                </c:pt>
                <c:pt idx="5">
                  <c:v>1.7</c:v>
                </c:pt>
                <c:pt idx="6">
                  <c:v>0</c:v>
                </c:pt>
                <c:pt idx="7">
                  <c:v>0</c:v>
                </c:pt>
                <c:pt idx="8">
                  <c:v>1.7</c:v>
                </c:pt>
                <c:pt idx="9">
                  <c:v>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FA-4984-B420-C2C8641A3924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FA-4984-B420-C2C8641A3924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15'!$F$77:$G$77,'[1]28 Sept 15'!$I$77:$P$77)</c:f>
              <c:numCache>
                <c:formatCode>General</c:formatCode>
                <c:ptCount val="10"/>
                <c:pt idx="4">
                  <c:v>1.3</c:v>
                </c:pt>
                <c:pt idx="5">
                  <c:v>1.3</c:v>
                </c:pt>
                <c:pt idx="8">
                  <c:v>1.5</c:v>
                </c:pt>
                <c:pt idx="9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FA-4984-B420-C2C8641A3924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15'!$F$76:$G$76,'[1]28 Sept 15'!$I$76:$P$76)</c:f>
              <c:numCache>
                <c:formatCode>General</c:formatCode>
                <c:ptCount val="10"/>
                <c:pt idx="4">
                  <c:v>1.8</c:v>
                </c:pt>
                <c:pt idx="5">
                  <c:v>1.8</c:v>
                </c:pt>
                <c:pt idx="8">
                  <c:v>1.8</c:v>
                </c:pt>
                <c:pt idx="9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FA-4984-B420-C2C8641A3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1736"/>
        <c:axId val="310596440"/>
      </c:lineChart>
      <c:catAx>
        <c:axId val="310591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10596440"/>
        <c:crossesAt val="-7"/>
        <c:auto val="1"/>
        <c:lblAlgn val="ctr"/>
        <c:lblOffset val="100"/>
        <c:noMultiLvlLbl val="0"/>
      </c:catAx>
      <c:valAx>
        <c:axId val="310596440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0591736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/>
              <a:t>Dubai</a:t>
            </a:r>
            <a:r>
              <a:rPr lang="en-US" sz="2800" baseline="0"/>
              <a:t>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15'!$F$12:$G$12,'[1]28 Sept 15'!$I$12:$P$12)</c:f>
              <c:numCache>
                <c:formatCode>General</c:formatCode>
                <c:ptCount val="10"/>
                <c:pt idx="4">
                  <c:v>52.3</c:v>
                </c:pt>
                <c:pt idx="5">
                  <c:v>47</c:v>
                </c:pt>
                <c:pt idx="6">
                  <c:v>0</c:v>
                </c:pt>
                <c:pt idx="7">
                  <c:v>0</c:v>
                </c:pt>
                <c:pt idx="8">
                  <c:v>52</c:v>
                </c:pt>
                <c:pt idx="9">
                  <c:v>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0-4DC9-B157-EC4C1BC8A89E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15'!$F$11:$G$11,'[1]28 Sept 15'!$I$11:$P$11)</c:f>
              <c:numCache>
                <c:formatCode>General</c:formatCode>
                <c:ptCount val="10"/>
                <c:pt idx="4">
                  <c:v>47.4</c:v>
                </c:pt>
                <c:pt idx="5">
                  <c:v>47.4</c:v>
                </c:pt>
                <c:pt idx="6">
                  <c:v>0</c:v>
                </c:pt>
                <c:pt idx="7">
                  <c:v>0</c:v>
                </c:pt>
                <c:pt idx="8">
                  <c:v>47.5</c:v>
                </c:pt>
                <c:pt idx="9">
                  <c:v>47.8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40-4DC9-B157-EC4C1BC8A89E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40-4DC9-B157-EC4C1BC8A89E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15'!$F$10:$G$10,'[1]28 Sept 15'!$I$10:$P$10)</c:f>
              <c:numCache>
                <c:formatCode>General</c:formatCode>
                <c:ptCount val="10"/>
                <c:pt idx="4">
                  <c:v>46.5</c:v>
                </c:pt>
                <c:pt idx="5">
                  <c:v>46</c:v>
                </c:pt>
                <c:pt idx="8">
                  <c:v>47.3</c:v>
                </c:pt>
                <c:pt idx="9">
                  <c:v>48.7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40-4DC9-B157-EC4C1BC8A89E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15'!$F$9:$G$9,'[1]28 Sept 15'!$I$9:$P$9)</c:f>
              <c:numCache>
                <c:formatCode>General</c:formatCode>
                <c:ptCount val="10"/>
                <c:pt idx="4">
                  <c:v>47</c:v>
                </c:pt>
                <c:pt idx="5">
                  <c:v>47</c:v>
                </c:pt>
                <c:pt idx="6">
                  <c:v>0</c:v>
                </c:pt>
                <c:pt idx="7">
                  <c:v>0</c:v>
                </c:pt>
                <c:pt idx="8">
                  <c:v>48</c:v>
                </c:pt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40-4DC9-B157-EC4C1BC8A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7224"/>
        <c:axId val="310594872"/>
      </c:lineChart>
      <c:catAx>
        <c:axId val="3105972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310594872"/>
        <c:crosses val="autoZero"/>
        <c:auto val="1"/>
        <c:lblAlgn val="ctr"/>
        <c:lblOffset val="100"/>
        <c:noMultiLvlLbl val="0"/>
      </c:catAx>
      <c:valAx>
        <c:axId val="310594872"/>
        <c:scaling>
          <c:orientation val="minMax"/>
          <c:max val="90"/>
          <c:min val="4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0597224"/>
        <c:crosses val="autoZero"/>
        <c:crossBetween val="between"/>
        <c:majorUnit val="5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Naphtha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15'!$F$23:$G$23,'[1]28 Sept 15'!$I$23:$P$23)</c:f>
              <c:numCache>
                <c:formatCode>General</c:formatCode>
                <c:ptCount val="10"/>
                <c:pt idx="4">
                  <c:v>1.84</c:v>
                </c:pt>
                <c:pt idx="5">
                  <c:v>1.84</c:v>
                </c:pt>
                <c:pt idx="6">
                  <c:v>0</c:v>
                </c:pt>
                <c:pt idx="7">
                  <c:v>0</c:v>
                </c:pt>
                <c:pt idx="8">
                  <c:v>-1.53</c:v>
                </c:pt>
                <c:pt idx="9">
                  <c:v>-0.23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F-4682-AF11-E9F8D73F908F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15'!$F$22:$G$22,'[1]28 Sept 15'!$I$22:$P$22)</c:f>
              <c:numCache>
                <c:formatCode>General</c:formatCode>
                <c:ptCount val="10"/>
                <c:pt idx="4">
                  <c:v>-2</c:v>
                </c:pt>
                <c:pt idx="5">
                  <c:v>0.6</c:v>
                </c:pt>
                <c:pt idx="6">
                  <c:v>0</c:v>
                </c:pt>
                <c:pt idx="7">
                  <c:v>0</c:v>
                </c:pt>
                <c:pt idx="8">
                  <c:v>-0.2</c:v>
                </c:pt>
                <c:pt idx="9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F-4682-AF11-E9F8D73F908F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4F-4682-AF11-E9F8D73F908F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15'!$F$21:$G$21,'[1]28 Sept 15'!$I$21:$P$21)</c:f>
              <c:numCache>
                <c:formatCode>General</c:formatCode>
                <c:ptCount val="10"/>
                <c:pt idx="4">
                  <c:v>-0.4</c:v>
                </c:pt>
                <c:pt idx="5">
                  <c:v>0.3</c:v>
                </c:pt>
                <c:pt idx="8">
                  <c:v>0</c:v>
                </c:pt>
                <c:pt idx="9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4F-4682-AF11-E9F8D73F908F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15'!$F$20:$G$20,'[1]28 Sept 15'!$I$20:$P$20)</c:f>
              <c:numCache>
                <c:formatCode>General</c:formatCode>
                <c:ptCount val="10"/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2.25</c:v>
                </c:pt>
                <c:pt idx="9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4F-4682-AF11-E9F8D73F9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7616"/>
        <c:axId val="310591344"/>
      </c:lineChart>
      <c:catAx>
        <c:axId val="3105976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10591344"/>
        <c:crossesAt val="-7"/>
        <c:auto val="1"/>
        <c:lblAlgn val="ctr"/>
        <c:lblOffset val="100"/>
        <c:noMultiLvlLbl val="0"/>
      </c:catAx>
      <c:valAx>
        <c:axId val="310591344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0597616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Mogas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15'!$F$35:$G$35,'[1]28 Sept 15'!$I$35:$P$35)</c:f>
              <c:numCache>
                <c:formatCode>General</c:formatCode>
                <c:ptCount val="10"/>
                <c:pt idx="4">
                  <c:v>15.68</c:v>
                </c:pt>
                <c:pt idx="5">
                  <c:v>18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13.87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D9-431B-8209-E595453ACF04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15'!$F$34:$G$34,'[1]28 Sept 15'!$I$34:$P$34)</c:f>
              <c:numCache>
                <c:formatCode>General</c:formatCode>
                <c:ptCount val="10"/>
                <c:pt idx="4">
                  <c:v>16</c:v>
                </c:pt>
                <c:pt idx="5">
                  <c:v>16</c:v>
                </c:pt>
                <c:pt idx="6">
                  <c:v>0</c:v>
                </c:pt>
                <c:pt idx="7">
                  <c:v>0</c:v>
                </c:pt>
                <c:pt idx="8">
                  <c:v>16</c:v>
                </c:pt>
                <c:pt idx="9">
                  <c:v>15.5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D9-431B-8209-E595453ACF04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D9-431B-8209-E595453ACF04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15'!$F$33:$G$33,'[1]28 Sept 15'!$I$33:$P$33)</c:f>
              <c:numCache>
                <c:formatCode>General</c:formatCode>
                <c:ptCount val="10"/>
                <c:pt idx="4">
                  <c:v>17</c:v>
                </c:pt>
                <c:pt idx="5">
                  <c:v>17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D9-431B-8209-E595453ACF04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15'!$F$32:$G$32,'[1]28 Sept 15'!$I$32:$P$32)</c:f>
              <c:numCache>
                <c:formatCode>General</c:formatCode>
                <c:ptCount val="10"/>
                <c:pt idx="4">
                  <c:v>17.25</c:v>
                </c:pt>
                <c:pt idx="5">
                  <c:v>18</c:v>
                </c:pt>
                <c:pt idx="6">
                  <c:v>0</c:v>
                </c:pt>
                <c:pt idx="7">
                  <c:v>0</c:v>
                </c:pt>
                <c:pt idx="8">
                  <c:v>17</c:v>
                </c:pt>
                <c:pt idx="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D9-431B-8209-E595453AC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2128"/>
        <c:axId val="310594480"/>
      </c:lineChart>
      <c:catAx>
        <c:axId val="310592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10594480"/>
        <c:crossesAt val="-7"/>
        <c:auto val="1"/>
        <c:lblAlgn val="ctr"/>
        <c:lblOffset val="100"/>
        <c:noMultiLvlLbl val="0"/>
      </c:catAx>
      <c:valAx>
        <c:axId val="310594480"/>
        <c:scaling>
          <c:orientation val="minMax"/>
          <c:max val="25"/>
          <c:min val="5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0592128"/>
        <c:crosses val="autoZero"/>
        <c:crossBetween val="between"/>
        <c:majorUnit val="5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Kero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15'!$F$46:$G$46,'[1]28 Sept 15'!$I$46:$P$46)</c:f>
              <c:numCache>
                <c:formatCode>General</c:formatCode>
                <c:ptCount val="10"/>
                <c:pt idx="4">
                  <c:v>13.34</c:v>
                </c:pt>
                <c:pt idx="5">
                  <c:v>13.34</c:v>
                </c:pt>
                <c:pt idx="6">
                  <c:v>0</c:v>
                </c:pt>
                <c:pt idx="7">
                  <c:v>0</c:v>
                </c:pt>
                <c:pt idx="8">
                  <c:v>14.12</c:v>
                </c:pt>
                <c:pt idx="9">
                  <c:v>14.67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2-45FA-87EC-6AED64B5A5A5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15'!$F$45:$G$45,'[1]28 Sept 15'!$I$45:$P$45)</c:f>
              <c:numCache>
                <c:formatCode>General</c:formatCode>
                <c:ptCount val="10"/>
                <c:pt idx="4">
                  <c:v>12.5</c:v>
                </c:pt>
                <c:pt idx="5">
                  <c:v>13.2</c:v>
                </c:pt>
                <c:pt idx="6">
                  <c:v>0</c:v>
                </c:pt>
                <c:pt idx="7">
                  <c:v>0</c:v>
                </c:pt>
                <c:pt idx="8">
                  <c:v>13.45</c:v>
                </c:pt>
                <c:pt idx="9">
                  <c:v>13.7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2-45FA-87EC-6AED64B5A5A5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2-45FA-87EC-6AED64B5A5A5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15'!$F$44:$G$44,'[1]28 Sept 15'!$I$44:$P$44)</c:f>
              <c:numCache>
                <c:formatCode>General</c:formatCode>
                <c:ptCount val="10"/>
                <c:pt idx="4">
                  <c:v>13.4</c:v>
                </c:pt>
                <c:pt idx="5">
                  <c:v>13.3</c:v>
                </c:pt>
                <c:pt idx="6">
                  <c:v>0</c:v>
                </c:pt>
                <c:pt idx="7">
                  <c:v>0</c:v>
                </c:pt>
                <c:pt idx="8">
                  <c:v>13.5</c:v>
                </c:pt>
                <c:pt idx="9">
                  <c:v>13.7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E2-45FA-87EC-6AED64B5A5A5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15'!$F$43:$G$43,'[1]28 Sept 15'!$I$43:$P$43)</c:f>
              <c:numCache>
                <c:formatCode>General</c:formatCode>
                <c:ptCount val="10"/>
                <c:pt idx="4">
                  <c:v>13.2</c:v>
                </c:pt>
                <c:pt idx="5">
                  <c:v>13.9</c:v>
                </c:pt>
                <c:pt idx="6">
                  <c:v>0</c:v>
                </c:pt>
                <c:pt idx="7">
                  <c:v>0</c:v>
                </c:pt>
                <c:pt idx="8">
                  <c:v>14</c:v>
                </c:pt>
                <c:pt idx="9">
                  <c:v>14.25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E2-45FA-87EC-6AED64B5A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2912"/>
        <c:axId val="310593304"/>
      </c:lineChart>
      <c:catAx>
        <c:axId val="3105929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10593304"/>
        <c:crossesAt val="-7"/>
        <c:auto val="1"/>
        <c:lblAlgn val="ctr"/>
        <c:lblOffset val="100"/>
        <c:noMultiLvlLbl val="0"/>
      </c:catAx>
      <c:valAx>
        <c:axId val="310593304"/>
        <c:scaling>
          <c:orientation val="minMax"/>
          <c:max val="20"/>
          <c:min val="1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0592912"/>
        <c:crosses val="autoZero"/>
        <c:crossBetween val="between"/>
        <c:majorUnit val="1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Diesel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15'!$F$57:$G$57,'[1]28 Sept 15'!$I$57:$P$57)</c:f>
              <c:numCache>
                <c:formatCode>General</c:formatCode>
                <c:ptCount val="10"/>
                <c:pt idx="4">
                  <c:v>13.4</c:v>
                </c:pt>
                <c:pt idx="5">
                  <c:v>13.4</c:v>
                </c:pt>
                <c:pt idx="6">
                  <c:v>0</c:v>
                </c:pt>
                <c:pt idx="7">
                  <c:v>0</c:v>
                </c:pt>
                <c:pt idx="8">
                  <c:v>13.62</c:v>
                </c:pt>
                <c:pt idx="9">
                  <c:v>14.59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3-4730-8F52-F51563A5AE77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15'!$F$56:$G$56,'[1]28 Sept 15'!$I$56:$P$56)</c:f>
              <c:numCache>
                <c:formatCode>General</c:formatCode>
                <c:ptCount val="10"/>
                <c:pt idx="4">
                  <c:v>13</c:v>
                </c:pt>
                <c:pt idx="5">
                  <c:v>13</c:v>
                </c:pt>
                <c:pt idx="6">
                  <c:v>0</c:v>
                </c:pt>
                <c:pt idx="7">
                  <c:v>0</c:v>
                </c:pt>
                <c:pt idx="8">
                  <c:v>13.25</c:v>
                </c:pt>
                <c:pt idx="9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13-4730-8F52-F51563A5AE77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13-4730-8F52-F51563A5AE77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15'!$F$55:$G$55,'[1]28 Sept 15'!$I$55:$P$55)</c:f>
              <c:numCache>
                <c:formatCode>General</c:formatCode>
                <c:ptCount val="10"/>
                <c:pt idx="4">
                  <c:v>13.5</c:v>
                </c:pt>
                <c:pt idx="5">
                  <c:v>13.6</c:v>
                </c:pt>
                <c:pt idx="6">
                  <c:v>0</c:v>
                </c:pt>
                <c:pt idx="7">
                  <c:v>0</c:v>
                </c:pt>
                <c:pt idx="8">
                  <c:v>13.3</c:v>
                </c:pt>
                <c:pt idx="9">
                  <c:v>13.4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13-4730-8F52-F51563A5AE77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15'!$F$54:$G$54,'[1]28 Sept 15'!$I$54:$P$54)</c:f>
              <c:numCache>
                <c:formatCode>General</c:formatCode>
                <c:ptCount val="10"/>
                <c:pt idx="4">
                  <c:v>13.5</c:v>
                </c:pt>
                <c:pt idx="5">
                  <c:v>14.2</c:v>
                </c:pt>
                <c:pt idx="6">
                  <c:v>0</c:v>
                </c:pt>
                <c:pt idx="7">
                  <c:v>0</c:v>
                </c:pt>
                <c:pt idx="8">
                  <c:v>14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13-4730-8F52-F51563A5A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595656"/>
        <c:axId val="312239448"/>
      </c:lineChart>
      <c:catAx>
        <c:axId val="3105956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12239448"/>
        <c:crossesAt val="-7"/>
        <c:auto val="1"/>
        <c:lblAlgn val="ctr"/>
        <c:lblOffset val="100"/>
        <c:noMultiLvlLbl val="0"/>
      </c:catAx>
      <c:valAx>
        <c:axId val="312239448"/>
        <c:scaling>
          <c:orientation val="minMax"/>
          <c:max val="20"/>
          <c:min val="10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0595656"/>
        <c:crosses val="autoZero"/>
        <c:crossBetween val="between"/>
        <c:majorUnit val="1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Fuel OIl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15'!$F$68:$G$68,'[1]28 Sept 15'!$I$68:$P$68)</c:f>
              <c:numCache>
                <c:formatCode>General</c:formatCode>
                <c:ptCount val="10"/>
                <c:pt idx="4">
                  <c:v>-9.02</c:v>
                </c:pt>
                <c:pt idx="5">
                  <c:v>-9.02</c:v>
                </c:pt>
                <c:pt idx="6">
                  <c:v>0</c:v>
                </c:pt>
                <c:pt idx="7">
                  <c:v>0</c:v>
                </c:pt>
                <c:pt idx="8">
                  <c:v>-7.94</c:v>
                </c:pt>
                <c:pt idx="9">
                  <c:v>-7.64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A-4CC4-BF81-577FC7563E7C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15'!$F$67:$G$67,'[1]28 Sept 15'!$I$67:$P$67)</c:f>
              <c:numCache>
                <c:formatCode>General</c:formatCode>
                <c:ptCount val="10"/>
                <c:pt idx="4">
                  <c:v>-8</c:v>
                </c:pt>
                <c:pt idx="5">
                  <c:v>-8</c:v>
                </c:pt>
                <c:pt idx="6">
                  <c:v>0</c:v>
                </c:pt>
                <c:pt idx="7">
                  <c:v>0</c:v>
                </c:pt>
                <c:pt idx="8">
                  <c:v>-9</c:v>
                </c:pt>
                <c:pt idx="9">
                  <c:v>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8A-4CC4-BF81-577FC7563E7C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8A-4CC4-BF81-577FC7563E7C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15'!$F$66:$G$66,'[1]28 Sept 15'!$I$66:$P$66)</c:f>
              <c:numCache>
                <c:formatCode>General</c:formatCode>
                <c:ptCount val="10"/>
                <c:pt idx="4">
                  <c:v>-8.1</c:v>
                </c:pt>
                <c:pt idx="5">
                  <c:v>-8.1</c:v>
                </c:pt>
                <c:pt idx="6">
                  <c:v>0</c:v>
                </c:pt>
                <c:pt idx="7">
                  <c:v>0</c:v>
                </c:pt>
                <c:pt idx="8">
                  <c:v>-8</c:v>
                </c:pt>
                <c:pt idx="9">
                  <c:v>-7.8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8A-4CC4-BF81-577FC7563E7C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15'!$F$65:$G$65,'[1]28 Sept 15'!$I$65:$P$65)</c:f>
              <c:numCache>
                <c:formatCode>General</c:formatCode>
                <c:ptCount val="10"/>
                <c:pt idx="4">
                  <c:v>-7.5</c:v>
                </c:pt>
                <c:pt idx="5">
                  <c:v>-7.5</c:v>
                </c:pt>
                <c:pt idx="6">
                  <c:v>0</c:v>
                </c:pt>
                <c:pt idx="7">
                  <c:v>0</c:v>
                </c:pt>
                <c:pt idx="8">
                  <c:v>-7</c:v>
                </c:pt>
                <c:pt idx="9">
                  <c:v>-6.75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8A-4CC4-BF81-577FC7563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239056"/>
        <c:axId val="312240232"/>
      </c:lineChart>
      <c:catAx>
        <c:axId val="3122390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12240232"/>
        <c:crossesAt val="-7"/>
        <c:auto val="1"/>
        <c:lblAlgn val="ctr"/>
        <c:lblOffset val="100"/>
        <c:noMultiLvlLbl val="0"/>
      </c:catAx>
      <c:valAx>
        <c:axId val="312240232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2239056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800"/>
            </a:pPr>
            <a:r>
              <a:rPr lang="en-US" sz="2800" baseline="0"/>
              <a:t>Dtd/DB Outlook</a:t>
            </a:r>
            <a:endParaRPr lang="en-US" sz="2800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7.6614968583472456E-2"/>
          <c:y val="0.12466393642120299"/>
          <c:w val="0.90751201554351169"/>
          <c:h val="0.6729647666090347"/>
        </c:manualLayout>
      </c:layout>
      <c:lineChart>
        <c:grouping val="standard"/>
        <c:varyColors val="0"/>
        <c:ser>
          <c:idx val="0"/>
          <c:order val="0"/>
          <c:tx>
            <c:strRef>
              <c:f>'[1]28 Sept 15'!$A$12</c:f>
              <c:strCache>
                <c:ptCount val="1"/>
                <c:pt idx="0">
                  <c:v>PTT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15'!$F$79:$G$79,'[1]28 Sept 15'!$I$79:$P$79)</c:f>
              <c:numCache>
                <c:formatCode>General</c:formatCode>
                <c:ptCount val="10"/>
                <c:pt idx="4">
                  <c:v>1.2</c:v>
                </c:pt>
                <c:pt idx="5">
                  <c:v>1.2</c:v>
                </c:pt>
                <c:pt idx="8">
                  <c:v>1.4</c:v>
                </c:pt>
                <c:pt idx="9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04-477A-BF87-30762FF92D92}"/>
            </c:ext>
          </c:extLst>
        </c:ser>
        <c:ser>
          <c:idx val="1"/>
          <c:order val="1"/>
          <c:tx>
            <c:strRef>
              <c:f>'[1]28 Sept 15'!$A$11</c:f>
              <c:strCache>
                <c:ptCount val="1"/>
                <c:pt idx="0">
                  <c:v>IRPC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15'!$F$78:$G$78,'[1]28 Sept 15'!$I$78:$P$78)</c:f>
              <c:numCache>
                <c:formatCode>General</c:formatCode>
                <c:ptCount val="10"/>
                <c:pt idx="4">
                  <c:v>0.5</c:v>
                </c:pt>
                <c:pt idx="5">
                  <c:v>1.7</c:v>
                </c:pt>
                <c:pt idx="6">
                  <c:v>0</c:v>
                </c:pt>
                <c:pt idx="7">
                  <c:v>0</c:v>
                </c:pt>
                <c:pt idx="8">
                  <c:v>1.7</c:v>
                </c:pt>
                <c:pt idx="9">
                  <c:v>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04-477A-BF87-30762FF92D92}"/>
            </c:ext>
          </c:extLst>
        </c:ser>
        <c:ser>
          <c:idx val="2"/>
          <c:order val="2"/>
          <c:tx>
            <c:strRef>
              <c:f>'02-06-15'!#REF!</c:f>
              <c:strCache>
                <c:ptCount val="1"/>
                <c:pt idx="0">
                  <c:v>#REF!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('02-06-15'!#REF!,'02-06-15'!#REF!)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04-477A-BF87-30762FF92D92}"/>
            </c:ext>
          </c:extLst>
        </c:ser>
        <c:ser>
          <c:idx val="3"/>
          <c:order val="3"/>
          <c:tx>
            <c:strRef>
              <c:f>'[1]28 Sept 15'!$A$10</c:f>
              <c:strCache>
                <c:ptCount val="1"/>
                <c:pt idx="0">
                  <c:v>PTTGC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15'!$F$77:$G$77,'[1]28 Sept 15'!$I$77:$P$77)</c:f>
              <c:numCache>
                <c:formatCode>General</c:formatCode>
                <c:ptCount val="10"/>
                <c:pt idx="4">
                  <c:v>1.3</c:v>
                </c:pt>
                <c:pt idx="5">
                  <c:v>1.3</c:v>
                </c:pt>
                <c:pt idx="8">
                  <c:v>1.5</c:v>
                </c:pt>
                <c:pt idx="9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04-477A-BF87-30762FF92D92}"/>
            </c:ext>
          </c:extLst>
        </c:ser>
        <c:ser>
          <c:idx val="4"/>
          <c:order val="4"/>
          <c:tx>
            <c:strRef>
              <c:f>'[1]28 Sept 15'!$A$9</c:f>
              <c:strCache>
                <c:ptCount val="1"/>
                <c:pt idx="0">
                  <c:v>TOP</c:v>
                </c:pt>
              </c:strCache>
            </c:strRef>
          </c:tx>
          <c:cat>
            <c:multiLvlStrRef>
              <c:f>('[1]28 Sept 15'!$F$5:$G$6,'[1]28 Sept 15'!$I$5:$P$6)</c:f>
              <c:multiLvlStrCache>
                <c:ptCount val="10"/>
                <c:lvl>
                  <c:pt idx="3">
                    <c:v>(8-12 Jun)</c:v>
                  </c:pt>
                  <c:pt idx="5">
                    <c:v>@28 Sep 15</c:v>
                  </c:pt>
                  <c:pt idx="6">
                    <c:v>42278</c:v>
                  </c:pt>
                  <c:pt idx="7">
                    <c:v>42309</c:v>
                  </c:pt>
                </c:lvl>
                <c:lvl>
                  <c:pt idx="0">
                    <c:v>Jun'15</c:v>
                  </c:pt>
                  <c:pt idx="1">
                    <c:v>Jul'15</c:v>
                  </c:pt>
                  <c:pt idx="2">
                    <c:v>Sep'15</c:v>
                  </c:pt>
                  <c:pt idx="3">
                    <c:v>Forecast</c:v>
                  </c:pt>
                  <c:pt idx="4">
                    <c:v>Oct'15
 @21 Sep 15</c:v>
                  </c:pt>
                  <c:pt idx="5">
                    <c:v>Oct'15</c:v>
                  </c:pt>
                  <c:pt idx="6">
                    <c:v>Note (Rationale for M+1)</c:v>
                  </c:pt>
                  <c:pt idx="7">
                    <c:v>Note (Rationale for M+2)</c:v>
                  </c:pt>
                  <c:pt idx="8">
                    <c:v>Nov'15</c:v>
                  </c:pt>
                  <c:pt idx="9">
                    <c:v>Dec'15</c:v>
                  </c:pt>
                </c:lvl>
              </c:multiLvlStrCache>
            </c:multiLvlStrRef>
          </c:cat>
          <c:val>
            <c:numRef>
              <c:f>('[1]28 Sept 15'!$F$76:$G$76,'[1]28 Sept 15'!$I$76:$P$76)</c:f>
              <c:numCache>
                <c:formatCode>General</c:formatCode>
                <c:ptCount val="10"/>
                <c:pt idx="4">
                  <c:v>1.8</c:v>
                </c:pt>
                <c:pt idx="5">
                  <c:v>1.8</c:v>
                </c:pt>
                <c:pt idx="8">
                  <c:v>1.8</c:v>
                </c:pt>
                <c:pt idx="9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04-477A-BF87-30762FF92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237488"/>
        <c:axId val="312237880"/>
      </c:lineChart>
      <c:catAx>
        <c:axId val="3122374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/>
          <a:lstStyle/>
          <a:p>
            <a:pPr>
              <a:defRPr sz="2000"/>
            </a:pPr>
            <a:endParaRPr lang="en-US"/>
          </a:p>
        </c:txPr>
        <c:crossAx val="312237880"/>
        <c:crossesAt val="-7"/>
        <c:auto val="1"/>
        <c:lblAlgn val="ctr"/>
        <c:lblOffset val="100"/>
        <c:noMultiLvlLbl val="0"/>
      </c:catAx>
      <c:valAx>
        <c:axId val="312237880"/>
        <c:scaling>
          <c:orientation val="minMax"/>
        </c:scaling>
        <c:delete val="0"/>
        <c:axPos val="l"/>
        <c:majorGridlines>
          <c:spPr>
            <a:ln w="6350">
              <a:solidFill>
                <a:schemeClr val="bg1">
                  <a:lumMod val="50000"/>
                </a:schemeClr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en-US"/>
          </a:p>
        </c:txPr>
        <c:crossAx val="312237488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t"/>
      <c:layout>
        <c:manualLayout>
          <c:xMode val="edge"/>
          <c:yMode val="edge"/>
          <c:x val="0.24747008896615239"/>
          <c:y val="0.90675616169318363"/>
          <c:w val="0.52814773153355865"/>
          <c:h val="6.7383121624416592E-2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190500</xdr:colOff>
      <xdr:row>6</xdr:row>
      <xdr:rowOff>38100</xdr:rowOff>
    </xdr:from>
    <xdr:to>
      <xdr:col>51</xdr:col>
      <xdr:colOff>457200</xdr:colOff>
      <xdr:row>10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533400</xdr:colOff>
      <xdr:row>19</xdr:row>
      <xdr:rowOff>933450</xdr:rowOff>
    </xdr:from>
    <xdr:to>
      <xdr:col>51</xdr:col>
      <xdr:colOff>190500</xdr:colOff>
      <xdr:row>21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76200</xdr:colOff>
      <xdr:row>30</xdr:row>
      <xdr:rowOff>2495550</xdr:rowOff>
    </xdr:from>
    <xdr:to>
      <xdr:col>51</xdr:col>
      <xdr:colOff>342900</xdr:colOff>
      <xdr:row>33</xdr:row>
      <xdr:rowOff>847724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571500</xdr:colOff>
      <xdr:row>41</xdr:row>
      <xdr:rowOff>1695450</xdr:rowOff>
    </xdr:from>
    <xdr:to>
      <xdr:col>51</xdr:col>
      <xdr:colOff>228600</xdr:colOff>
      <xdr:row>44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54</xdr:row>
      <xdr:rowOff>1333500</xdr:rowOff>
    </xdr:from>
    <xdr:to>
      <xdr:col>51</xdr:col>
      <xdr:colOff>266700</xdr:colOff>
      <xdr:row>57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495300</xdr:colOff>
      <xdr:row>65</xdr:row>
      <xdr:rowOff>304800</xdr:rowOff>
    </xdr:from>
    <xdr:to>
      <xdr:col>51</xdr:col>
      <xdr:colOff>152400</xdr:colOff>
      <xdr:row>68</xdr:row>
      <xdr:rowOff>504824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438150</xdr:colOff>
      <xdr:row>76</xdr:row>
      <xdr:rowOff>266700</xdr:rowOff>
    </xdr:from>
    <xdr:to>
      <xdr:col>51</xdr:col>
      <xdr:colOff>95250</xdr:colOff>
      <xdr:row>79</xdr:row>
      <xdr:rowOff>676274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190500</xdr:colOff>
      <xdr:row>7</xdr:row>
      <xdr:rowOff>38100</xdr:rowOff>
    </xdr:from>
    <xdr:to>
      <xdr:col>51</xdr:col>
      <xdr:colOff>457200</xdr:colOff>
      <xdr:row>11</xdr:row>
      <xdr:rowOff>333374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533400</xdr:colOff>
      <xdr:row>20</xdr:row>
      <xdr:rowOff>933450</xdr:rowOff>
    </xdr:from>
    <xdr:to>
      <xdr:col>51</xdr:col>
      <xdr:colOff>190500</xdr:colOff>
      <xdr:row>22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76200</xdr:colOff>
      <xdr:row>31</xdr:row>
      <xdr:rowOff>2495550</xdr:rowOff>
    </xdr:from>
    <xdr:to>
      <xdr:col>51</xdr:col>
      <xdr:colOff>342900</xdr:colOff>
      <xdr:row>34</xdr:row>
      <xdr:rowOff>847724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571500</xdr:colOff>
      <xdr:row>42</xdr:row>
      <xdr:rowOff>1695450</xdr:rowOff>
    </xdr:from>
    <xdr:to>
      <xdr:col>51</xdr:col>
      <xdr:colOff>228600</xdr:colOff>
      <xdr:row>45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55</xdr:row>
      <xdr:rowOff>1333500</xdr:rowOff>
    </xdr:from>
    <xdr:to>
      <xdr:col>51</xdr:col>
      <xdr:colOff>266700</xdr:colOff>
      <xdr:row>58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495300</xdr:colOff>
      <xdr:row>66</xdr:row>
      <xdr:rowOff>304800</xdr:rowOff>
    </xdr:from>
    <xdr:to>
      <xdr:col>51</xdr:col>
      <xdr:colOff>152400</xdr:colOff>
      <xdr:row>69</xdr:row>
      <xdr:rowOff>504824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438150</xdr:colOff>
      <xdr:row>77</xdr:row>
      <xdr:rowOff>266700</xdr:rowOff>
    </xdr:from>
    <xdr:to>
      <xdr:col>51</xdr:col>
      <xdr:colOff>95250</xdr:colOff>
      <xdr:row>80</xdr:row>
      <xdr:rowOff>676274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70025\AppData\Local\Microsoft\Windows\INetCache\Content.Outlook\TJMZ6SBP\Monthly%20Rolling-%20Oct%20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ExportMetadata"/>
      <sheetName val="PRISM 3 Nov 2014"/>
      <sheetName val="5 Oct 15"/>
      <sheetName val="PRSIM 25-05-15"/>
      <sheetName val="28 Sept 15"/>
    </sheetNames>
    <sheetDataSet>
      <sheetData sheetId="0"/>
      <sheetData sheetId="1"/>
      <sheetData sheetId="2"/>
      <sheetData sheetId="3"/>
      <sheetData sheetId="4">
        <row r="5">
          <cell r="F5" t="str">
            <v>Jun'15</v>
          </cell>
          <cell r="G5" t="str">
            <v>Jul'15</v>
          </cell>
          <cell r="I5" t="str">
            <v>Sep'15</v>
          </cell>
          <cell r="J5" t="str">
            <v>Forecast</v>
          </cell>
          <cell r="K5" t="str">
            <v>Oct'15
 @21 Sep 15</v>
          </cell>
          <cell r="L5" t="str">
            <v>Oct'15</v>
          </cell>
          <cell r="M5" t="str">
            <v>Note (Rationale for M+1)</v>
          </cell>
          <cell r="N5" t="str">
            <v>Note (Rationale for M+2)</v>
          </cell>
          <cell r="O5" t="str">
            <v>Nov'15</v>
          </cell>
          <cell r="P5" t="str">
            <v>Dec'15</v>
          </cell>
        </row>
        <row r="6">
          <cell r="J6" t="str">
            <v>(8-12 Jun)</v>
          </cell>
          <cell r="L6" t="str">
            <v>@28 Sep 15</v>
          </cell>
          <cell r="M6">
            <v>42278</v>
          </cell>
          <cell r="N6">
            <v>42309</v>
          </cell>
        </row>
        <row r="9">
          <cell r="A9" t="str">
            <v>TOP</v>
          </cell>
          <cell r="K9">
            <v>47</v>
          </cell>
          <cell r="L9">
            <v>47</v>
          </cell>
          <cell r="M9" t="str">
            <v>- Clearer signs of Chinese economic slowdown
- Turmoil in global stock markets
- Abundant OPEC supply
- Autumn Refinery MTA season
-/+  Uncertainty over the Fed's Interest Rate Hike
+ Declining oil rig counts</v>
          </cell>
          <cell r="N9" t="str">
            <v xml:space="preserve">- Slowing Chinese economic growth
- The prospect of increased Iranian oil exports
- Autumn Refinery MTA season
+ Non-OPEC production growth slowdown
</v>
          </cell>
          <cell r="O9">
            <v>48</v>
          </cell>
          <cell r="P9">
            <v>50</v>
          </cell>
        </row>
        <row r="10">
          <cell r="A10" t="str">
            <v>PTTGC</v>
          </cell>
          <cell r="K10">
            <v>46.5</v>
          </cell>
          <cell r="L10">
            <v>46</v>
          </cell>
          <cell r="O10">
            <v>47.3</v>
          </cell>
          <cell r="P10">
            <v>48.7</v>
          </cell>
        </row>
        <row r="11">
          <cell r="A11" t="str">
            <v>IRPC</v>
          </cell>
          <cell r="K11">
            <v>47.4</v>
          </cell>
          <cell r="L11">
            <v>47.4</v>
          </cell>
          <cell r="M11" t="str">
            <v xml:space="preserve">(-) OPEC keep high production level pressure non-OPEC supply.
(-) Stong USD pressure crude price.
(-) China weak economic outlook.
(+) Low crude price support global demand
</v>
          </cell>
          <cell r="N11" t="str">
            <v>(-) Crude price still lower as Saudi keep high production level pressure non-conventional players.
(-) Iran sanction may lift within this year.
(-) Q4 peak refinery maintenance pressure oil demand.
(+) Low crude price support global demand</v>
          </cell>
          <cell r="O11">
            <v>47.5</v>
          </cell>
          <cell r="P11">
            <v>47.8</v>
          </cell>
        </row>
        <row r="12">
          <cell r="A12" t="str">
            <v>PTT</v>
          </cell>
          <cell r="K12">
            <v>52.3</v>
          </cell>
          <cell r="L12">
            <v>47</v>
          </cell>
          <cell r="M12" t="str">
            <v>+ China's import volume sustains at high levels as more crude import quota is granted to teapot refineries.   
+ heavy chinese buying bid up front month dubai.      
+ Fund Flows: FED postponed an interest rate hike to (likely) Dec.'15.
- Fall refinery turnaround limits crude demand.</v>
          </cell>
          <cell r="N12" t="str">
            <v>+ Global oil demand picking-up as forecasted by major agencies.
-/+U.S. shale oil production growth is expected to ease but drilling activities may return, depending on oil price movement.</v>
          </cell>
          <cell r="O12">
            <v>52</v>
          </cell>
          <cell r="P12">
            <v>55.5</v>
          </cell>
        </row>
        <row r="20">
          <cell r="K20">
            <v>1</v>
          </cell>
          <cell r="L20">
            <v>2</v>
          </cell>
          <cell r="M20" t="str">
            <v>+ Relatively lower arbitrage inflows from EU
+ Healthy demand from Naphtha-fed steam crackers (High utilization rate)
- Softer gasoline blending demand, following weaker gasoline cracks</v>
          </cell>
          <cell r="N20" t="str">
            <v xml:space="preserve">
- Additional cargoes from the ME will hit the market
+ Autumn refinery MTA season
+ More expensive LPG (alternative feedstock)
</v>
          </cell>
          <cell r="O20">
            <v>2.25</v>
          </cell>
          <cell r="P20">
            <v>2.5</v>
          </cell>
        </row>
        <row r="21">
          <cell r="K21">
            <v>-0.4</v>
          </cell>
          <cell r="L21">
            <v>0.3</v>
          </cell>
          <cell r="O21">
            <v>0</v>
          </cell>
          <cell r="P21">
            <v>-0.5</v>
          </cell>
        </row>
        <row r="22">
          <cell r="K22">
            <v>-2</v>
          </cell>
          <cell r="L22">
            <v>0.6</v>
          </cell>
          <cell r="M22" t="str">
            <v xml:space="preserve">(+) LPG price tend to increase in Winter support
(+) Strong gasoline demand spport gasoline and naphtha price
(+) MOPJ feed stock for PetChem may stable at high level
</v>
          </cell>
          <cell r="N22" t="str">
            <v xml:space="preserve">(+) LPG price tend to increase in Winter support
(+) Strong gasoline demand spport gasoline and naphtha price
(+) MOPJ feed stock for PetChem may stable at high level
</v>
          </cell>
          <cell r="O22">
            <v>-0.2</v>
          </cell>
          <cell r="P22">
            <v>-0.5</v>
          </cell>
        </row>
        <row r="23">
          <cell r="K23">
            <v>1.84</v>
          </cell>
          <cell r="L23">
            <v>1.84</v>
          </cell>
          <cell r="M23" t="str">
            <v>+ Low volume of west-to-east arbitrage (1.5 MMT) short of 1.8 MMT demand in Asia.
+ Demand is expected to pick up, driven by global economic recovery.
- Additional cargoes from the ME, particularly ADNOC as Ruwais refinery (830 KBD) will raise naptha exports to over 10 MTPA.
- A maintenance schedule of Lotte Chemical's cracker in Daesan during mid-Oct.-mid-Nov.'15 would lower demand by at least 250 KT.</v>
          </cell>
          <cell r="N23" t="str">
            <v xml:space="preserve">- Steadinly high export from the Middle East and India.
+ Economic-driven demand picking-up.
+ Higher LPG prices due to heating demand in winter.
</v>
          </cell>
          <cell r="O23">
            <v>-1.53</v>
          </cell>
          <cell r="P23">
            <v>-0.23</v>
          </cell>
        </row>
        <row r="32">
          <cell r="K32">
            <v>17.25</v>
          </cell>
          <cell r="L32">
            <v>18</v>
          </cell>
          <cell r="M32" t="str">
            <v xml:space="preserve">- End of peak summer demandn (in U.S., EU and Asia)
- Switch to winter-grade gasoline (Change in RVP requirements)
- Peak autumn refinery MTA
+ Steady demand from Indonesia 
+ Prolonged US refinery outages </v>
          </cell>
          <cell r="N32" t="str">
            <v>- Higher exports from M.E. and other asian countries during off-seasonal period
- Weaker US RBOB values
+ Autumn refinery MTA season</v>
          </cell>
          <cell r="O32">
            <v>17</v>
          </cell>
          <cell r="P32">
            <v>16</v>
          </cell>
        </row>
        <row r="33">
          <cell r="K33">
            <v>17</v>
          </cell>
          <cell r="L33">
            <v>17</v>
          </cell>
          <cell r="M33" t="str">
            <v>[+] Unseasonal warm in US prolonged gasoline summer demand
[+] Unplanned shutdown of refinery in US &amp; postpone start up of Exxon
[+] Stockpile demand for China Golden Week holidays</v>
          </cell>
          <cell r="N33" t="str">
            <v xml:space="preserve">[-] Restart of FCC in Indonesia
[-] End of holiday demand (China golden week)
[-] Monsoon season in East
[+] Refinery maintenance season
[+] Low outright price still drive transporation consumption
[+] US winter might be delays
</v>
          </cell>
          <cell r="O33">
            <v>15</v>
          </cell>
          <cell r="P33">
            <v>14</v>
          </cell>
        </row>
        <row r="34">
          <cell r="K34">
            <v>16</v>
          </cell>
          <cell r="L34">
            <v>16</v>
          </cell>
          <cell r="M34" t="str">
            <v>(-) High production from China and Middle East new refinery.
(+) Low oil price support demand</v>
          </cell>
          <cell r="N34" t="str">
            <v>(-) Growing of production volume from new refinery in Middle East
(+) Low oil price support demand</v>
          </cell>
          <cell r="O34">
            <v>16</v>
          </cell>
          <cell r="P34">
            <v>15.5</v>
          </cell>
        </row>
        <row r="35">
          <cell r="K35">
            <v>15.68</v>
          </cell>
          <cell r="L35">
            <v>18</v>
          </cell>
          <cell r="M35" t="str">
            <v>- Low season of gasoline.
- Bad weather in SEA limits demand
- China keeps pumping higher volume of gasoline.
- Indonesia's Pertamina will operate a new residue fluid catalytic cracker (62 KBD) at Cilacap refinery (348 KBD) in Oct.'15.
+ Refinery turnaround lends some support.</v>
          </cell>
          <cell r="N35" t="str">
            <v>- Seasonal low demand. 
- China keeps pumping higher volumes of gasoline. Export is expected to pick up in Q4’15 as Chinese refineries seek overseas outlets for their products amid a slowdown in domestic demand.
+ Supporting demand due to low retail prices.</v>
          </cell>
          <cell r="O35">
            <v>15</v>
          </cell>
          <cell r="P35">
            <v>13.87</v>
          </cell>
        </row>
        <row r="43">
          <cell r="K43">
            <v>13.2</v>
          </cell>
          <cell r="L43">
            <v>13.9</v>
          </cell>
          <cell r="M43" t="str">
            <v>+ Stockpiling demand ahead of winter season.
+ Refinery maintenance in Asia (China, Malaysia, India, South Korea and Singapore)
+ Refinery run cuts in South Korea and in China (Petrochina and teapot refineries)
- Still-high freight rates dent arbitrage economics to Europe and U.S.
- Stock levels in the ARA hub are still really high, capping the need for fresh inflows.</v>
          </cell>
          <cell r="N43" t="str">
            <v xml:space="preserve">+ Refinery maintenance in Asia (China, Malaysia, India and Japan)
+ Refinery run cuts in South Korea and in China (Sinopec)
+ Improved demand ahead of winter season
- Despite tighter supplies and improving demand, there was still plenty of surplus jet fuel trapped in the region. 
- High inventories in ARA hub and also in the U.S. 
</v>
          </cell>
          <cell r="O43">
            <v>14</v>
          </cell>
          <cell r="P43">
            <v>14.25</v>
          </cell>
        </row>
        <row r="44">
          <cell r="K44">
            <v>13.4</v>
          </cell>
          <cell r="L44">
            <v>13.3</v>
          </cell>
          <cell r="M44" t="str">
            <v xml:space="preserve">[-] Outflow from ME to Asia
[-] OECD inventory hit record high
[+] Stockpile demand before maintenance season &amp; arbitrage open due to lower freight rate
</v>
          </cell>
          <cell r="N44" t="str">
            <v>[-] More export from China as Q4 export quota increase
[-] ARA stock hit high cause lower import demand
[+] Slowdown of additional supply during refinery maintainance season
[+] North Asia stockpile demand for Kerosene</v>
          </cell>
          <cell r="O44">
            <v>13.5</v>
          </cell>
          <cell r="P44">
            <v>13.7</v>
          </cell>
        </row>
        <row r="45">
          <cell r="K45">
            <v>12.5</v>
          </cell>
          <cell r="L45">
            <v>13.2</v>
          </cell>
          <cell r="M45" t="str">
            <v xml:space="preserve">(-) Huge supplies from China, India and Middle East.
</v>
          </cell>
          <cell r="N45" t="str">
            <v>(-) Stable to soft as more supplies from China, India and Middle East.</v>
          </cell>
          <cell r="O45">
            <v>13.45</v>
          </cell>
          <cell r="P45">
            <v>13.7</v>
          </cell>
        </row>
        <row r="46">
          <cell r="K46">
            <v>13.34</v>
          </cell>
          <cell r="L46">
            <v>13.34</v>
          </cell>
          <cell r="M46" t="str">
            <v>+ Stockpilling ahead of winter but note that winter kerosene demand in North Asia has typically not been drastic for the last 2 years.
-Additional cargoes from the ME, particularly ADNOC's Ruwais refinery (830 KBD).</v>
          </cell>
          <cell r="N46" t="str">
            <v>+Seasonal - heating demand: Stockpiling ahead of winter.
-Additional cargoes from the ME, particularly ADNOC's Ruwais refinery (830 KBD).
- Expected high level of China's export quota for Q4.</v>
          </cell>
          <cell r="O46">
            <v>14.12</v>
          </cell>
          <cell r="P46">
            <v>14.67</v>
          </cell>
        </row>
        <row r="54">
          <cell r="K54">
            <v>13.5</v>
          </cell>
          <cell r="L54">
            <v>14.2</v>
          </cell>
          <cell r="M54" t="str">
            <v xml:space="preserve">+ Refinery maintenance in Asia (China, Malaysia, India, South Korea and Singapore)
+ Refinery run cuts in South Korea and in China (Petrochina and teapot refineries)
- Continual flood of new barrels from the Middle East (Yasref, Ruwais)
- High Chinese export Vols due to the slowing pace of economic growth in manufacturing sector.
</v>
          </cell>
          <cell r="N54" t="str">
            <v xml:space="preserve">+ Refinery maintenance in Asia (Malaysia, India, South Korea and Japan)
+ Refinery run cuts in South Korea and in China (Sinopec)
+ Lower Indian exports on growing demand and the end of monsoon season
+ Improved demand ahead of winter season 
- Steady Chinese gasoil exports amid slower economy growth.
- High inventories in ARA hub and also in the U.S.
</v>
          </cell>
          <cell r="O54">
            <v>14</v>
          </cell>
          <cell r="P54">
            <v>14</v>
          </cell>
        </row>
        <row r="55">
          <cell r="K55">
            <v>13.5</v>
          </cell>
          <cell r="L55">
            <v>13.6</v>
          </cell>
          <cell r="M55" t="str">
            <v>[+] Stockpile demand as expect of lower supply amid maintenance season
[+] Europe demand as inland shortage due to low Rhine river level
[-] High stock in China &amp; Singapore may cause destocking activities to the market</v>
          </cell>
          <cell r="N55" t="str">
            <v>[-] India' Paradip outflow expected in October
[-] More export from China as Q4 export quota increase
[-] High stock in West (US &amp; ARA)
[+] Lower supply during refinery maintainance &amp; rising of demand during winter season</v>
          </cell>
          <cell r="O55">
            <v>13.3</v>
          </cell>
          <cell r="P55">
            <v>13.4</v>
          </cell>
        </row>
        <row r="56">
          <cell r="K56">
            <v>13</v>
          </cell>
          <cell r="L56">
            <v>13</v>
          </cell>
          <cell r="M56" t="str">
            <v>(-) High supply from ME
(-) Monsoon season and fishing ban in the region
(-) High stock in region
(-) High freight rate effect to arbitrage close</v>
          </cell>
          <cell r="N56" t="str">
            <v xml:space="preserve">(-) Stable to soft as more supplies from China, India and Middle East.
(-) New refinery in Middle East pressure spread.
(+) European import demand may increase
</v>
          </cell>
          <cell r="O56">
            <v>13.25</v>
          </cell>
          <cell r="P56">
            <v>13.5</v>
          </cell>
        </row>
        <row r="57">
          <cell r="K57">
            <v>13.4</v>
          </cell>
          <cell r="L57">
            <v>13.4</v>
          </cell>
          <cell r="M57" t="str">
            <v>+ Stockpilling ahead of winter.
- High levels of stocks both in Singapore and the ARA region.
-Additional cargoes from the ME, particularly ADNOC's Ruwais refinery (830 KBD).</v>
          </cell>
          <cell r="N57" t="str">
            <v>+Seasonal - heating demand: Stockpiling ahead of winter.
-Additional cargoes from the ME, particularly ADNOC's Ruwais refinery (830 KBD).
- Expected high level of China's export quota for Q4.</v>
          </cell>
          <cell r="O57">
            <v>13.62</v>
          </cell>
          <cell r="P57">
            <v>14.59</v>
          </cell>
        </row>
        <row r="65">
          <cell r="K65">
            <v>-7.5</v>
          </cell>
          <cell r="L65">
            <v>-7.5</v>
          </cell>
          <cell r="M65" t="str">
            <v xml:space="preserve">- Inventories at Singapore was still nearly 20 percent higher than average year-to-date weekly levels.
- Slower Japanese demand amid the return of Sendai’s nuclear reactor No.1 (890 MW)
- Lower China’ fuel oil imports as government allows more refiners to process imported crude.
- Steady arbitrage inflows from the West (4.0 MT in Sep vs. 4.02 MT in Aug) 
</v>
          </cell>
          <cell r="N65" t="str">
            <v xml:space="preserve">+ Improved demand ahead of winter season.
- Continued weak demand from China's teapot refineries
- Continual drop in Japanese demand amid the return of Sendai’s nuclear reactor No.2 (890 MW)
- Steady arbitrage inflows from the West and ME.    
</v>
          </cell>
          <cell r="O65">
            <v>-7</v>
          </cell>
          <cell r="P65">
            <v>-6.75</v>
          </cell>
        </row>
        <row r="66">
          <cell r="K66">
            <v>-8.1</v>
          </cell>
          <cell r="L66">
            <v>-8.1</v>
          </cell>
          <cell r="M66" t="str">
            <v xml:space="preserve">[+] Lower supply as coming of maintenance season
[-] Singapore stock maintain high
[-] Lower crude price with higher crude import quota to independent refiners and a rise in consumption tax for fuel oil cause lower China fuel oil intake
</v>
          </cell>
          <cell r="N66" t="str">
            <v>[-] Lower crude &amp; easy of China crude import policy cause downturn in FO demand
[-] Outflow from Paradip after crude run
[-] Outlook remain weak as traders expect to clear their tanks if meet the target margin</v>
          </cell>
          <cell r="O66">
            <v>-8</v>
          </cell>
          <cell r="P66">
            <v>-7.8</v>
          </cell>
        </row>
        <row r="67">
          <cell r="K67">
            <v>-8</v>
          </cell>
          <cell r="L67">
            <v>-8</v>
          </cell>
          <cell r="M67" t="str">
            <v>(-) High arbitrage from west
(+) Low spot price support demand of bunker</v>
          </cell>
          <cell r="N67" t="str">
            <v>(-) High arbitrage to Asia due to high refinery margin
'(+) Low crude price support demand</v>
          </cell>
          <cell r="O67">
            <v>-9</v>
          </cell>
          <cell r="P67">
            <v>-9</v>
          </cell>
        </row>
        <row r="68">
          <cell r="K68">
            <v>-9.02</v>
          </cell>
          <cell r="L68">
            <v>-9.02</v>
          </cell>
          <cell r="M68" t="str">
            <v>- China's independent refiners are expected to get approval for more crude import quota.
- Japan restarted nuclear reactors.</v>
          </cell>
          <cell r="N68" t="str">
            <v>- Improving bunker demand ahead of year end.
- China's independent refiners are expected to get approval for more crude import quota.
- Japan restarted nuclear reactors.</v>
          </cell>
          <cell r="O68">
            <v>-7.94</v>
          </cell>
          <cell r="P68">
            <v>-7.64</v>
          </cell>
        </row>
        <row r="76">
          <cell r="K76">
            <v>1.8</v>
          </cell>
          <cell r="L76">
            <v>1.8</v>
          </cell>
          <cell r="O76">
            <v>1.8</v>
          </cell>
          <cell r="P76">
            <v>1.8</v>
          </cell>
        </row>
        <row r="77">
          <cell r="K77">
            <v>1.3</v>
          </cell>
          <cell r="L77">
            <v>1.3</v>
          </cell>
          <cell r="O77">
            <v>1.5</v>
          </cell>
          <cell r="P77">
            <v>1.5</v>
          </cell>
        </row>
        <row r="78">
          <cell r="K78">
            <v>0.5</v>
          </cell>
          <cell r="L78">
            <v>1.7</v>
          </cell>
          <cell r="M78" t="str">
            <v>(-) Over supply of light sweet pressure Dated/Dubai</v>
          </cell>
          <cell r="N78" t="str">
            <v>(-) Over supply of light sweet pressure Dated/Dubai</v>
          </cell>
          <cell r="O78">
            <v>1.7</v>
          </cell>
          <cell r="P78">
            <v>1.7</v>
          </cell>
        </row>
        <row r="79">
          <cell r="K79">
            <v>1.2</v>
          </cell>
          <cell r="L79">
            <v>1.2</v>
          </cell>
          <cell r="O79">
            <v>1.4</v>
          </cell>
          <cell r="P79">
            <v>1.8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T135"/>
  <sheetViews>
    <sheetView topLeftCell="A5" zoomScale="80" zoomScaleNormal="60" workbookViewId="0">
      <pane ySplit="2" topLeftCell="A7" activePane="bottomLeft" state="frozen"/>
      <selection activeCell="AJ82" sqref="AJ82"/>
      <selection pane="bottomLeft" activeCell="AJ82" sqref="AJ82"/>
    </sheetView>
  </sheetViews>
  <sheetFormatPr defaultColWidth="9.08984375" defaultRowHeight="21" outlineLevelRow="1" outlineLevelCol="1"/>
  <cols>
    <col min="1" max="1" width="17.7265625" style="1" customWidth="1"/>
    <col min="2" max="2" width="24.90625" style="2" hidden="1" customWidth="1"/>
    <col min="3" max="3" width="21.36328125" style="2" hidden="1" customWidth="1"/>
    <col min="4" max="4" width="13.453125" style="1" hidden="1" customWidth="1"/>
    <col min="5" max="5" width="10.36328125" style="1" hidden="1" customWidth="1"/>
    <col min="6" max="9" width="11.08984375" style="3" hidden="1" customWidth="1"/>
    <col min="10" max="10" width="31.90625" style="4" hidden="1" customWidth="1"/>
    <col min="11" max="14" width="11.08984375" style="3" hidden="1" customWidth="1"/>
    <col min="15" max="15" width="15.453125" style="3" hidden="1" customWidth="1"/>
    <col min="16" max="16" width="11.1796875" style="3" customWidth="1"/>
    <col min="17" max="17" width="9.1796875" style="3" customWidth="1"/>
    <col min="18" max="19" width="15.7265625" style="5" hidden="1" customWidth="1" outlineLevel="1"/>
    <col min="20" max="20" width="9.90625" style="3" customWidth="1" collapsed="1"/>
    <col min="21" max="21" width="10" style="3" customWidth="1"/>
    <col min="22" max="23" width="9.08984375" style="3" customWidth="1"/>
    <col min="24" max="29" width="9.08984375" style="6" customWidth="1"/>
    <col min="30" max="30" width="8.7265625" style="6" hidden="1" customWidth="1" outlineLevel="1"/>
    <col min="31" max="33" width="9.1796875" style="6" hidden="1" customWidth="1" outlineLevel="1"/>
    <col min="34" max="34" width="8.7265625" style="153" hidden="1" customWidth="1" outlineLevel="1"/>
    <col min="35" max="35" width="9.08984375" style="7" collapsed="1"/>
    <col min="36" max="358" width="9.08984375" style="7"/>
    <col min="359" max="16384" width="9.08984375" style="8"/>
  </cols>
  <sheetData>
    <row r="1" spans="1:358" ht="21.75" hidden="1" customHeight="1">
      <c r="AH1" s="7"/>
    </row>
    <row r="2" spans="1:358" ht="21.5" thickBot="1">
      <c r="A2" s="9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2"/>
      <c r="S2" s="12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21.5" thickBo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7"/>
      <c r="S3" s="17"/>
      <c r="T3" s="14"/>
      <c r="U3" s="14"/>
      <c r="V3" s="14"/>
      <c r="W3" s="14"/>
      <c r="AH3" s="7"/>
    </row>
    <row r="4" spans="1:358">
      <c r="A4" s="174" t="s">
        <v>0</v>
      </c>
      <c r="B4" s="18"/>
      <c r="C4" s="18"/>
      <c r="D4" s="19"/>
      <c r="E4" s="19"/>
      <c r="F4" s="20"/>
      <c r="G4" s="20"/>
      <c r="H4" s="20"/>
      <c r="I4" s="20"/>
      <c r="J4" s="21"/>
      <c r="K4" s="20"/>
      <c r="L4" s="20"/>
      <c r="M4" s="20"/>
      <c r="N4" s="20"/>
      <c r="O4" s="20"/>
      <c r="P4" s="20"/>
      <c r="Q4" s="20"/>
      <c r="R4" s="22"/>
      <c r="S4" s="22"/>
      <c r="T4" s="23"/>
      <c r="U4" s="24"/>
      <c r="V4" s="24"/>
      <c r="W4" s="24"/>
      <c r="X4" s="24"/>
      <c r="Y4" s="23"/>
      <c r="Z4" s="24"/>
      <c r="AA4" s="24"/>
      <c r="AB4" s="24"/>
      <c r="AC4" s="24"/>
      <c r="AD4" s="24"/>
      <c r="AE4" s="24"/>
      <c r="AF4" s="24"/>
      <c r="AG4" s="24"/>
      <c r="AH4" s="7"/>
    </row>
    <row r="5" spans="1:358" ht="21" customHeight="1">
      <c r="A5" s="231"/>
      <c r="B5" s="26" t="s">
        <v>1</v>
      </c>
      <c r="C5" s="26" t="s">
        <v>2</v>
      </c>
      <c r="D5" s="27"/>
      <c r="E5" s="678" t="s">
        <v>3</v>
      </c>
      <c r="F5" s="673" t="s">
        <v>4</v>
      </c>
      <c r="G5" s="673" t="s">
        <v>5</v>
      </c>
      <c r="H5" s="680" t="s">
        <v>6</v>
      </c>
      <c r="I5" s="673" t="s">
        <v>7</v>
      </c>
      <c r="J5" s="28" t="s">
        <v>2</v>
      </c>
      <c r="K5" s="673" t="s">
        <v>8</v>
      </c>
      <c r="L5" s="250" t="s">
        <v>9</v>
      </c>
      <c r="M5" s="250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10</v>
      </c>
      <c r="S5" s="29" t="s">
        <v>11</v>
      </c>
      <c r="T5" s="30" t="s">
        <v>16</v>
      </c>
      <c r="U5" s="673" t="s">
        <v>64</v>
      </c>
      <c r="V5" s="673" t="s">
        <v>65</v>
      </c>
      <c r="W5" s="673" t="s">
        <v>66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73" t="s">
        <v>78</v>
      </c>
      <c r="AD5" s="671" t="s">
        <v>79</v>
      </c>
      <c r="AE5" s="671" t="s">
        <v>80</v>
      </c>
      <c r="AF5" s="671" t="s">
        <v>81</v>
      </c>
      <c r="AG5" s="671" t="s">
        <v>82</v>
      </c>
      <c r="AH5" s="671">
        <v>2016</v>
      </c>
      <c r="AI5" s="677" t="s">
        <v>93</v>
      </c>
    </row>
    <row r="6" spans="1:358" ht="18.75" customHeight="1" thickBot="1">
      <c r="A6" s="232"/>
      <c r="B6" s="32" t="s">
        <v>18</v>
      </c>
      <c r="C6" s="32"/>
      <c r="D6" s="27"/>
      <c r="E6" s="679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>
        <v>42370</v>
      </c>
      <c r="S6" s="187">
        <v>42401</v>
      </c>
      <c r="T6" s="188"/>
      <c r="U6" s="674"/>
      <c r="V6" s="674"/>
      <c r="W6" s="674"/>
      <c r="X6" s="674"/>
      <c r="Y6" s="674"/>
      <c r="Z6" s="674"/>
      <c r="AA6" s="674"/>
      <c r="AB6" s="674"/>
      <c r="AC6" s="674"/>
      <c r="AD6" s="672"/>
      <c r="AE6" s="672"/>
      <c r="AF6" s="672"/>
      <c r="AG6" s="672"/>
      <c r="AH6" s="672"/>
      <c r="AI6" s="677"/>
    </row>
    <row r="7" spans="1:358" ht="21.5" thickBot="1">
      <c r="A7" s="204" t="s">
        <v>21</v>
      </c>
      <c r="B7" s="205">
        <v>61.78</v>
      </c>
      <c r="C7" s="205" t="s">
        <v>22</v>
      </c>
      <c r="D7" s="19"/>
      <c r="E7" s="19">
        <v>58.55</v>
      </c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2"/>
      <c r="T7" s="22"/>
      <c r="U7" s="24"/>
      <c r="V7" s="24"/>
      <c r="W7" s="24"/>
      <c r="X7" s="24"/>
      <c r="Y7" s="23"/>
      <c r="Z7" s="24"/>
      <c r="AA7" s="24"/>
      <c r="AB7" s="24"/>
      <c r="AC7" s="23"/>
      <c r="AD7" s="38"/>
      <c r="AE7" s="40"/>
      <c r="AF7" s="40"/>
      <c r="AG7" s="40"/>
      <c r="AH7" s="40"/>
    </row>
    <row r="8" spans="1:358" s="46" customFormat="1" ht="18.75" hidden="1" customHeight="1" outlineLevel="1">
      <c r="A8" s="209"/>
      <c r="B8" s="210"/>
      <c r="C8" s="210"/>
      <c r="D8" s="211"/>
      <c r="E8" s="212"/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214"/>
      <c r="T8" s="215"/>
      <c r="U8" s="39"/>
      <c r="V8" s="39"/>
      <c r="W8" s="39"/>
      <c r="X8" s="39"/>
      <c r="Y8" s="38"/>
      <c r="Z8" s="38"/>
      <c r="AA8" s="38"/>
      <c r="AB8" s="38"/>
      <c r="AC8" s="38"/>
      <c r="AD8" s="44"/>
      <c r="AE8" s="44"/>
      <c r="AF8" s="44"/>
      <c r="AG8" s="44"/>
      <c r="AH8" s="44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5"/>
      <c r="EA8" s="45"/>
      <c r="EB8" s="45"/>
      <c r="EC8" s="45"/>
      <c r="ED8" s="45"/>
      <c r="EE8" s="45"/>
      <c r="EF8" s="45"/>
      <c r="EG8" s="45"/>
      <c r="EH8" s="45"/>
      <c r="EI8" s="45"/>
      <c r="EJ8" s="45"/>
      <c r="EK8" s="45"/>
      <c r="EL8" s="45"/>
      <c r="EM8" s="45"/>
      <c r="EN8" s="45"/>
      <c r="EO8" s="45"/>
      <c r="EP8" s="45"/>
      <c r="EQ8" s="45"/>
      <c r="ER8" s="45"/>
      <c r="ES8" s="45"/>
      <c r="ET8" s="45"/>
      <c r="EU8" s="45"/>
      <c r="EV8" s="45"/>
      <c r="EW8" s="45"/>
      <c r="EX8" s="45"/>
      <c r="EY8" s="45"/>
      <c r="EZ8" s="45"/>
      <c r="FA8" s="45"/>
      <c r="FB8" s="45"/>
      <c r="FC8" s="45"/>
      <c r="FD8" s="45"/>
      <c r="FE8" s="45"/>
      <c r="FF8" s="45"/>
      <c r="FG8" s="45"/>
      <c r="FH8" s="45"/>
      <c r="FI8" s="45"/>
      <c r="FJ8" s="45"/>
      <c r="FK8" s="45"/>
      <c r="FL8" s="45"/>
      <c r="FM8" s="45"/>
      <c r="FN8" s="45"/>
      <c r="FO8" s="45"/>
      <c r="FP8" s="45"/>
      <c r="FQ8" s="45"/>
      <c r="FR8" s="45"/>
      <c r="FS8" s="45"/>
      <c r="FT8" s="45"/>
      <c r="FU8" s="45"/>
      <c r="FV8" s="45"/>
      <c r="FW8" s="45"/>
      <c r="FX8" s="45"/>
      <c r="FY8" s="45"/>
      <c r="FZ8" s="45"/>
      <c r="GA8" s="45"/>
      <c r="GB8" s="45"/>
      <c r="GC8" s="45"/>
      <c r="GD8" s="45"/>
      <c r="GE8" s="45"/>
      <c r="GF8" s="45"/>
      <c r="GG8" s="45"/>
      <c r="GH8" s="45"/>
      <c r="GI8" s="45"/>
      <c r="GJ8" s="45"/>
      <c r="GK8" s="45"/>
      <c r="GL8" s="45"/>
      <c r="GM8" s="45"/>
      <c r="GN8" s="45"/>
      <c r="GO8" s="45"/>
      <c r="GP8" s="45"/>
      <c r="GQ8" s="45"/>
      <c r="GR8" s="45"/>
      <c r="GS8" s="45"/>
      <c r="GT8" s="45"/>
      <c r="GU8" s="45"/>
      <c r="GV8" s="45"/>
      <c r="GW8" s="45"/>
      <c r="GX8" s="45"/>
      <c r="GY8" s="45"/>
      <c r="GZ8" s="45"/>
      <c r="HA8" s="45"/>
      <c r="HB8" s="45"/>
      <c r="HC8" s="45"/>
      <c r="HD8" s="45"/>
      <c r="HE8" s="45"/>
      <c r="HF8" s="45"/>
      <c r="HG8" s="45"/>
      <c r="HH8" s="45"/>
      <c r="HI8" s="45"/>
      <c r="HJ8" s="45"/>
      <c r="HK8" s="45"/>
      <c r="HL8" s="45"/>
      <c r="HM8" s="45"/>
      <c r="HN8" s="45"/>
      <c r="HO8" s="45"/>
      <c r="HP8" s="45"/>
      <c r="HQ8" s="45"/>
      <c r="HR8" s="45"/>
      <c r="HS8" s="45"/>
      <c r="HT8" s="45"/>
      <c r="HU8" s="45"/>
      <c r="HV8" s="45"/>
      <c r="HW8" s="45"/>
      <c r="HX8" s="45"/>
      <c r="HY8" s="45"/>
      <c r="HZ8" s="45"/>
      <c r="IA8" s="45"/>
      <c r="IB8" s="45"/>
      <c r="IC8" s="45"/>
      <c r="ID8" s="45"/>
      <c r="IE8" s="45"/>
      <c r="IF8" s="45"/>
      <c r="IG8" s="45"/>
      <c r="IH8" s="45"/>
      <c r="II8" s="45"/>
      <c r="IJ8" s="45"/>
      <c r="IK8" s="45"/>
      <c r="IL8" s="45"/>
      <c r="IM8" s="45"/>
      <c r="IN8" s="45"/>
      <c r="IO8" s="45"/>
      <c r="IP8" s="45"/>
      <c r="IQ8" s="45"/>
      <c r="IR8" s="45"/>
      <c r="IS8" s="45"/>
      <c r="IT8" s="45"/>
      <c r="IU8" s="45"/>
      <c r="IV8" s="45"/>
      <c r="IW8" s="45"/>
      <c r="IX8" s="45"/>
      <c r="IY8" s="45"/>
      <c r="IZ8" s="45"/>
      <c r="JA8" s="45"/>
      <c r="JB8" s="45"/>
      <c r="JC8" s="45"/>
      <c r="JD8" s="45"/>
      <c r="JE8" s="45"/>
      <c r="JF8" s="45"/>
      <c r="JG8" s="45"/>
      <c r="JH8" s="45"/>
      <c r="JI8" s="45"/>
      <c r="JJ8" s="45"/>
      <c r="JK8" s="45"/>
      <c r="JL8" s="45"/>
      <c r="JM8" s="45"/>
      <c r="JN8" s="45"/>
      <c r="JO8" s="45"/>
      <c r="JP8" s="45"/>
      <c r="JQ8" s="45"/>
      <c r="JR8" s="45"/>
      <c r="JS8" s="45"/>
      <c r="JT8" s="45"/>
      <c r="JU8" s="45"/>
      <c r="JV8" s="45"/>
      <c r="JW8" s="45"/>
      <c r="JX8" s="45"/>
      <c r="JY8" s="45"/>
      <c r="JZ8" s="45"/>
      <c r="KA8" s="45"/>
      <c r="KB8" s="45"/>
      <c r="KC8" s="45"/>
      <c r="KD8" s="45"/>
      <c r="KE8" s="45"/>
      <c r="KF8" s="45"/>
      <c r="KG8" s="45"/>
      <c r="KH8" s="45"/>
      <c r="KI8" s="45"/>
      <c r="KJ8" s="45"/>
      <c r="KK8" s="45"/>
      <c r="KL8" s="45"/>
      <c r="KM8" s="45"/>
      <c r="KN8" s="45"/>
      <c r="KO8" s="45"/>
      <c r="KP8" s="45"/>
      <c r="KQ8" s="45"/>
      <c r="KR8" s="45"/>
      <c r="KS8" s="45"/>
      <c r="KT8" s="45"/>
      <c r="KU8" s="45"/>
      <c r="KV8" s="45"/>
      <c r="KW8" s="45"/>
      <c r="KX8" s="45"/>
      <c r="KY8" s="45"/>
      <c r="KZ8" s="45"/>
      <c r="LA8" s="45"/>
      <c r="LB8" s="45"/>
      <c r="LC8" s="45"/>
      <c r="LD8" s="45"/>
      <c r="LE8" s="45"/>
      <c r="LF8" s="45"/>
      <c r="LG8" s="45"/>
      <c r="LH8" s="45"/>
      <c r="LI8" s="45"/>
      <c r="LJ8" s="45"/>
      <c r="LK8" s="45"/>
      <c r="LL8" s="45"/>
      <c r="LM8" s="45"/>
      <c r="LN8" s="45"/>
      <c r="LO8" s="45"/>
      <c r="LP8" s="45"/>
      <c r="LQ8" s="45"/>
      <c r="LR8" s="45"/>
      <c r="LS8" s="45"/>
      <c r="LT8" s="45"/>
      <c r="LU8" s="45"/>
      <c r="LV8" s="45"/>
      <c r="LW8" s="45"/>
      <c r="LX8" s="45"/>
      <c r="LY8" s="45"/>
      <c r="LZ8" s="45"/>
      <c r="MA8" s="45"/>
      <c r="MB8" s="45"/>
      <c r="MC8" s="45"/>
      <c r="MD8" s="45"/>
      <c r="ME8" s="45"/>
      <c r="MF8" s="45"/>
      <c r="MG8" s="45"/>
      <c r="MH8" s="45"/>
      <c r="MI8" s="45"/>
      <c r="MJ8" s="45"/>
      <c r="MK8" s="45"/>
      <c r="ML8" s="45"/>
      <c r="MM8" s="45"/>
      <c r="MN8" s="45"/>
      <c r="MO8" s="45"/>
      <c r="MP8" s="45"/>
      <c r="MQ8" s="45"/>
      <c r="MR8" s="45"/>
      <c r="MS8" s="45"/>
      <c r="MT8" s="45"/>
    </row>
    <row r="9" spans="1:358" ht="65.25" hidden="1" customHeight="1" outlineLevel="1">
      <c r="A9" s="681" t="s">
        <v>23</v>
      </c>
      <c r="B9" s="682">
        <f>C9-$B$7</f>
        <v>-1.7800000000000011</v>
      </c>
      <c r="C9" s="682">
        <v>60</v>
      </c>
      <c r="D9" s="206"/>
      <c r="E9" s="206"/>
      <c r="F9" s="42"/>
      <c r="G9" s="42"/>
      <c r="H9" s="42"/>
      <c r="I9" s="42"/>
      <c r="J9" s="207"/>
      <c r="K9" s="42">
        <v>47</v>
      </c>
      <c r="L9" s="42">
        <v>47</v>
      </c>
      <c r="M9" s="42">
        <v>48</v>
      </c>
      <c r="N9" s="42">
        <v>46</v>
      </c>
      <c r="O9" s="42">
        <v>37</v>
      </c>
      <c r="P9" s="223">
        <v>30.5</v>
      </c>
      <c r="Q9" s="42">
        <v>30.25</v>
      </c>
      <c r="R9" s="208" t="s">
        <v>120</v>
      </c>
      <c r="S9" s="216" t="s">
        <v>121</v>
      </c>
      <c r="T9" s="217">
        <v>30</v>
      </c>
      <c r="U9" s="208">
        <v>31.5</v>
      </c>
      <c r="V9" s="208">
        <v>32</v>
      </c>
      <c r="W9" s="208">
        <v>33</v>
      </c>
      <c r="X9" s="208">
        <v>34.5</v>
      </c>
      <c r="Y9" s="208">
        <v>36</v>
      </c>
      <c r="Z9" s="208">
        <v>36.75</v>
      </c>
      <c r="AA9" s="208">
        <v>38</v>
      </c>
      <c r="AB9" s="208">
        <v>39.5</v>
      </c>
      <c r="AC9" s="208">
        <v>40</v>
      </c>
      <c r="AD9" s="54">
        <f>AVERAGE(P9:T9)</f>
        <v>30.25</v>
      </c>
      <c r="AE9" s="54">
        <f>AVERAGE(U9:W9)</f>
        <v>32.166666666666664</v>
      </c>
      <c r="AF9" s="54">
        <f>AVERAGE(X9:Z9)</f>
        <v>35.75</v>
      </c>
      <c r="AG9" s="54">
        <f>AVERAGE(AA9:AC9)</f>
        <v>39.166666666666664</v>
      </c>
      <c r="AH9" s="54">
        <f>AVERAGE(P9:AC9)</f>
        <v>34.333333333333336</v>
      </c>
    </row>
    <row r="10" spans="1:358" ht="65.25" hidden="1" customHeight="1" outlineLevel="1">
      <c r="A10" s="47" t="s">
        <v>24</v>
      </c>
      <c r="B10" s="48">
        <f t="shared" ref="B10:B11" si="0">C10-$B$7</f>
        <v>-0.78000000000000114</v>
      </c>
      <c r="C10" s="48">
        <v>61</v>
      </c>
      <c r="D10" s="49"/>
      <c r="E10" s="49"/>
      <c r="F10" s="50"/>
      <c r="G10" s="51"/>
      <c r="H10" s="52"/>
      <c r="I10" s="52"/>
      <c r="J10" s="53"/>
      <c r="K10" s="181">
        <v>46.5</v>
      </c>
      <c r="L10" s="181">
        <v>46</v>
      </c>
      <c r="M10" s="181">
        <v>49.6</v>
      </c>
      <c r="N10" s="181">
        <v>47</v>
      </c>
      <c r="O10" s="181"/>
      <c r="P10" s="52">
        <v>28.7</v>
      </c>
      <c r="Q10" s="181">
        <v>31</v>
      </c>
      <c r="R10" s="189" t="s">
        <v>97</v>
      </c>
      <c r="S10" s="185" t="s">
        <v>98</v>
      </c>
      <c r="T10" s="180">
        <v>32</v>
      </c>
      <c r="U10" s="189">
        <v>32.5</v>
      </c>
      <c r="V10" s="189">
        <v>31.5</v>
      </c>
      <c r="W10" s="189">
        <v>31</v>
      </c>
      <c r="X10" s="189">
        <v>34</v>
      </c>
      <c r="Y10" s="189">
        <v>37</v>
      </c>
      <c r="Z10" s="189">
        <v>38.299999999999997</v>
      </c>
      <c r="AA10" s="189">
        <v>39</v>
      </c>
      <c r="AB10" s="189">
        <v>40</v>
      </c>
      <c r="AC10" s="189">
        <v>44</v>
      </c>
      <c r="AD10" s="54">
        <f>AVERAGE(P10:T10)</f>
        <v>30.566666666666666</v>
      </c>
      <c r="AE10" s="54">
        <f t="shared" ref="AE10:AE12" si="1">AVERAGE(U10:W10)</f>
        <v>31.666666666666668</v>
      </c>
      <c r="AF10" s="54">
        <f t="shared" ref="AF10:AF12" si="2">AVERAGE(X10:Z10)</f>
        <v>36.43333333333333</v>
      </c>
      <c r="AG10" s="54">
        <f t="shared" ref="AG10:AG12" si="3">AVERAGE(AA10:AC10)</f>
        <v>41</v>
      </c>
      <c r="AH10" s="54">
        <f>AVERAGE(P10:AC10)</f>
        <v>34.916666666666664</v>
      </c>
    </row>
    <row r="11" spans="1:358" ht="65.25" hidden="1" customHeight="1" outlineLevel="1">
      <c r="A11" s="47" t="s">
        <v>25</v>
      </c>
      <c r="B11" s="48">
        <f t="shared" si="0"/>
        <v>-0.28000000000000114</v>
      </c>
      <c r="C11" s="48">
        <v>61.5</v>
      </c>
      <c r="D11" s="49"/>
      <c r="E11" s="49"/>
      <c r="F11" s="52"/>
      <c r="G11" s="51"/>
      <c r="H11" s="52"/>
      <c r="I11" s="52"/>
      <c r="J11" s="55"/>
      <c r="K11" s="181">
        <v>47.4</v>
      </c>
      <c r="L11" s="181">
        <v>47.4</v>
      </c>
      <c r="M11" s="181">
        <v>48.4</v>
      </c>
      <c r="N11" s="181">
        <v>45.5</v>
      </c>
      <c r="O11" s="175"/>
      <c r="P11" s="52">
        <v>32</v>
      </c>
      <c r="Q11" s="183">
        <v>32</v>
      </c>
      <c r="R11" s="183" t="s">
        <v>94</v>
      </c>
      <c r="S11" s="185" t="s">
        <v>95</v>
      </c>
      <c r="T11" s="186">
        <v>32</v>
      </c>
      <c r="U11" s="183">
        <v>35</v>
      </c>
      <c r="V11" s="183">
        <v>35</v>
      </c>
      <c r="W11" s="183">
        <v>35</v>
      </c>
      <c r="X11" s="183">
        <v>37</v>
      </c>
      <c r="Y11" s="183">
        <v>37</v>
      </c>
      <c r="Z11" s="183">
        <v>37</v>
      </c>
      <c r="AA11" s="183">
        <v>40</v>
      </c>
      <c r="AB11" s="183">
        <v>40</v>
      </c>
      <c r="AC11" s="183">
        <v>40</v>
      </c>
      <c r="AD11" s="190">
        <f>AVERAGE(P11:T11)</f>
        <v>32</v>
      </c>
      <c r="AE11" s="190">
        <f t="shared" ref="AE11" si="4">AVERAGE(U11:W11)</f>
        <v>35</v>
      </c>
      <c r="AF11" s="190">
        <f t="shared" ref="AF11" si="5">AVERAGE(X11:Z11)</f>
        <v>37</v>
      </c>
      <c r="AG11" s="190">
        <f t="shared" ref="AG11" si="6">AVERAGE(AA11:AC11)</f>
        <v>40</v>
      </c>
      <c r="AH11" s="54">
        <f>AVERAGE(P11:AC11)</f>
        <v>36</v>
      </c>
    </row>
    <row r="12" spans="1:358" ht="65.25" hidden="1" customHeight="1" outlineLevel="1" thickBot="1">
      <c r="A12" s="47" t="s">
        <v>26</v>
      </c>
      <c r="B12" s="48">
        <f>C12-$B$7</f>
        <v>0.76999999999999602</v>
      </c>
      <c r="C12" s="48">
        <v>62.55</v>
      </c>
      <c r="D12" s="49"/>
      <c r="E12" s="49"/>
      <c r="F12" s="56"/>
      <c r="G12" s="57"/>
      <c r="H12" s="56"/>
      <c r="I12" s="56"/>
      <c r="J12" s="55"/>
      <c r="K12" s="189">
        <v>52.3</v>
      </c>
      <c r="L12" s="189">
        <v>47</v>
      </c>
      <c r="M12" s="189">
        <v>48.54</v>
      </c>
      <c r="N12" s="189">
        <v>46.5</v>
      </c>
      <c r="O12" s="189">
        <v>37</v>
      </c>
      <c r="P12" s="52">
        <v>30.8</v>
      </c>
      <c r="Q12" s="189">
        <f>33.3-1.3</f>
        <v>31.999999999999996</v>
      </c>
      <c r="R12" s="189" t="s">
        <v>109</v>
      </c>
      <c r="S12" s="185" t="s">
        <v>110</v>
      </c>
      <c r="T12" s="180">
        <f>35-2</f>
        <v>33</v>
      </c>
      <c r="U12" s="183">
        <f>37.2-2</f>
        <v>35.200000000000003</v>
      </c>
      <c r="V12" s="183">
        <f>40.2-4</f>
        <v>36.200000000000003</v>
      </c>
      <c r="W12" s="183">
        <f>43-3</f>
        <v>40</v>
      </c>
      <c r="X12" s="183">
        <f>45-3</f>
        <v>42</v>
      </c>
      <c r="Y12" s="189">
        <f>47-5</f>
        <v>42</v>
      </c>
      <c r="Z12" s="189">
        <f>47-2</f>
        <v>45</v>
      </c>
      <c r="AA12" s="189">
        <f>50-3</f>
        <v>47</v>
      </c>
      <c r="AB12" s="189">
        <f>55-5</f>
        <v>50</v>
      </c>
      <c r="AC12" s="189">
        <f>60-7</f>
        <v>53</v>
      </c>
      <c r="AD12" s="54">
        <f>AVERAGE(P12:T12)</f>
        <v>31.933333333333334</v>
      </c>
      <c r="AE12" s="54">
        <f t="shared" si="1"/>
        <v>37.133333333333333</v>
      </c>
      <c r="AF12" s="54">
        <f t="shared" si="2"/>
        <v>43</v>
      </c>
      <c r="AG12" s="54">
        <f t="shared" si="3"/>
        <v>50</v>
      </c>
      <c r="AH12" s="54">
        <f>AVERAGE(P12:AC12)</f>
        <v>40.516666666666666</v>
      </c>
    </row>
    <row r="13" spans="1:358" s="62" customFormat="1" ht="19.5" hidden="1" customHeight="1" outlineLevel="1" thickBot="1">
      <c r="A13" s="47" t="s">
        <v>75</v>
      </c>
      <c r="B13" s="48" t="s">
        <v>27</v>
      </c>
      <c r="C13" s="48" t="s">
        <v>27</v>
      </c>
      <c r="D13" s="49"/>
      <c r="E13" s="49"/>
      <c r="F13" s="52"/>
      <c r="G13" s="51"/>
      <c r="H13" s="52"/>
      <c r="I13" s="52"/>
      <c r="J13" s="55" t="e">
        <f t="shared" ref="J13:K13" si="7">AVERAGE(J9:J12)</f>
        <v>#DIV/0!</v>
      </c>
      <c r="K13" s="181">
        <f t="shared" si="7"/>
        <v>48.3</v>
      </c>
      <c r="L13" s="181">
        <f>AVERAGE(L9:L12)</f>
        <v>46.85</v>
      </c>
      <c r="M13" s="181">
        <f>AVERAGE(M9:M12)</f>
        <v>48.634999999999998</v>
      </c>
      <c r="N13" s="181">
        <f>AVERAGE(N9:N12)</f>
        <v>46.25</v>
      </c>
      <c r="O13" s="181">
        <f t="shared" ref="O13" si="8">AVERAGE(O9:O12)</f>
        <v>37</v>
      </c>
      <c r="P13" s="52">
        <f>AVERAGE(P9:P12)</f>
        <v>30.5</v>
      </c>
      <c r="Q13" s="189">
        <f>AVERAGE(Q9:Q12)</f>
        <v>31.3125</v>
      </c>
      <c r="R13" s="189"/>
      <c r="S13" s="226"/>
      <c r="T13" s="225">
        <f>AVERAGE(T9:T12)</f>
        <v>31.75</v>
      </c>
      <c r="U13" s="189">
        <f>AVERAGE(U9:U12)</f>
        <v>33.549999999999997</v>
      </c>
      <c r="V13" s="189">
        <f t="shared" ref="V13:AC13" si="9">AVERAGE(V9:V12)</f>
        <v>33.674999999999997</v>
      </c>
      <c r="W13" s="189">
        <f t="shared" si="9"/>
        <v>34.75</v>
      </c>
      <c r="X13" s="189">
        <f t="shared" si="9"/>
        <v>36.875</v>
      </c>
      <c r="Y13" s="189">
        <f t="shared" si="9"/>
        <v>38</v>
      </c>
      <c r="Z13" s="189">
        <f t="shared" si="9"/>
        <v>39.262500000000003</v>
      </c>
      <c r="AA13" s="189">
        <f t="shared" si="9"/>
        <v>41</v>
      </c>
      <c r="AB13" s="189">
        <f t="shared" si="9"/>
        <v>42.375</v>
      </c>
      <c r="AC13" s="189">
        <f t="shared" si="9"/>
        <v>44.25</v>
      </c>
      <c r="AD13" s="59">
        <f>AVERAGE(AD9:AD12)</f>
        <v>31.1875</v>
      </c>
      <c r="AE13" s="59">
        <f t="shared" ref="AE13" si="10">AVERAGE(AE9:AE12)</f>
        <v>33.991666666666667</v>
      </c>
      <c r="AF13" s="59">
        <f>AVERAGE(AF9:AF12)</f>
        <v>38.045833333333334</v>
      </c>
      <c r="AG13" s="59">
        <f>AVERAGE(AG9:AG12)</f>
        <v>42.541666666666664</v>
      </c>
      <c r="AH13" s="59">
        <f>AVERAGE(AH9:AH12)</f>
        <v>36.441666666666663</v>
      </c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</row>
    <row r="14" spans="1:358" ht="19" collapsed="1" thickBot="1">
      <c r="A14" s="245" t="s">
        <v>86</v>
      </c>
      <c r="B14" s="244"/>
      <c r="C14" s="58"/>
      <c r="D14" s="58"/>
      <c r="E14" s="58"/>
      <c r="F14" s="59"/>
      <c r="G14" s="59"/>
      <c r="H14" s="59"/>
      <c r="I14" s="59"/>
      <c r="J14" s="59"/>
      <c r="K14" s="59"/>
      <c r="L14" s="59"/>
      <c r="M14" s="59"/>
      <c r="N14" s="59">
        <f>N13</f>
        <v>46.25</v>
      </c>
      <c r="O14" s="59"/>
      <c r="P14" s="59"/>
      <c r="Q14" s="59">
        <v>31.3125</v>
      </c>
      <c r="R14" s="59"/>
      <c r="S14" s="60"/>
      <c r="T14" s="60">
        <v>31.75</v>
      </c>
      <c r="U14" s="59">
        <v>33.549999999999997</v>
      </c>
      <c r="V14" s="59">
        <v>33.674999999999997</v>
      </c>
      <c r="W14" s="59">
        <v>34.75</v>
      </c>
      <c r="X14" s="59">
        <v>36.875</v>
      </c>
      <c r="Y14" s="59">
        <v>38</v>
      </c>
      <c r="Z14" s="59">
        <v>39.262500000000003</v>
      </c>
      <c r="AA14" s="59">
        <v>41</v>
      </c>
      <c r="AB14" s="59">
        <v>42.375</v>
      </c>
      <c r="AC14" s="59">
        <v>44.25</v>
      </c>
      <c r="AD14" s="164">
        <v>31.1875</v>
      </c>
      <c r="AE14" s="164">
        <v>33.991666666666667</v>
      </c>
      <c r="AF14" s="164">
        <v>38.045833333333334</v>
      </c>
      <c r="AG14" s="164">
        <v>42.541666666666664</v>
      </c>
      <c r="AH14" s="59">
        <v>36.441666666666663</v>
      </c>
      <c r="AI14" s="169">
        <v>54</v>
      </c>
      <c r="AJ14" s="179"/>
      <c r="AK14" s="179"/>
    </row>
    <row r="15" spans="1:358" ht="21.5" thickBot="1">
      <c r="A15" s="227" t="s">
        <v>28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/>
      <c r="O15" s="164"/>
      <c r="P15" s="164"/>
      <c r="Q15" s="164"/>
      <c r="R15" s="164"/>
      <c r="S15" s="164"/>
      <c r="T15" s="164"/>
      <c r="U15" s="164"/>
      <c r="V15" s="164"/>
      <c r="W15" s="164"/>
      <c r="X15" s="164"/>
      <c r="Y15" s="164"/>
      <c r="Z15" s="164"/>
      <c r="AA15" s="164"/>
      <c r="AB15" s="164"/>
      <c r="AC15" s="164"/>
      <c r="AD15" s="23"/>
      <c r="AE15" s="23">
        <v>47</v>
      </c>
      <c r="AF15" s="23"/>
      <c r="AG15" s="23"/>
      <c r="AH15" s="7"/>
      <c r="AI15" s="169"/>
    </row>
    <row r="16" spans="1:358" ht="16.5" hidden="1" customHeight="1" outlineLevel="1">
      <c r="A16" s="196"/>
      <c r="B16" s="64" t="s">
        <v>1</v>
      </c>
      <c r="C16" s="64" t="str">
        <f>C5</f>
        <v>Forecast</v>
      </c>
      <c r="D16" s="65"/>
      <c r="E16" s="65" t="s">
        <v>3</v>
      </c>
      <c r="F16" s="20" t="s">
        <v>4</v>
      </c>
      <c r="G16" s="20" t="s">
        <v>5</v>
      </c>
      <c r="H16" s="20" t="s">
        <v>6</v>
      </c>
      <c r="I16" s="20" t="s">
        <v>7</v>
      </c>
      <c r="J16" s="66" t="s">
        <v>2</v>
      </c>
      <c r="K16" s="20" t="s">
        <v>8</v>
      </c>
      <c r="L16" s="20" t="s">
        <v>9</v>
      </c>
      <c r="M16" s="20" t="s">
        <v>9</v>
      </c>
      <c r="N16" s="20" t="s">
        <v>12</v>
      </c>
      <c r="O16" s="20" t="s">
        <v>13</v>
      </c>
      <c r="P16" s="20" t="s">
        <v>14</v>
      </c>
      <c r="Q16" s="20" t="s">
        <v>15</v>
      </c>
      <c r="R16" s="23" t="s">
        <v>10</v>
      </c>
      <c r="S16" s="67" t="s">
        <v>11</v>
      </c>
      <c r="T16" s="67" t="s">
        <v>16</v>
      </c>
      <c r="U16" s="24" t="s">
        <v>64</v>
      </c>
      <c r="V16" s="24" t="s">
        <v>65</v>
      </c>
      <c r="W16" s="24" t="s">
        <v>66</v>
      </c>
      <c r="X16" s="24" t="s">
        <v>67</v>
      </c>
      <c r="Y16" s="23" t="s">
        <v>68</v>
      </c>
      <c r="Z16" s="23" t="s">
        <v>69</v>
      </c>
      <c r="AA16" s="23" t="s">
        <v>70</v>
      </c>
      <c r="AB16" s="23" t="s">
        <v>77</v>
      </c>
      <c r="AC16" s="23" t="s">
        <v>78</v>
      </c>
      <c r="AD16" s="671" t="s">
        <v>79</v>
      </c>
      <c r="AE16" s="671" t="s">
        <v>80</v>
      </c>
      <c r="AF16" s="671" t="s">
        <v>81</v>
      </c>
      <c r="AG16" s="671" t="s">
        <v>82</v>
      </c>
      <c r="AH16" s="671">
        <v>2016</v>
      </c>
      <c r="AI16" s="169"/>
    </row>
    <row r="17" spans="1:358" ht="16.5" hidden="1" customHeight="1" outlineLevel="1">
      <c r="A17" s="231"/>
      <c r="B17" s="26"/>
      <c r="C17" s="26"/>
      <c r="D17" s="27"/>
      <c r="E17" s="673"/>
      <c r="F17" s="673"/>
      <c r="G17" s="673"/>
      <c r="H17" s="673"/>
      <c r="I17" s="673"/>
      <c r="J17" s="28" t="str">
        <f>$J$6</f>
        <v>(8-12 Jun)</v>
      </c>
      <c r="K17" s="673"/>
      <c r="L17" s="250" t="s">
        <v>20</v>
      </c>
      <c r="M17" s="250" t="s">
        <v>63</v>
      </c>
      <c r="N17" s="673"/>
      <c r="O17" s="673"/>
      <c r="P17" s="673"/>
      <c r="Q17" s="673"/>
      <c r="R17" s="673">
        <v>42370</v>
      </c>
      <c r="S17" s="29">
        <v>42401</v>
      </c>
      <c r="T17" s="30"/>
      <c r="U17" s="673"/>
      <c r="V17" s="673"/>
      <c r="W17" s="673"/>
      <c r="X17" s="673"/>
      <c r="Y17" s="673"/>
      <c r="Z17" s="673"/>
      <c r="AA17" s="673"/>
      <c r="AB17" s="673"/>
      <c r="AC17" s="673"/>
      <c r="AD17" s="672"/>
      <c r="AE17" s="672"/>
      <c r="AF17" s="672"/>
      <c r="AG17" s="672"/>
      <c r="AH17" s="672"/>
      <c r="AI17" s="169"/>
    </row>
    <row r="18" spans="1:358" ht="21" hidden="1" customHeight="1" outlineLevel="1">
      <c r="A18" s="232" t="s">
        <v>29</v>
      </c>
      <c r="B18" s="68">
        <v>-1.78</v>
      </c>
      <c r="C18" s="68" t="str">
        <f>C7</f>
        <v>Previous WK</v>
      </c>
      <c r="D18" s="27"/>
      <c r="E18" s="674">
        <v>1.01</v>
      </c>
      <c r="F18" s="674"/>
      <c r="G18" s="674"/>
      <c r="H18" s="674"/>
      <c r="I18" s="674"/>
      <c r="J18" s="69"/>
      <c r="K18" s="674"/>
      <c r="L18" s="33"/>
      <c r="M18" s="33"/>
      <c r="N18" s="674"/>
      <c r="O18" s="674"/>
      <c r="P18" s="674"/>
      <c r="Q18" s="674"/>
      <c r="R18" s="674"/>
      <c r="S18" s="187"/>
      <c r="T18" s="188"/>
      <c r="U18" s="674"/>
      <c r="V18" s="674"/>
      <c r="W18" s="674"/>
      <c r="X18" s="674"/>
      <c r="Y18" s="674"/>
      <c r="Z18" s="674"/>
      <c r="AA18" s="674"/>
      <c r="AB18" s="674"/>
      <c r="AC18" s="674"/>
      <c r="AD18" s="38"/>
      <c r="AE18" s="40"/>
      <c r="AF18" s="40"/>
      <c r="AG18" s="40"/>
      <c r="AH18" s="40"/>
      <c r="AI18" s="169"/>
    </row>
    <row r="19" spans="1:358" s="77" customFormat="1" ht="21" hidden="1" customHeight="1" outlineLevel="1">
      <c r="A19" s="47"/>
      <c r="B19" s="34"/>
      <c r="C19" s="34"/>
      <c r="D19" s="70"/>
      <c r="E19" s="71"/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73"/>
      <c r="T19" s="73"/>
      <c r="U19" s="39"/>
      <c r="V19" s="39"/>
      <c r="W19" s="39"/>
      <c r="X19" s="39"/>
      <c r="Y19" s="38"/>
      <c r="Z19" s="38"/>
      <c r="AA19" s="38"/>
      <c r="AB19" s="38"/>
      <c r="AC19" s="38"/>
      <c r="AD19" s="44"/>
      <c r="AE19" s="44"/>
      <c r="AF19" s="44"/>
      <c r="AG19" s="44"/>
      <c r="AH19" s="44"/>
      <c r="AI19" s="169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  <c r="EK19" s="45"/>
      <c r="EL19" s="45"/>
      <c r="EM19" s="45"/>
      <c r="EN19" s="45"/>
      <c r="EO19" s="45"/>
      <c r="EP19" s="45"/>
      <c r="EQ19" s="45"/>
      <c r="ER19" s="45"/>
      <c r="ES19" s="45"/>
      <c r="ET19" s="45"/>
      <c r="EU19" s="45"/>
      <c r="EV19" s="45"/>
      <c r="EW19" s="45"/>
      <c r="EX19" s="45"/>
      <c r="EY19" s="45"/>
      <c r="EZ19" s="45"/>
      <c r="FA19" s="45"/>
      <c r="FB19" s="45"/>
      <c r="FC19" s="45"/>
      <c r="FD19" s="45"/>
      <c r="FE19" s="45"/>
      <c r="FF19" s="45"/>
      <c r="FG19" s="45"/>
      <c r="FH19" s="45"/>
      <c r="FI19" s="45"/>
      <c r="FJ19" s="45"/>
      <c r="FK19" s="45"/>
      <c r="FL19" s="45"/>
      <c r="FM19" s="45"/>
      <c r="FN19" s="45"/>
      <c r="FO19" s="45"/>
      <c r="FP19" s="45"/>
      <c r="FQ19" s="45"/>
      <c r="FR19" s="45"/>
      <c r="FS19" s="45"/>
      <c r="FT19" s="45"/>
      <c r="FU19" s="45"/>
      <c r="FV19" s="45"/>
      <c r="FW19" s="45"/>
      <c r="FX19" s="45"/>
      <c r="FY19" s="45"/>
      <c r="FZ19" s="45"/>
      <c r="GA19" s="45"/>
      <c r="GB19" s="45"/>
      <c r="GC19" s="45"/>
      <c r="GD19" s="45"/>
      <c r="GE19" s="45"/>
      <c r="GF19" s="45"/>
      <c r="GG19" s="45"/>
      <c r="GH19" s="45"/>
      <c r="GI19" s="45"/>
      <c r="GJ19" s="45"/>
      <c r="GK19" s="45"/>
      <c r="GL19" s="45"/>
      <c r="GM19" s="45"/>
      <c r="GN19" s="45"/>
      <c r="GO19" s="45"/>
      <c r="GP19" s="45"/>
      <c r="GQ19" s="45"/>
      <c r="GR19" s="45"/>
      <c r="GS19" s="45"/>
      <c r="GT19" s="45"/>
      <c r="GU19" s="45"/>
      <c r="GV19" s="45"/>
      <c r="GW19" s="45"/>
      <c r="GX19" s="45"/>
      <c r="GY19" s="45"/>
      <c r="GZ19" s="45"/>
      <c r="HA19" s="45"/>
      <c r="HB19" s="45"/>
      <c r="HC19" s="45"/>
      <c r="HD19" s="45"/>
      <c r="HE19" s="45"/>
      <c r="HF19" s="45"/>
      <c r="HG19" s="45"/>
      <c r="HH19" s="45"/>
      <c r="HI19" s="45"/>
      <c r="HJ19" s="45"/>
      <c r="HK19" s="45"/>
      <c r="HL19" s="45"/>
      <c r="HM19" s="45"/>
      <c r="HN19" s="45"/>
      <c r="HO19" s="45"/>
      <c r="HP19" s="45"/>
      <c r="HQ19" s="45"/>
      <c r="HR19" s="45"/>
      <c r="HS19" s="45"/>
      <c r="HT19" s="45"/>
      <c r="HU19" s="45"/>
      <c r="HV19" s="45"/>
      <c r="HW19" s="45"/>
      <c r="HX19" s="45"/>
      <c r="HY19" s="45"/>
      <c r="HZ19" s="45"/>
      <c r="IA19" s="45"/>
      <c r="IB19" s="45"/>
      <c r="IC19" s="45"/>
      <c r="ID19" s="45"/>
      <c r="IE19" s="45"/>
      <c r="IF19" s="45"/>
      <c r="IG19" s="45"/>
      <c r="IH19" s="45"/>
      <c r="II19" s="45"/>
      <c r="IJ19" s="45"/>
      <c r="IK19" s="45"/>
      <c r="IL19" s="45"/>
      <c r="IM19" s="45"/>
      <c r="IN19" s="45"/>
      <c r="IO19" s="45"/>
      <c r="IP19" s="45"/>
      <c r="IQ19" s="45"/>
      <c r="IR19" s="45"/>
      <c r="IS19" s="45"/>
      <c r="IT19" s="45"/>
      <c r="IU19" s="45"/>
      <c r="IV19" s="45"/>
      <c r="IW19" s="45"/>
      <c r="IX19" s="45"/>
      <c r="IY19" s="45"/>
      <c r="IZ19" s="45"/>
      <c r="JA19" s="45"/>
      <c r="JB19" s="45"/>
      <c r="JC19" s="45"/>
      <c r="JD19" s="45"/>
      <c r="JE19" s="45"/>
      <c r="JF19" s="45"/>
      <c r="JG19" s="45"/>
      <c r="JH19" s="45"/>
      <c r="JI19" s="45"/>
      <c r="JJ19" s="45"/>
      <c r="JK19" s="45"/>
      <c r="JL19" s="45"/>
      <c r="JM19" s="45"/>
      <c r="JN19" s="45"/>
      <c r="JO19" s="45"/>
      <c r="JP19" s="45"/>
      <c r="JQ19" s="45"/>
      <c r="JR19" s="45"/>
      <c r="JS19" s="45"/>
      <c r="JT19" s="45"/>
      <c r="JU19" s="45"/>
      <c r="JV19" s="45"/>
      <c r="JW19" s="45"/>
      <c r="JX19" s="45"/>
      <c r="JY19" s="45"/>
      <c r="JZ19" s="45"/>
      <c r="KA19" s="45"/>
      <c r="KB19" s="45"/>
      <c r="KC19" s="45"/>
      <c r="KD19" s="45"/>
      <c r="KE19" s="45"/>
      <c r="KF19" s="45"/>
      <c r="KG19" s="45"/>
      <c r="KH19" s="45"/>
      <c r="KI19" s="45"/>
      <c r="KJ19" s="45"/>
      <c r="KK19" s="45"/>
      <c r="KL19" s="45"/>
      <c r="KM19" s="45"/>
      <c r="KN19" s="45"/>
      <c r="KO19" s="45"/>
      <c r="KP19" s="45"/>
      <c r="KQ19" s="45"/>
      <c r="KR19" s="45"/>
      <c r="KS19" s="45"/>
      <c r="KT19" s="45"/>
      <c r="KU19" s="45"/>
      <c r="KV19" s="45"/>
      <c r="KW19" s="45"/>
      <c r="KX19" s="45"/>
      <c r="KY19" s="45"/>
      <c r="KZ19" s="45"/>
      <c r="LA19" s="45"/>
      <c r="LB19" s="45"/>
      <c r="LC19" s="45"/>
      <c r="LD19" s="45"/>
      <c r="LE19" s="45"/>
      <c r="LF19" s="45"/>
      <c r="LG19" s="45"/>
      <c r="LH19" s="45"/>
      <c r="LI19" s="45"/>
      <c r="LJ19" s="45"/>
      <c r="LK19" s="45"/>
      <c r="LL19" s="45"/>
      <c r="LM19" s="45"/>
      <c r="LN19" s="45"/>
      <c r="LO19" s="45"/>
      <c r="LP19" s="45"/>
      <c r="LQ19" s="45"/>
      <c r="LR19" s="45"/>
      <c r="LS19" s="45"/>
      <c r="LT19" s="45"/>
      <c r="LU19" s="45"/>
      <c r="LV19" s="45"/>
      <c r="LW19" s="45"/>
      <c r="LX19" s="45"/>
      <c r="LY19" s="45"/>
      <c r="LZ19" s="45"/>
      <c r="MA19" s="45"/>
      <c r="MB19" s="45"/>
      <c r="MC19" s="45"/>
      <c r="MD19" s="45"/>
      <c r="ME19" s="45"/>
      <c r="MF19" s="45"/>
      <c r="MG19" s="45"/>
      <c r="MH19" s="45"/>
      <c r="MI19" s="45"/>
      <c r="MJ19" s="45"/>
      <c r="MK19" s="45"/>
      <c r="ML19" s="45"/>
      <c r="MM19" s="45"/>
      <c r="MN19" s="45"/>
      <c r="MO19" s="45"/>
      <c r="MP19" s="45"/>
      <c r="MQ19" s="45"/>
      <c r="MR19" s="45"/>
      <c r="MS19" s="45"/>
      <c r="MT19" s="45"/>
    </row>
    <row r="20" spans="1:358" ht="66" hidden="1" customHeight="1" outlineLevel="1">
      <c r="A20" s="675" t="s">
        <v>23</v>
      </c>
      <c r="B20" s="676">
        <f>C20-$B$18</f>
        <v>0.28000000000000003</v>
      </c>
      <c r="C20" s="676">
        <v>-1.5</v>
      </c>
      <c r="D20" s="75"/>
      <c r="E20" s="75"/>
      <c r="F20" s="76"/>
      <c r="G20" s="76"/>
      <c r="H20" s="76"/>
      <c r="I20" s="76"/>
      <c r="J20" s="43"/>
      <c r="K20" s="76">
        <v>1</v>
      </c>
      <c r="L20" s="76">
        <v>2</v>
      </c>
      <c r="M20" s="76">
        <v>2</v>
      </c>
      <c r="N20" s="76">
        <v>4</v>
      </c>
      <c r="O20" s="76">
        <v>9.75</v>
      </c>
      <c r="P20" s="222">
        <v>9.5</v>
      </c>
      <c r="Q20" s="76">
        <v>8</v>
      </c>
      <c r="R20" s="44" t="s">
        <v>122</v>
      </c>
      <c r="S20" s="216" t="s">
        <v>123</v>
      </c>
      <c r="T20" s="217">
        <v>5.5</v>
      </c>
      <c r="U20" s="44">
        <v>4</v>
      </c>
      <c r="V20" s="44">
        <v>3.25</v>
      </c>
      <c r="W20" s="44">
        <v>2.5</v>
      </c>
      <c r="X20" s="44">
        <v>2</v>
      </c>
      <c r="Y20" s="44">
        <v>2</v>
      </c>
      <c r="Z20" s="44">
        <v>1</v>
      </c>
      <c r="AA20" s="44">
        <v>1</v>
      </c>
      <c r="AB20" s="44">
        <v>2</v>
      </c>
      <c r="AC20" s="44">
        <v>2.5</v>
      </c>
      <c r="AD20" s="54">
        <f>AVERAGE(P20:T20)</f>
        <v>7.666666666666667</v>
      </c>
      <c r="AE20" s="54">
        <f>AVERAGE(U20:W20)</f>
        <v>3.25</v>
      </c>
      <c r="AF20" s="54">
        <f>AVERAGE(X20:Z20)</f>
        <v>1.6666666666666667</v>
      </c>
      <c r="AG20" s="54">
        <f>AVERAGE(AA20:AC20)</f>
        <v>1.8333333333333333</v>
      </c>
      <c r="AH20" s="54">
        <f>AVERAGE(P20:AC20)</f>
        <v>3.6041666666666665</v>
      </c>
      <c r="AI20" s="169"/>
    </row>
    <row r="21" spans="1:358" ht="66" hidden="1" customHeight="1" outlineLevel="1">
      <c r="A21" s="47" t="s">
        <v>24</v>
      </c>
      <c r="B21" s="48">
        <f t="shared" ref="B21" si="11">C21-$B$15</f>
        <v>-1.3</v>
      </c>
      <c r="C21" s="55">
        <v>-1.3</v>
      </c>
      <c r="D21" s="49"/>
      <c r="E21" s="49"/>
      <c r="F21" s="50"/>
      <c r="G21" s="57"/>
      <c r="H21" s="56"/>
      <c r="I21" s="56"/>
      <c r="J21" s="53"/>
      <c r="K21" s="189">
        <v>-0.4</v>
      </c>
      <c r="L21" s="189">
        <v>0.3</v>
      </c>
      <c r="M21" s="189">
        <v>1.9</v>
      </c>
      <c r="N21" s="171">
        <v>4.8</v>
      </c>
      <c r="O21" s="189"/>
      <c r="P21" s="56">
        <v>10.8</v>
      </c>
      <c r="Q21" s="189">
        <v>9.7000000000000028</v>
      </c>
      <c r="R21" s="189" t="s">
        <v>99</v>
      </c>
      <c r="S21" s="185" t="s">
        <v>100</v>
      </c>
      <c r="T21" s="186">
        <v>8.5</v>
      </c>
      <c r="U21" s="189">
        <v>8</v>
      </c>
      <c r="V21" s="189">
        <v>8</v>
      </c>
      <c r="W21" s="189">
        <v>6</v>
      </c>
      <c r="X21" s="189">
        <v>6</v>
      </c>
      <c r="Y21" s="189">
        <v>5</v>
      </c>
      <c r="Z21" s="189">
        <v>4</v>
      </c>
      <c r="AA21" s="189">
        <v>4</v>
      </c>
      <c r="AB21" s="189">
        <v>4.2000000000000028</v>
      </c>
      <c r="AC21" s="189">
        <v>4.5</v>
      </c>
      <c r="AD21" s="54">
        <f>AVERAGE(P21:T21)</f>
        <v>9.6666666666666679</v>
      </c>
      <c r="AE21" s="54">
        <f>AVERAGE(U21:W21)</f>
        <v>7.333333333333333</v>
      </c>
      <c r="AF21" s="54">
        <f t="shared" ref="AF21:AF23" si="12">AVERAGE(X21:Z21)</f>
        <v>5</v>
      </c>
      <c r="AG21" s="54">
        <f t="shared" ref="AG21:AG23" si="13">AVERAGE(AA21:AC21)</f>
        <v>4.2333333333333343</v>
      </c>
      <c r="AH21" s="54">
        <f>AVERAGE(P21:AC21)</f>
        <v>6.5583333333333336</v>
      </c>
      <c r="AI21" s="169"/>
    </row>
    <row r="22" spans="1:358" ht="66" hidden="1" customHeight="1" outlineLevel="1">
      <c r="A22" s="47" t="s">
        <v>25</v>
      </c>
      <c r="B22" s="48">
        <f t="shared" ref="B22" si="14">C22-$B$18</f>
        <v>8.0000000000000071E-2</v>
      </c>
      <c r="C22" s="55">
        <v>-1.7</v>
      </c>
      <c r="D22" s="49"/>
      <c r="E22" s="49"/>
      <c r="F22" s="56"/>
      <c r="G22" s="57"/>
      <c r="H22" s="56"/>
      <c r="I22" s="56"/>
      <c r="J22" s="55"/>
      <c r="K22" s="189">
        <v>-2</v>
      </c>
      <c r="L22" s="189">
        <v>0.6</v>
      </c>
      <c r="M22" s="189">
        <v>0.6</v>
      </c>
      <c r="N22" s="171">
        <v>4.5999999999999996</v>
      </c>
      <c r="O22" s="183">
        <v>3</v>
      </c>
      <c r="P22" s="56">
        <v>11</v>
      </c>
      <c r="Q22" s="183">
        <v>9</v>
      </c>
      <c r="R22" s="183" t="s">
        <v>30</v>
      </c>
      <c r="S22" s="185" t="s">
        <v>30</v>
      </c>
      <c r="T22" s="186">
        <v>7</v>
      </c>
      <c r="U22" s="183">
        <v>5</v>
      </c>
      <c r="V22" s="183">
        <v>5</v>
      </c>
      <c r="W22" s="183">
        <v>5</v>
      </c>
      <c r="X22" s="183">
        <v>4.5</v>
      </c>
      <c r="Y22" s="183">
        <v>4.5</v>
      </c>
      <c r="Z22" s="183">
        <v>4.5</v>
      </c>
      <c r="AA22" s="183">
        <v>4</v>
      </c>
      <c r="AB22" s="183">
        <v>4</v>
      </c>
      <c r="AC22" s="183">
        <v>4</v>
      </c>
      <c r="AD22" s="190">
        <f>AVERAGE(P22:T22)</f>
        <v>9</v>
      </c>
      <c r="AE22" s="190">
        <f>AVERAGE(U22:W22)</f>
        <v>5</v>
      </c>
      <c r="AF22" s="190">
        <f t="shared" ref="AF22" si="15">AVERAGE(X22:Z22)</f>
        <v>4.5</v>
      </c>
      <c r="AG22" s="190">
        <f t="shared" ref="AG22" si="16">AVERAGE(AA22:AC22)</f>
        <v>4</v>
      </c>
      <c r="AH22" s="54">
        <f>AVERAGE(P22:AC22)</f>
        <v>5.625</v>
      </c>
      <c r="AI22" s="169"/>
    </row>
    <row r="23" spans="1:358" ht="66" hidden="1" customHeight="1" outlineLevel="1" thickBot="1">
      <c r="A23" s="47" t="s">
        <v>26</v>
      </c>
      <c r="B23" s="78">
        <f>C23-$B$12</f>
        <v>-1.769999999999996</v>
      </c>
      <c r="C23" s="55">
        <v>-1</v>
      </c>
      <c r="D23" s="49"/>
      <c r="E23" s="49"/>
      <c r="F23" s="56"/>
      <c r="G23" s="57"/>
      <c r="H23" s="56"/>
      <c r="I23" s="56"/>
      <c r="J23" s="79"/>
      <c r="K23" s="189">
        <v>1.84</v>
      </c>
      <c r="L23" s="189">
        <v>1.84</v>
      </c>
      <c r="M23" s="189">
        <v>1.2</v>
      </c>
      <c r="N23" s="171">
        <v>2.1</v>
      </c>
      <c r="O23" s="189">
        <v>10</v>
      </c>
      <c r="P23" s="56">
        <v>11.5</v>
      </c>
      <c r="Q23" s="189">
        <v>10</v>
      </c>
      <c r="R23" s="189" t="s">
        <v>111</v>
      </c>
      <c r="S23" s="185" t="s">
        <v>112</v>
      </c>
      <c r="T23" s="186">
        <v>8</v>
      </c>
      <c r="U23" s="189">
        <v>6</v>
      </c>
      <c r="V23" s="189">
        <v>6</v>
      </c>
      <c r="W23" s="189">
        <v>5</v>
      </c>
      <c r="X23" s="189">
        <v>5</v>
      </c>
      <c r="Y23" s="189">
        <v>4</v>
      </c>
      <c r="Z23" s="189">
        <v>3</v>
      </c>
      <c r="AA23" s="189">
        <v>2</v>
      </c>
      <c r="AB23" s="189">
        <v>2</v>
      </c>
      <c r="AC23" s="189">
        <v>2.5</v>
      </c>
      <c r="AD23" s="54">
        <f>AVERAGE(P23:T23)</f>
        <v>9.8333333333333339</v>
      </c>
      <c r="AE23" s="54">
        <f t="shared" ref="AE23" si="17">AVERAGE(U23:W23)</f>
        <v>5.666666666666667</v>
      </c>
      <c r="AF23" s="54">
        <f t="shared" si="12"/>
        <v>4</v>
      </c>
      <c r="AG23" s="54">
        <f t="shared" si="13"/>
        <v>2.1666666666666665</v>
      </c>
      <c r="AH23" s="54">
        <f>AVERAGE(P23:AC23)</f>
        <v>5.416666666666667</v>
      </c>
      <c r="AI23" s="169"/>
    </row>
    <row r="24" spans="1:358" ht="31.4" hidden="1" customHeight="1" outlineLevel="1" thickBot="1">
      <c r="A24" s="47" t="s">
        <v>31</v>
      </c>
      <c r="B24" s="48"/>
      <c r="C24" s="55"/>
      <c r="D24" s="80"/>
      <c r="E24" s="49"/>
      <c r="F24" s="52"/>
      <c r="G24" s="51"/>
      <c r="H24" s="52"/>
      <c r="I24" s="52"/>
      <c r="J24" s="55"/>
      <c r="K24" s="181">
        <v>0.5</v>
      </c>
      <c r="L24" s="181">
        <v>0.5</v>
      </c>
      <c r="M24" s="181">
        <f>AVERAGE(M20:M23)</f>
        <v>1.425</v>
      </c>
      <c r="N24" s="181">
        <f>AVERAGE(N20:N23)</f>
        <v>3.875</v>
      </c>
      <c r="O24" s="181">
        <f>AVERAGE(O20:O23)</f>
        <v>7.583333333333333</v>
      </c>
      <c r="P24" s="56">
        <f>AVERAGE(P20:P23)</f>
        <v>10.7</v>
      </c>
      <c r="Q24" s="189">
        <f>AVERAGE(Q20:Q23)</f>
        <v>9.1750000000000007</v>
      </c>
      <c r="R24" s="189"/>
      <c r="S24" s="185"/>
      <c r="T24" s="186">
        <f t="shared" ref="T24" si="18">AVERAGE(T20:T23)</f>
        <v>7.25</v>
      </c>
      <c r="U24" s="189">
        <f>AVERAGE(U20:U23)</f>
        <v>5.75</v>
      </c>
      <c r="V24" s="189">
        <f t="shared" ref="V24:AC24" si="19">AVERAGE(V20:V23)</f>
        <v>5.5625</v>
      </c>
      <c r="W24" s="189">
        <f t="shared" si="19"/>
        <v>4.625</v>
      </c>
      <c r="X24" s="189">
        <f t="shared" si="19"/>
        <v>4.375</v>
      </c>
      <c r="Y24" s="189">
        <f t="shared" si="19"/>
        <v>3.875</v>
      </c>
      <c r="Z24" s="189">
        <f t="shared" si="19"/>
        <v>3.125</v>
      </c>
      <c r="AA24" s="189">
        <f t="shared" si="19"/>
        <v>2.75</v>
      </c>
      <c r="AB24" s="189">
        <f t="shared" si="19"/>
        <v>3.0500000000000007</v>
      </c>
      <c r="AC24" s="189">
        <f t="shared" si="19"/>
        <v>3.375</v>
      </c>
      <c r="AD24" s="59">
        <f>AVERAGE(AD20:AD23)</f>
        <v>9.0416666666666679</v>
      </c>
      <c r="AE24" s="59">
        <f>AVERAGE(AE20:AE23)</f>
        <v>5.3125</v>
      </c>
      <c r="AF24" s="59">
        <f t="shared" ref="AF24:AG24" si="20">AVERAGE(AF20:AF23)</f>
        <v>3.791666666666667</v>
      </c>
      <c r="AG24" s="59">
        <f t="shared" si="20"/>
        <v>3.0583333333333331</v>
      </c>
      <c r="AH24" s="59">
        <f>AVERAGE(AH20:AH23)</f>
        <v>5.3010416666666664</v>
      </c>
      <c r="AI24" s="169"/>
    </row>
    <row r="25" spans="1:358" ht="21.5" collapsed="1" thickBot="1">
      <c r="A25" s="245" t="s">
        <v>74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f>K24+K13</f>
        <v>48.8</v>
      </c>
      <c r="L25" s="59">
        <f>L24+L13</f>
        <v>47.35</v>
      </c>
      <c r="M25" s="59"/>
      <c r="N25" s="59">
        <f>N24</f>
        <v>3.875</v>
      </c>
      <c r="O25" s="59">
        <v>6</v>
      </c>
      <c r="P25" s="59"/>
      <c r="Q25" s="59">
        <v>9.1750000000000007</v>
      </c>
      <c r="R25" s="59"/>
      <c r="S25" s="59"/>
      <c r="T25" s="59">
        <v>7.25</v>
      </c>
      <c r="U25" s="59">
        <v>5.75</v>
      </c>
      <c r="V25" s="59">
        <v>5.5625</v>
      </c>
      <c r="W25" s="59">
        <v>4.625</v>
      </c>
      <c r="X25" s="59">
        <v>5</v>
      </c>
      <c r="Y25" s="59">
        <v>4.5</v>
      </c>
      <c r="Z25" s="59">
        <v>4</v>
      </c>
      <c r="AA25" s="59">
        <v>3.75</v>
      </c>
      <c r="AB25" s="59">
        <v>4</v>
      </c>
      <c r="AC25" s="59">
        <v>4.25</v>
      </c>
      <c r="AD25" s="63">
        <v>9.0416666666666679</v>
      </c>
      <c r="AE25" s="63">
        <v>5.3125</v>
      </c>
      <c r="AF25" s="63">
        <v>4.5</v>
      </c>
      <c r="AG25" s="63">
        <v>4</v>
      </c>
      <c r="AH25" s="59">
        <f>AVERAGE(P25:AC25)</f>
        <v>5.2602272727272723</v>
      </c>
      <c r="AI25" s="169">
        <v>-1</v>
      </c>
    </row>
    <row r="26" spans="1:358" ht="21.5" thickBot="1">
      <c r="A26" s="227" t="s">
        <v>32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/>
      <c r="L26" s="162"/>
      <c r="M26" s="162"/>
      <c r="N26" s="164"/>
      <c r="O26" s="164"/>
      <c r="P26" s="164"/>
      <c r="Q26" s="164"/>
      <c r="R26" s="164"/>
      <c r="S26" s="164"/>
      <c r="T26" s="164"/>
      <c r="U26" s="164"/>
      <c r="V26" s="164"/>
      <c r="W26" s="164"/>
      <c r="X26" s="164"/>
      <c r="Y26" s="164"/>
      <c r="Z26" s="164"/>
      <c r="AA26" s="164"/>
      <c r="AB26" s="164"/>
      <c r="AC26" s="164"/>
      <c r="AD26" s="23"/>
      <c r="AE26" s="23"/>
      <c r="AF26" s="23"/>
      <c r="AG26" s="23"/>
      <c r="AH26" s="7"/>
      <c r="AI26" s="169"/>
    </row>
    <row r="27" spans="1:358" ht="16.5" hidden="1" customHeight="1" outlineLevel="1">
      <c r="A27" s="196"/>
      <c r="B27" s="88" t="s">
        <v>1</v>
      </c>
      <c r="C27" s="88" t="str">
        <f>C16</f>
        <v>Forecast</v>
      </c>
      <c r="D27" s="65"/>
      <c r="E27" s="65" t="s">
        <v>3</v>
      </c>
      <c r="F27" s="20" t="s">
        <v>4</v>
      </c>
      <c r="G27" s="20" t="s">
        <v>5</v>
      </c>
      <c r="H27" s="20" t="s">
        <v>6</v>
      </c>
      <c r="I27" s="20" t="s">
        <v>7</v>
      </c>
      <c r="J27" s="66" t="s">
        <v>2</v>
      </c>
      <c r="K27" s="20" t="s">
        <v>8</v>
      </c>
      <c r="L27" s="20" t="s">
        <v>9</v>
      </c>
      <c r="M27" s="20" t="s">
        <v>9</v>
      </c>
      <c r="N27" s="20" t="s">
        <v>12</v>
      </c>
      <c r="O27" s="20" t="s">
        <v>13</v>
      </c>
      <c r="P27" s="20" t="s">
        <v>14</v>
      </c>
      <c r="Q27" s="20" t="s">
        <v>15</v>
      </c>
      <c r="R27" s="23" t="s">
        <v>10</v>
      </c>
      <c r="S27" s="67" t="s">
        <v>11</v>
      </c>
      <c r="T27" s="67" t="s">
        <v>16</v>
      </c>
      <c r="U27" s="24" t="s">
        <v>64</v>
      </c>
      <c r="V27" s="24" t="s">
        <v>65</v>
      </c>
      <c r="W27" s="24" t="s">
        <v>66</v>
      </c>
      <c r="X27" s="24" t="s">
        <v>67</v>
      </c>
      <c r="Y27" s="23" t="s">
        <v>68</v>
      </c>
      <c r="Z27" s="23" t="s">
        <v>69</v>
      </c>
      <c r="AA27" s="23" t="s">
        <v>70</v>
      </c>
      <c r="AB27" s="23" t="s">
        <v>77</v>
      </c>
      <c r="AC27" s="23" t="s">
        <v>78</v>
      </c>
      <c r="AD27" s="671" t="s">
        <v>79</v>
      </c>
      <c r="AE27" s="671" t="s">
        <v>80</v>
      </c>
      <c r="AF27" s="671" t="s">
        <v>81</v>
      </c>
      <c r="AG27" s="671" t="s">
        <v>82</v>
      </c>
      <c r="AH27" s="671">
        <v>2016</v>
      </c>
      <c r="AI27" s="169"/>
    </row>
    <row r="28" spans="1:358" ht="16.5" hidden="1" customHeight="1" outlineLevel="1">
      <c r="A28" s="25"/>
      <c r="B28" s="26"/>
      <c r="C28" s="26"/>
      <c r="D28" s="27"/>
      <c r="E28" s="673"/>
      <c r="F28" s="673"/>
      <c r="G28" s="673"/>
      <c r="H28" s="673"/>
      <c r="I28" s="673"/>
      <c r="J28" s="28" t="str">
        <f>$J$6</f>
        <v>(8-12 Jun)</v>
      </c>
      <c r="K28" s="673"/>
      <c r="L28" s="250" t="s">
        <v>20</v>
      </c>
      <c r="M28" s="250" t="s">
        <v>63</v>
      </c>
      <c r="N28" s="673"/>
      <c r="O28" s="673"/>
      <c r="P28" s="673"/>
      <c r="Q28" s="673"/>
      <c r="R28" s="673">
        <v>42370</v>
      </c>
      <c r="S28" s="29">
        <v>42401</v>
      </c>
      <c r="T28" s="30"/>
      <c r="U28" s="673"/>
      <c r="V28" s="673"/>
      <c r="W28" s="673"/>
      <c r="X28" s="673"/>
      <c r="Y28" s="673"/>
      <c r="Z28" s="673"/>
      <c r="AA28" s="673"/>
      <c r="AB28" s="673"/>
      <c r="AC28" s="673"/>
      <c r="AD28" s="672"/>
      <c r="AE28" s="672"/>
      <c r="AF28" s="672"/>
      <c r="AG28" s="672"/>
      <c r="AH28" s="672"/>
      <c r="AI28" s="169"/>
    </row>
    <row r="29" spans="1:358" ht="21" hidden="1" customHeight="1" outlineLevel="1">
      <c r="A29" s="31" t="s">
        <v>33</v>
      </c>
      <c r="B29" s="68">
        <v>20.81</v>
      </c>
      <c r="C29" s="68" t="str">
        <f>C18</f>
        <v>Previous WK</v>
      </c>
      <c r="D29" s="27"/>
      <c r="E29" s="674">
        <v>17</v>
      </c>
      <c r="F29" s="674"/>
      <c r="G29" s="674"/>
      <c r="H29" s="674"/>
      <c r="I29" s="674"/>
      <c r="J29" s="69"/>
      <c r="K29" s="674"/>
      <c r="L29" s="33"/>
      <c r="M29" s="33"/>
      <c r="N29" s="674"/>
      <c r="O29" s="674"/>
      <c r="P29" s="674"/>
      <c r="Q29" s="674"/>
      <c r="R29" s="674"/>
      <c r="S29" s="187"/>
      <c r="T29" s="188"/>
      <c r="U29" s="674"/>
      <c r="V29" s="674"/>
      <c r="W29" s="674"/>
      <c r="X29" s="674"/>
      <c r="Y29" s="674"/>
      <c r="Z29" s="674"/>
      <c r="AA29" s="674"/>
      <c r="AB29" s="674"/>
      <c r="AC29" s="674"/>
      <c r="AD29" s="38"/>
      <c r="AE29" s="40"/>
      <c r="AF29" s="40"/>
      <c r="AG29" s="40"/>
      <c r="AH29" s="40"/>
      <c r="AI29" s="169"/>
    </row>
    <row r="30" spans="1:358" s="77" customFormat="1" ht="21" hidden="1" customHeight="1" outlineLevel="1">
      <c r="A30" s="89"/>
      <c r="B30" s="90"/>
      <c r="C30" s="90"/>
      <c r="D30" s="70"/>
      <c r="E30" s="71"/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73"/>
      <c r="T30" s="73"/>
      <c r="U30" s="39"/>
      <c r="V30" s="39"/>
      <c r="W30" s="39"/>
      <c r="X30" s="39"/>
      <c r="Y30" s="38"/>
      <c r="Z30" s="38"/>
      <c r="AA30" s="38"/>
      <c r="AB30" s="38"/>
      <c r="AC30" s="38"/>
      <c r="AD30" s="44"/>
      <c r="AE30" s="44"/>
      <c r="AF30" s="44"/>
      <c r="AG30" s="44"/>
      <c r="AH30" s="44"/>
      <c r="AI30" s="169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5"/>
      <c r="BS30" s="45"/>
      <c r="BT30" s="45"/>
      <c r="BU30" s="45"/>
      <c r="BV30" s="45"/>
      <c r="BW30" s="45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5"/>
      <c r="CI30" s="45"/>
      <c r="CJ30" s="45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5"/>
      <c r="DY30" s="45"/>
      <c r="DZ30" s="45"/>
      <c r="EA30" s="45"/>
      <c r="EB30" s="45"/>
      <c r="EC30" s="45"/>
      <c r="ED30" s="45"/>
      <c r="EE30" s="45"/>
      <c r="EF30" s="45"/>
      <c r="EG30" s="45"/>
      <c r="EH30" s="45"/>
      <c r="EI30" s="45"/>
      <c r="EJ30" s="45"/>
      <c r="EK30" s="45"/>
      <c r="EL30" s="45"/>
      <c r="EM30" s="45"/>
      <c r="EN30" s="45"/>
      <c r="EO30" s="45"/>
      <c r="EP30" s="45"/>
      <c r="EQ30" s="45"/>
      <c r="ER30" s="45"/>
      <c r="ES30" s="45"/>
      <c r="ET30" s="45"/>
      <c r="EU30" s="45"/>
      <c r="EV30" s="45"/>
      <c r="EW30" s="45"/>
      <c r="EX30" s="45"/>
      <c r="EY30" s="45"/>
      <c r="EZ30" s="45"/>
      <c r="FA30" s="45"/>
      <c r="FB30" s="45"/>
      <c r="FC30" s="45"/>
      <c r="FD30" s="45"/>
      <c r="FE30" s="45"/>
      <c r="FF30" s="45"/>
      <c r="FG30" s="45"/>
      <c r="FH30" s="45"/>
      <c r="FI30" s="45"/>
      <c r="FJ30" s="45"/>
      <c r="FK30" s="45"/>
      <c r="FL30" s="45"/>
      <c r="FM30" s="45"/>
      <c r="FN30" s="45"/>
      <c r="FO30" s="45"/>
      <c r="FP30" s="45"/>
      <c r="FQ30" s="45"/>
      <c r="FR30" s="45"/>
      <c r="FS30" s="45"/>
      <c r="FT30" s="45"/>
      <c r="FU30" s="45"/>
      <c r="FV30" s="45"/>
      <c r="FW30" s="45"/>
      <c r="FX30" s="45"/>
      <c r="FY30" s="45"/>
      <c r="FZ30" s="45"/>
      <c r="GA30" s="45"/>
      <c r="GB30" s="45"/>
      <c r="GC30" s="45"/>
      <c r="GD30" s="45"/>
      <c r="GE30" s="45"/>
      <c r="GF30" s="45"/>
      <c r="GG30" s="45"/>
      <c r="GH30" s="45"/>
      <c r="GI30" s="45"/>
      <c r="GJ30" s="45"/>
      <c r="GK30" s="45"/>
      <c r="GL30" s="45"/>
      <c r="GM30" s="45"/>
      <c r="GN30" s="45"/>
      <c r="GO30" s="45"/>
      <c r="GP30" s="45"/>
      <c r="GQ30" s="45"/>
      <c r="GR30" s="45"/>
      <c r="GS30" s="45"/>
      <c r="GT30" s="45"/>
      <c r="GU30" s="45"/>
      <c r="GV30" s="45"/>
      <c r="GW30" s="45"/>
      <c r="GX30" s="45"/>
      <c r="GY30" s="45"/>
      <c r="GZ30" s="45"/>
      <c r="HA30" s="45"/>
      <c r="HB30" s="45"/>
      <c r="HC30" s="45"/>
      <c r="HD30" s="45"/>
      <c r="HE30" s="45"/>
      <c r="HF30" s="45"/>
      <c r="HG30" s="45"/>
      <c r="HH30" s="45"/>
      <c r="HI30" s="45"/>
      <c r="HJ30" s="45"/>
      <c r="HK30" s="45"/>
      <c r="HL30" s="45"/>
      <c r="HM30" s="45"/>
      <c r="HN30" s="45"/>
      <c r="HO30" s="45"/>
      <c r="HP30" s="45"/>
      <c r="HQ30" s="45"/>
      <c r="HR30" s="45"/>
      <c r="HS30" s="45"/>
      <c r="HT30" s="45"/>
      <c r="HU30" s="45"/>
      <c r="HV30" s="45"/>
      <c r="HW30" s="45"/>
      <c r="HX30" s="45"/>
      <c r="HY30" s="45"/>
      <c r="HZ30" s="45"/>
      <c r="IA30" s="45"/>
      <c r="IB30" s="45"/>
      <c r="IC30" s="45"/>
      <c r="ID30" s="45"/>
      <c r="IE30" s="45"/>
      <c r="IF30" s="45"/>
      <c r="IG30" s="45"/>
      <c r="IH30" s="45"/>
      <c r="II30" s="45"/>
      <c r="IJ30" s="45"/>
      <c r="IK30" s="45"/>
      <c r="IL30" s="45"/>
      <c r="IM30" s="45"/>
      <c r="IN30" s="45"/>
      <c r="IO30" s="45"/>
      <c r="IP30" s="45"/>
      <c r="IQ30" s="45"/>
      <c r="IR30" s="45"/>
      <c r="IS30" s="45"/>
      <c r="IT30" s="45"/>
      <c r="IU30" s="45"/>
      <c r="IV30" s="45"/>
      <c r="IW30" s="45"/>
      <c r="IX30" s="45"/>
      <c r="IY30" s="45"/>
      <c r="IZ30" s="45"/>
      <c r="JA30" s="45"/>
      <c r="JB30" s="45"/>
      <c r="JC30" s="45"/>
      <c r="JD30" s="45"/>
      <c r="JE30" s="45"/>
      <c r="JF30" s="45"/>
      <c r="JG30" s="45"/>
      <c r="JH30" s="45"/>
      <c r="JI30" s="45"/>
      <c r="JJ30" s="45"/>
      <c r="JK30" s="45"/>
      <c r="JL30" s="45"/>
      <c r="JM30" s="45"/>
      <c r="JN30" s="45"/>
      <c r="JO30" s="45"/>
      <c r="JP30" s="45"/>
      <c r="JQ30" s="45"/>
      <c r="JR30" s="45"/>
      <c r="JS30" s="45"/>
      <c r="JT30" s="45"/>
      <c r="JU30" s="45"/>
      <c r="JV30" s="45"/>
      <c r="JW30" s="45"/>
      <c r="JX30" s="45"/>
      <c r="JY30" s="45"/>
      <c r="JZ30" s="45"/>
      <c r="KA30" s="45"/>
      <c r="KB30" s="45"/>
      <c r="KC30" s="45"/>
      <c r="KD30" s="45"/>
      <c r="KE30" s="45"/>
      <c r="KF30" s="45"/>
      <c r="KG30" s="45"/>
      <c r="KH30" s="45"/>
      <c r="KI30" s="45"/>
      <c r="KJ30" s="45"/>
      <c r="KK30" s="45"/>
      <c r="KL30" s="45"/>
      <c r="KM30" s="45"/>
      <c r="KN30" s="45"/>
      <c r="KO30" s="45"/>
      <c r="KP30" s="45"/>
      <c r="KQ30" s="45"/>
      <c r="KR30" s="45"/>
      <c r="KS30" s="45"/>
      <c r="KT30" s="45"/>
      <c r="KU30" s="45"/>
      <c r="KV30" s="45"/>
      <c r="KW30" s="45"/>
      <c r="KX30" s="45"/>
      <c r="KY30" s="45"/>
      <c r="KZ30" s="45"/>
      <c r="LA30" s="45"/>
      <c r="LB30" s="45"/>
      <c r="LC30" s="45"/>
      <c r="LD30" s="45"/>
      <c r="LE30" s="45"/>
      <c r="LF30" s="45"/>
      <c r="LG30" s="45"/>
      <c r="LH30" s="45"/>
      <c r="LI30" s="45"/>
      <c r="LJ30" s="45"/>
      <c r="LK30" s="45"/>
      <c r="LL30" s="45"/>
      <c r="LM30" s="45"/>
      <c r="LN30" s="45"/>
      <c r="LO30" s="45"/>
      <c r="LP30" s="45"/>
      <c r="LQ30" s="45"/>
      <c r="LR30" s="45"/>
      <c r="LS30" s="45"/>
      <c r="LT30" s="45"/>
      <c r="LU30" s="45"/>
      <c r="LV30" s="45"/>
      <c r="LW30" s="45"/>
      <c r="LX30" s="45"/>
      <c r="LY30" s="45"/>
      <c r="LZ30" s="45"/>
      <c r="MA30" s="45"/>
      <c r="MB30" s="45"/>
      <c r="MC30" s="45"/>
      <c r="MD30" s="45"/>
      <c r="ME30" s="45"/>
      <c r="MF30" s="45"/>
      <c r="MG30" s="45"/>
      <c r="MH30" s="45"/>
      <c r="MI30" s="45"/>
      <c r="MJ30" s="45"/>
      <c r="MK30" s="45"/>
      <c r="ML30" s="45"/>
      <c r="MM30" s="45"/>
      <c r="MN30" s="45"/>
      <c r="MO30" s="45"/>
      <c r="MP30" s="45"/>
      <c r="MQ30" s="45"/>
      <c r="MR30" s="45"/>
      <c r="MS30" s="45"/>
      <c r="MT30" s="45"/>
    </row>
    <row r="31" spans="1:358" ht="54.75" hidden="1" customHeight="1" outlineLevel="1">
      <c r="A31" s="683" t="s">
        <v>23</v>
      </c>
      <c r="B31" s="684">
        <f>C31-$B$29</f>
        <v>-0.30999999999999872</v>
      </c>
      <c r="C31" s="684">
        <v>20.5</v>
      </c>
      <c r="D31" s="91"/>
      <c r="E31" s="91"/>
      <c r="F31" s="76"/>
      <c r="G31" s="76"/>
      <c r="H31" s="76"/>
      <c r="I31" s="76"/>
      <c r="J31" s="43"/>
      <c r="K31" s="76">
        <v>17.25</v>
      </c>
      <c r="L31" s="76">
        <v>18</v>
      </c>
      <c r="M31" s="76">
        <v>17.25</v>
      </c>
      <c r="N31" s="76">
        <v>16</v>
      </c>
      <c r="O31" s="76">
        <v>19.5</v>
      </c>
      <c r="P31" s="222">
        <v>23</v>
      </c>
      <c r="Q31" s="76">
        <v>22</v>
      </c>
      <c r="R31" s="44" t="s">
        <v>88</v>
      </c>
      <c r="S31" s="218" t="s">
        <v>89</v>
      </c>
      <c r="T31" s="219">
        <v>21</v>
      </c>
      <c r="U31" s="44">
        <v>20</v>
      </c>
      <c r="V31" s="44">
        <v>21</v>
      </c>
      <c r="W31" s="44">
        <v>20</v>
      </c>
      <c r="X31" s="44">
        <v>19</v>
      </c>
      <c r="Y31" s="44">
        <v>17</v>
      </c>
      <c r="Z31" s="44">
        <v>17</v>
      </c>
      <c r="AA31" s="44">
        <v>17.25</v>
      </c>
      <c r="AB31" s="44">
        <v>16</v>
      </c>
      <c r="AC31" s="44">
        <v>15.5</v>
      </c>
      <c r="AD31" s="54">
        <f>AVERAGE(P31:T31)</f>
        <v>22</v>
      </c>
      <c r="AE31" s="54">
        <f>AVERAGE(U31:W31)</f>
        <v>20.333333333333332</v>
      </c>
      <c r="AF31" s="54">
        <f>AVERAGE(X31:Z31)</f>
        <v>17.666666666666668</v>
      </c>
      <c r="AG31" s="54">
        <f>AVERAGE(AA31:AC31)</f>
        <v>16.25</v>
      </c>
      <c r="AH31" s="54">
        <f>AVERAGE(P31:AC31)</f>
        <v>19.0625</v>
      </c>
      <c r="AI31" s="169"/>
    </row>
    <row r="32" spans="1:358" ht="54.75" hidden="1" customHeight="1" outlineLevel="1">
      <c r="A32" s="47" t="s">
        <v>24</v>
      </c>
      <c r="B32" s="78">
        <f t="shared" ref="B32" si="21">C32-$B$23</f>
        <v>21.869999999999997</v>
      </c>
      <c r="C32" s="55">
        <v>20.100000000000001</v>
      </c>
      <c r="D32" s="49"/>
      <c r="E32" s="49"/>
      <c r="F32" s="50"/>
      <c r="G32" s="57"/>
      <c r="H32" s="56"/>
      <c r="I32" s="56"/>
      <c r="J32" s="53"/>
      <c r="K32" s="189">
        <v>17</v>
      </c>
      <c r="L32" s="189">
        <v>17</v>
      </c>
      <c r="M32" s="189">
        <v>16.3</v>
      </c>
      <c r="N32" s="189">
        <v>15</v>
      </c>
      <c r="O32" s="189"/>
      <c r="P32" s="56">
        <v>20.000000000000004</v>
      </c>
      <c r="Q32" s="189">
        <v>19</v>
      </c>
      <c r="R32" s="189" t="s">
        <v>101</v>
      </c>
      <c r="S32" s="185" t="s">
        <v>102</v>
      </c>
      <c r="T32" s="186">
        <v>18</v>
      </c>
      <c r="U32" s="189">
        <v>18</v>
      </c>
      <c r="V32" s="189">
        <v>19</v>
      </c>
      <c r="W32" s="189">
        <v>21.700000000000003</v>
      </c>
      <c r="X32" s="189">
        <v>21</v>
      </c>
      <c r="Y32" s="189">
        <v>19.5</v>
      </c>
      <c r="Z32" s="189">
        <v>18</v>
      </c>
      <c r="AA32" s="189">
        <v>17.5</v>
      </c>
      <c r="AB32" s="189">
        <v>16</v>
      </c>
      <c r="AC32" s="189">
        <v>16</v>
      </c>
      <c r="AD32" s="54">
        <f>AVERAGE(P32:T32)</f>
        <v>19</v>
      </c>
      <c r="AE32" s="54">
        <f t="shared" ref="AE32:AE34" si="22">AVERAGE(U32:W32)</f>
        <v>19.566666666666666</v>
      </c>
      <c r="AF32" s="54">
        <f t="shared" ref="AF32:AF34" si="23">AVERAGE(X32:Z32)</f>
        <v>19.5</v>
      </c>
      <c r="AG32" s="54">
        <f t="shared" ref="AG32:AG34" si="24">AVERAGE(AA32:AC32)</f>
        <v>16.5</v>
      </c>
      <c r="AH32" s="54">
        <f>AVERAGE(P32:AC32)</f>
        <v>18.641666666666666</v>
      </c>
      <c r="AI32" s="169"/>
    </row>
    <row r="33" spans="1:358" ht="54.75" hidden="1" customHeight="1" outlineLevel="1">
      <c r="A33" s="47" t="s">
        <v>25</v>
      </c>
      <c r="B33" s="78">
        <f t="shared" ref="B33" si="25">C33-$B$29</f>
        <v>-0.80999999999999872</v>
      </c>
      <c r="C33" s="55">
        <v>20</v>
      </c>
      <c r="D33" s="49"/>
      <c r="E33" s="49"/>
      <c r="F33" s="56"/>
      <c r="G33" s="57"/>
      <c r="H33" s="56"/>
      <c r="I33" s="56"/>
      <c r="J33" s="55"/>
      <c r="K33" s="189">
        <v>16</v>
      </c>
      <c r="L33" s="189">
        <v>16</v>
      </c>
      <c r="M33" s="189">
        <v>16</v>
      </c>
      <c r="N33" s="189">
        <v>16</v>
      </c>
      <c r="O33" s="183">
        <v>16.5</v>
      </c>
      <c r="P33" s="56">
        <v>21</v>
      </c>
      <c r="Q33" s="183">
        <v>20</v>
      </c>
      <c r="R33" s="183" t="s">
        <v>96</v>
      </c>
      <c r="S33" s="185" t="s">
        <v>96</v>
      </c>
      <c r="T33" s="186">
        <v>19</v>
      </c>
      <c r="U33" s="183">
        <v>18</v>
      </c>
      <c r="V33" s="183">
        <v>18.5</v>
      </c>
      <c r="W33" s="183">
        <v>20</v>
      </c>
      <c r="X33" s="183">
        <v>20</v>
      </c>
      <c r="Y33" s="183">
        <v>19</v>
      </c>
      <c r="Z33" s="183">
        <v>18</v>
      </c>
      <c r="AA33" s="183">
        <v>17.5</v>
      </c>
      <c r="AB33" s="183">
        <v>17.5</v>
      </c>
      <c r="AC33" s="183">
        <v>17.5</v>
      </c>
      <c r="AD33" s="190">
        <f>AVERAGE(P33:T33)</f>
        <v>20</v>
      </c>
      <c r="AE33" s="190">
        <f t="shared" ref="AE33" si="26">AVERAGE(U33:W33)</f>
        <v>18.833333333333332</v>
      </c>
      <c r="AF33" s="190">
        <f t="shared" ref="AF33" si="27">AVERAGE(X33:Z33)</f>
        <v>19</v>
      </c>
      <c r="AG33" s="190">
        <f t="shared" ref="AG33" si="28">AVERAGE(AA33:AC33)</f>
        <v>17.5</v>
      </c>
      <c r="AH33" s="54">
        <f>AVERAGE(P33:AC33)</f>
        <v>18.833333333333332</v>
      </c>
      <c r="AI33" s="169"/>
    </row>
    <row r="34" spans="1:358" ht="54.75" hidden="1" customHeight="1" outlineLevel="1" thickBot="1">
      <c r="A34" s="47" t="s">
        <v>26</v>
      </c>
      <c r="B34" s="48">
        <f>C34-$B$17</f>
        <v>20.18</v>
      </c>
      <c r="C34" s="55">
        <v>20.18</v>
      </c>
      <c r="D34" s="49"/>
      <c r="E34" s="49"/>
      <c r="F34" s="56"/>
      <c r="G34" s="57"/>
      <c r="H34" s="56"/>
      <c r="I34" s="56"/>
      <c r="J34" s="55"/>
      <c r="K34" s="189">
        <v>15.68</v>
      </c>
      <c r="L34" s="189">
        <v>18</v>
      </c>
      <c r="M34" s="189">
        <v>15.94</v>
      </c>
      <c r="N34" s="189">
        <v>16.25</v>
      </c>
      <c r="O34" s="189">
        <v>18.5</v>
      </c>
      <c r="P34" s="56">
        <v>22.3</v>
      </c>
      <c r="Q34" s="189">
        <v>20</v>
      </c>
      <c r="R34" s="189" t="s">
        <v>113</v>
      </c>
      <c r="S34" s="185" t="s">
        <v>114</v>
      </c>
      <c r="T34" s="186">
        <v>18.2</v>
      </c>
      <c r="U34" s="189">
        <v>17</v>
      </c>
      <c r="V34" s="189">
        <v>18</v>
      </c>
      <c r="W34" s="189">
        <v>19</v>
      </c>
      <c r="X34" s="189">
        <v>21</v>
      </c>
      <c r="Y34" s="189">
        <v>18</v>
      </c>
      <c r="Z34" s="189">
        <v>16.5</v>
      </c>
      <c r="AA34" s="189">
        <v>16</v>
      </c>
      <c r="AB34" s="189">
        <v>15.5</v>
      </c>
      <c r="AC34" s="189">
        <v>15</v>
      </c>
      <c r="AD34" s="54">
        <f>AVERAGE(P34:T34)</f>
        <v>20.166666666666668</v>
      </c>
      <c r="AE34" s="54">
        <f t="shared" si="22"/>
        <v>18</v>
      </c>
      <c r="AF34" s="54">
        <f t="shared" si="23"/>
        <v>18.5</v>
      </c>
      <c r="AG34" s="54">
        <f t="shared" si="24"/>
        <v>15.5</v>
      </c>
      <c r="AH34" s="54">
        <f>AVERAGE(P34:AC34)</f>
        <v>18.041666666666668</v>
      </c>
      <c r="AI34" s="169"/>
    </row>
    <row r="35" spans="1:358" s="62" customFormat="1" ht="19.5" hidden="1" customHeight="1" outlineLevel="1" thickBot="1">
      <c r="A35" s="47" t="s">
        <v>75</v>
      </c>
      <c r="B35" s="78" t="s">
        <v>27</v>
      </c>
      <c r="C35" s="55" t="s">
        <v>27</v>
      </c>
      <c r="D35" s="49"/>
      <c r="E35" s="49"/>
      <c r="F35" s="52" t="e">
        <f>AVERAGE(F31:F34)</f>
        <v>#DIV/0!</v>
      </c>
      <c r="G35" s="51"/>
      <c r="H35" s="52"/>
      <c r="I35" s="92"/>
      <c r="J35" s="55" t="e">
        <f t="shared" ref="J35:K35" si="29">AVERAGE(J31:J34)</f>
        <v>#DIV/0!</v>
      </c>
      <c r="K35" s="93">
        <f t="shared" si="29"/>
        <v>16.482500000000002</v>
      </c>
      <c r="L35" s="94">
        <f t="shared" ref="L35:Q35" si="30">AVERAGE(L31:L34)</f>
        <v>17.25</v>
      </c>
      <c r="M35" s="94">
        <f t="shared" si="30"/>
        <v>16.372499999999999</v>
      </c>
      <c r="N35" s="181">
        <f t="shared" si="30"/>
        <v>15.8125</v>
      </c>
      <c r="O35" s="181">
        <f t="shared" si="30"/>
        <v>18.166666666666668</v>
      </c>
      <c r="P35" s="56">
        <f t="shared" si="30"/>
        <v>21.574999999999999</v>
      </c>
      <c r="Q35" s="189">
        <f t="shared" si="30"/>
        <v>20.25</v>
      </c>
      <c r="R35" s="189"/>
      <c r="S35" s="185"/>
      <c r="T35" s="186">
        <f t="shared" ref="T35:AC35" si="31">AVERAGE(T31:T34)</f>
        <v>19.05</v>
      </c>
      <c r="U35" s="189">
        <f t="shared" si="31"/>
        <v>18.25</v>
      </c>
      <c r="V35" s="189">
        <f t="shared" si="31"/>
        <v>19.125</v>
      </c>
      <c r="W35" s="189">
        <f t="shared" si="31"/>
        <v>20.175000000000001</v>
      </c>
      <c r="X35" s="189">
        <f t="shared" si="31"/>
        <v>20.25</v>
      </c>
      <c r="Y35" s="189">
        <f t="shared" si="31"/>
        <v>18.375</v>
      </c>
      <c r="Z35" s="189">
        <f t="shared" si="31"/>
        <v>17.375</v>
      </c>
      <c r="AA35" s="189">
        <f t="shared" si="31"/>
        <v>17.0625</v>
      </c>
      <c r="AB35" s="189">
        <f t="shared" si="31"/>
        <v>16.25</v>
      </c>
      <c r="AC35" s="189">
        <f t="shared" si="31"/>
        <v>16</v>
      </c>
      <c r="AD35" s="59">
        <f>AVERAGE(AD31:AD34)</f>
        <v>20.291666666666668</v>
      </c>
      <c r="AE35" s="59">
        <f t="shared" ref="AE35:AG35" si="32">AVERAGE(AE31:AE34)</f>
        <v>19.183333333333334</v>
      </c>
      <c r="AF35" s="59">
        <f t="shared" si="32"/>
        <v>18.666666666666668</v>
      </c>
      <c r="AG35" s="59">
        <f t="shared" si="32"/>
        <v>16.4375</v>
      </c>
      <c r="AH35" s="59">
        <f>AVERAGE(AH31:AH34)</f>
        <v>18.644791666666666</v>
      </c>
      <c r="AI35" s="170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  <c r="DH35" s="61"/>
      <c r="DI35" s="61"/>
      <c r="DJ35" s="61"/>
      <c r="DK35" s="61"/>
      <c r="DL35" s="61"/>
      <c r="DM35" s="61"/>
      <c r="DN35" s="61"/>
      <c r="DO35" s="61"/>
      <c r="DP35" s="61"/>
      <c r="DQ35" s="61"/>
      <c r="DR35" s="61"/>
      <c r="DS35" s="61"/>
      <c r="DT35" s="61"/>
      <c r="DU35" s="61"/>
      <c r="DV35" s="61"/>
      <c r="DW35" s="61"/>
      <c r="DX35" s="61"/>
      <c r="DY35" s="61"/>
      <c r="DZ35" s="61"/>
      <c r="EA35" s="61"/>
      <c r="EB35" s="61"/>
      <c r="EC35" s="61"/>
      <c r="ED35" s="61"/>
      <c r="EE35" s="61"/>
      <c r="EF35" s="61"/>
      <c r="EG35" s="61"/>
      <c r="EH35" s="61"/>
      <c r="EI35" s="61"/>
      <c r="EJ35" s="61"/>
      <c r="EK35" s="61"/>
      <c r="EL35" s="61"/>
      <c r="EM35" s="61"/>
      <c r="EN35" s="61"/>
      <c r="EO35" s="61"/>
      <c r="EP35" s="61"/>
      <c r="EQ35" s="61"/>
      <c r="ER35" s="61"/>
      <c r="ES35" s="61"/>
      <c r="ET35" s="61"/>
      <c r="EU35" s="61"/>
      <c r="EV35" s="61"/>
      <c r="EW35" s="61"/>
      <c r="EX35" s="61"/>
      <c r="EY35" s="61"/>
      <c r="EZ35" s="61"/>
      <c r="FA35" s="61"/>
      <c r="FB35" s="61"/>
      <c r="FC35" s="61"/>
      <c r="FD35" s="61"/>
      <c r="FE35" s="61"/>
      <c r="FF35" s="61"/>
      <c r="FG35" s="61"/>
      <c r="FH35" s="61"/>
      <c r="FI35" s="61"/>
      <c r="FJ35" s="61"/>
      <c r="FK35" s="61"/>
      <c r="FL35" s="61"/>
      <c r="FM35" s="61"/>
      <c r="FN35" s="61"/>
      <c r="FO35" s="61"/>
      <c r="FP35" s="61"/>
      <c r="FQ35" s="61"/>
      <c r="FR35" s="61"/>
      <c r="FS35" s="61"/>
      <c r="FT35" s="61"/>
      <c r="FU35" s="61"/>
      <c r="FV35" s="61"/>
      <c r="FW35" s="61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1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1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1"/>
      <c r="HE35" s="61"/>
      <c r="HF35" s="61"/>
      <c r="HG35" s="61"/>
      <c r="HH35" s="61"/>
      <c r="HI35" s="61"/>
      <c r="HJ35" s="61"/>
      <c r="HK35" s="61"/>
      <c r="HL35" s="61"/>
      <c r="HM35" s="61"/>
      <c r="HN35" s="61"/>
      <c r="HO35" s="61"/>
      <c r="HP35" s="61"/>
      <c r="HQ35" s="61"/>
      <c r="HR35" s="61"/>
      <c r="HS35" s="61"/>
      <c r="HT35" s="61"/>
      <c r="HU35" s="61"/>
      <c r="HV35" s="61"/>
      <c r="HW35" s="61"/>
      <c r="HX35" s="61"/>
      <c r="HY35" s="61"/>
      <c r="HZ35" s="61"/>
      <c r="IA35" s="61"/>
      <c r="IB35" s="61"/>
      <c r="IC35" s="61"/>
      <c r="ID35" s="61"/>
      <c r="IE35" s="61"/>
      <c r="IF35" s="61"/>
      <c r="IG35" s="61"/>
      <c r="IH35" s="61"/>
      <c r="II35" s="61"/>
      <c r="IJ35" s="61"/>
      <c r="IK35" s="61"/>
      <c r="IL35" s="61"/>
      <c r="IM35" s="61"/>
      <c r="IN35" s="61"/>
      <c r="IO35" s="61"/>
      <c r="IP35" s="61"/>
      <c r="IQ35" s="61"/>
      <c r="IR35" s="61"/>
      <c r="IS35" s="61"/>
      <c r="IT35" s="61"/>
      <c r="IU35" s="61"/>
      <c r="IV35" s="61"/>
      <c r="IW35" s="61"/>
      <c r="IX35" s="61"/>
      <c r="IY35" s="61"/>
      <c r="IZ35" s="61"/>
      <c r="JA35" s="61"/>
      <c r="JB35" s="61"/>
      <c r="JC35" s="61"/>
      <c r="JD35" s="61"/>
      <c r="JE35" s="61"/>
      <c r="JF35" s="61"/>
      <c r="JG35" s="61"/>
      <c r="JH35" s="61"/>
      <c r="JI35" s="61"/>
      <c r="JJ35" s="61"/>
      <c r="JK35" s="61"/>
      <c r="JL35" s="61"/>
      <c r="JM35" s="61"/>
      <c r="JN35" s="61"/>
      <c r="JO35" s="61"/>
      <c r="JP35" s="61"/>
      <c r="JQ35" s="61"/>
      <c r="JR35" s="61"/>
      <c r="JS35" s="61"/>
      <c r="JT35" s="61"/>
      <c r="JU35" s="61"/>
      <c r="JV35" s="61"/>
      <c r="JW35" s="61"/>
      <c r="JX35" s="61"/>
      <c r="JY35" s="61"/>
      <c r="JZ35" s="61"/>
      <c r="KA35" s="61"/>
      <c r="KB35" s="61"/>
      <c r="KC35" s="61"/>
      <c r="KD35" s="61"/>
      <c r="KE35" s="61"/>
      <c r="KF35" s="61"/>
      <c r="KG35" s="61"/>
      <c r="KH35" s="61"/>
      <c r="KI35" s="61"/>
      <c r="KJ35" s="61"/>
      <c r="KK35" s="61"/>
      <c r="KL35" s="61"/>
      <c r="KM35" s="61"/>
      <c r="KN35" s="61"/>
      <c r="KO35" s="61"/>
      <c r="KP35" s="61"/>
      <c r="KQ35" s="61"/>
      <c r="KR35" s="61"/>
      <c r="KS35" s="61"/>
      <c r="KT35" s="61"/>
      <c r="KU35" s="61"/>
      <c r="KV35" s="61"/>
      <c r="KW35" s="61"/>
      <c r="KX35" s="61"/>
      <c r="KY35" s="61"/>
      <c r="KZ35" s="61"/>
      <c r="LA35" s="61"/>
      <c r="LB35" s="61"/>
      <c r="LC35" s="61"/>
      <c r="LD35" s="61"/>
      <c r="LE35" s="61"/>
      <c r="LF35" s="61"/>
      <c r="LG35" s="61"/>
      <c r="LH35" s="61"/>
      <c r="LI35" s="61"/>
      <c r="LJ35" s="61"/>
      <c r="LK35" s="61"/>
      <c r="LL35" s="61"/>
      <c r="LM35" s="61"/>
      <c r="LN35" s="61"/>
      <c r="LO35" s="61"/>
      <c r="LP35" s="61"/>
      <c r="LQ35" s="61"/>
      <c r="LR35" s="61"/>
      <c r="LS35" s="61"/>
      <c r="LT35" s="61"/>
      <c r="LU35" s="61"/>
      <c r="LV35" s="61"/>
      <c r="LW35" s="61"/>
      <c r="LX35" s="61"/>
      <c r="LY35" s="61"/>
      <c r="LZ35" s="61"/>
      <c r="MA35" s="61"/>
      <c r="MB35" s="61"/>
      <c r="MC35" s="61"/>
      <c r="MD35" s="61"/>
      <c r="ME35" s="61"/>
      <c r="MF35" s="61"/>
      <c r="MG35" s="61"/>
      <c r="MH35" s="61"/>
      <c r="MI35" s="61"/>
      <c r="MJ35" s="61"/>
      <c r="MK35" s="61"/>
      <c r="ML35" s="61"/>
      <c r="MM35" s="61"/>
      <c r="MN35" s="61"/>
      <c r="MO35" s="61"/>
      <c r="MP35" s="61"/>
      <c r="MQ35" s="61"/>
      <c r="MR35" s="61"/>
      <c r="MS35" s="61"/>
      <c r="MT35" s="61"/>
    </row>
    <row r="36" spans="1:358" ht="21.5" collapsed="1" thickBot="1">
      <c r="A36" s="245" t="s">
        <v>74</v>
      </c>
      <c r="B36" s="58"/>
      <c r="C36" s="58"/>
      <c r="D36" s="87"/>
      <c r="E36" s="58"/>
      <c r="F36" s="59"/>
      <c r="G36" s="59"/>
      <c r="H36" s="59"/>
      <c r="I36" s="59"/>
      <c r="J36" s="59"/>
      <c r="K36" s="59">
        <f>K13+K35</f>
        <v>64.782499999999999</v>
      </c>
      <c r="L36" s="59">
        <f>L13+L35</f>
        <v>64.099999999999994</v>
      </c>
      <c r="M36" s="59"/>
      <c r="N36" s="59">
        <f>N35</f>
        <v>15.8125</v>
      </c>
      <c r="O36" s="59">
        <v>17.5</v>
      </c>
      <c r="P36" s="59"/>
      <c r="Q36" s="59">
        <v>20.25</v>
      </c>
      <c r="R36" s="59"/>
      <c r="S36" s="60"/>
      <c r="T36" s="60">
        <v>19.05</v>
      </c>
      <c r="U36" s="59">
        <v>18.25</v>
      </c>
      <c r="V36" s="59">
        <v>19.125</v>
      </c>
      <c r="W36" s="59">
        <v>20.175000000000001</v>
      </c>
      <c r="X36" s="59">
        <v>20.25</v>
      </c>
      <c r="Y36" s="59">
        <v>18.375</v>
      </c>
      <c r="Z36" s="59">
        <v>17.375</v>
      </c>
      <c r="AA36" s="59">
        <v>17.0625</v>
      </c>
      <c r="AB36" s="59">
        <v>16.25</v>
      </c>
      <c r="AC36" s="59">
        <v>16</v>
      </c>
      <c r="AD36" s="95">
        <v>20.291666666666668</v>
      </c>
      <c r="AE36" s="95">
        <v>19.183333333333334</v>
      </c>
      <c r="AF36" s="95">
        <v>18.666666666666668</v>
      </c>
      <c r="AG36" s="95">
        <v>16.4375</v>
      </c>
      <c r="AH36" s="59">
        <v>18.644791666666666</v>
      </c>
      <c r="AI36" s="169">
        <v>16</v>
      </c>
    </row>
    <row r="37" spans="1:358" ht="21.5" thickBot="1">
      <c r="A37" s="227" t="s">
        <v>34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/>
      <c r="L37" s="162"/>
      <c r="M37" s="162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23"/>
      <c r="AE37" s="23"/>
      <c r="AF37" s="23"/>
      <c r="AG37" s="23"/>
      <c r="AH37" s="7"/>
      <c r="AI37" s="169"/>
    </row>
    <row r="38" spans="1:358" ht="16.5" hidden="1" customHeight="1" outlineLevel="1">
      <c r="A38" s="196"/>
      <c r="B38" s="88" t="s">
        <v>1</v>
      </c>
      <c r="C38" s="88" t="str">
        <f>C27</f>
        <v>Forecast</v>
      </c>
      <c r="D38" s="65"/>
      <c r="E38" s="65" t="s">
        <v>3</v>
      </c>
      <c r="F38" s="20" t="s">
        <v>4</v>
      </c>
      <c r="G38" s="20" t="s">
        <v>5</v>
      </c>
      <c r="H38" s="20" t="s">
        <v>6</v>
      </c>
      <c r="I38" s="20" t="s">
        <v>7</v>
      </c>
      <c r="J38" s="66" t="s">
        <v>2</v>
      </c>
      <c r="K38" s="20" t="s">
        <v>8</v>
      </c>
      <c r="L38" s="20" t="s">
        <v>9</v>
      </c>
      <c r="M38" s="20" t="s">
        <v>9</v>
      </c>
      <c r="N38" s="20" t="s">
        <v>12</v>
      </c>
      <c r="O38" s="20" t="s">
        <v>13</v>
      </c>
      <c r="P38" s="20" t="s">
        <v>14</v>
      </c>
      <c r="Q38" s="20" t="s">
        <v>15</v>
      </c>
      <c r="R38" s="23" t="s">
        <v>10</v>
      </c>
      <c r="S38" s="67" t="s">
        <v>11</v>
      </c>
      <c r="T38" s="67" t="s">
        <v>16</v>
      </c>
      <c r="U38" s="24" t="s">
        <v>64</v>
      </c>
      <c r="V38" s="24" t="s">
        <v>65</v>
      </c>
      <c r="W38" s="24" t="s">
        <v>66</v>
      </c>
      <c r="X38" s="24" t="s">
        <v>67</v>
      </c>
      <c r="Y38" s="23" t="s">
        <v>68</v>
      </c>
      <c r="Z38" s="23" t="s">
        <v>69</v>
      </c>
      <c r="AA38" s="23" t="s">
        <v>70</v>
      </c>
      <c r="AB38" s="23" t="s">
        <v>77</v>
      </c>
      <c r="AC38" s="23" t="s">
        <v>78</v>
      </c>
      <c r="AD38" s="671" t="s">
        <v>79</v>
      </c>
      <c r="AE38" s="671" t="s">
        <v>80</v>
      </c>
      <c r="AF38" s="671" t="s">
        <v>81</v>
      </c>
      <c r="AG38" s="671" t="s">
        <v>82</v>
      </c>
      <c r="AH38" s="671">
        <v>2016</v>
      </c>
      <c r="AI38" s="169"/>
    </row>
    <row r="39" spans="1:358" ht="16.5" hidden="1" customHeight="1" outlineLevel="1">
      <c r="A39" s="25"/>
      <c r="B39" s="26"/>
      <c r="C39" s="26"/>
      <c r="D39" s="27"/>
      <c r="E39" s="673"/>
      <c r="F39" s="673"/>
      <c r="G39" s="673"/>
      <c r="H39" s="673"/>
      <c r="I39" s="673"/>
      <c r="J39" s="28" t="str">
        <f>$J$6</f>
        <v>(8-12 Jun)</v>
      </c>
      <c r="K39" s="673"/>
      <c r="L39" s="250" t="s">
        <v>20</v>
      </c>
      <c r="M39" s="250" t="s">
        <v>63</v>
      </c>
      <c r="N39" s="673"/>
      <c r="O39" s="673"/>
      <c r="P39" s="673"/>
      <c r="Q39" s="673"/>
      <c r="R39" s="673">
        <v>42370</v>
      </c>
      <c r="S39" s="29">
        <v>42401</v>
      </c>
      <c r="T39" s="30"/>
      <c r="U39" s="673"/>
      <c r="V39" s="673"/>
      <c r="W39" s="673"/>
      <c r="X39" s="673"/>
      <c r="Y39" s="673"/>
      <c r="Z39" s="673"/>
      <c r="AA39" s="673"/>
      <c r="AB39" s="673"/>
      <c r="AC39" s="673"/>
      <c r="AD39" s="672"/>
      <c r="AE39" s="672"/>
      <c r="AF39" s="672"/>
      <c r="AG39" s="672"/>
      <c r="AH39" s="672"/>
      <c r="AI39" s="169"/>
    </row>
    <row r="40" spans="1:358" ht="21" hidden="1" customHeight="1" outlineLevel="1">
      <c r="A40" s="31" t="s">
        <v>35</v>
      </c>
      <c r="B40" s="68">
        <v>13.72</v>
      </c>
      <c r="C40" s="68" t="str">
        <f>C29</f>
        <v>Previous WK</v>
      </c>
      <c r="D40" s="27"/>
      <c r="E40" s="674">
        <v>13.53</v>
      </c>
      <c r="F40" s="674"/>
      <c r="G40" s="674"/>
      <c r="H40" s="674"/>
      <c r="I40" s="674"/>
      <c r="J40" s="69"/>
      <c r="K40" s="674"/>
      <c r="L40" s="33"/>
      <c r="M40" s="33"/>
      <c r="N40" s="674"/>
      <c r="O40" s="674"/>
      <c r="P40" s="674"/>
      <c r="Q40" s="674"/>
      <c r="R40" s="674"/>
      <c r="S40" s="187"/>
      <c r="T40" s="188"/>
      <c r="U40" s="674"/>
      <c r="V40" s="674"/>
      <c r="W40" s="674"/>
      <c r="X40" s="674"/>
      <c r="Y40" s="674"/>
      <c r="Z40" s="674"/>
      <c r="AA40" s="674"/>
      <c r="AB40" s="674"/>
      <c r="AC40" s="674"/>
      <c r="AD40" s="38"/>
      <c r="AE40" s="40"/>
      <c r="AF40" s="40"/>
      <c r="AG40" s="40"/>
      <c r="AH40" s="40"/>
      <c r="AI40" s="169"/>
    </row>
    <row r="41" spans="1:358" s="77" customFormat="1" ht="21" hidden="1" customHeight="1" outlineLevel="1">
      <c r="A41" s="89"/>
      <c r="B41" s="96"/>
      <c r="C41" s="97"/>
      <c r="D41" s="98"/>
      <c r="E41" s="99"/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100"/>
      <c r="T41" s="100"/>
      <c r="U41" s="39"/>
      <c r="V41" s="39"/>
      <c r="W41" s="39"/>
      <c r="X41" s="39"/>
      <c r="Y41" s="38"/>
      <c r="Z41" s="38"/>
      <c r="AA41" s="38"/>
      <c r="AB41" s="38"/>
      <c r="AC41" s="38"/>
      <c r="AD41" s="44"/>
      <c r="AE41" s="44"/>
      <c r="AF41" s="44"/>
      <c r="AG41" s="44"/>
      <c r="AH41" s="44"/>
      <c r="AI41" s="169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45"/>
      <c r="CY41" s="45"/>
      <c r="CZ41" s="45"/>
      <c r="DA41" s="45"/>
      <c r="DB41" s="45"/>
      <c r="DC41" s="45"/>
      <c r="DD41" s="45"/>
      <c r="DE41" s="45"/>
      <c r="DF41" s="45"/>
      <c r="DG41" s="45"/>
      <c r="DH41" s="45"/>
      <c r="DI41" s="45"/>
      <c r="DJ41" s="45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5"/>
      <c r="DY41" s="45"/>
      <c r="DZ41" s="45"/>
      <c r="EA41" s="45"/>
      <c r="EB41" s="45"/>
      <c r="EC41" s="45"/>
      <c r="ED41" s="45"/>
      <c r="EE41" s="45"/>
      <c r="EF41" s="45"/>
      <c r="EG41" s="45"/>
      <c r="EH41" s="45"/>
      <c r="EI41" s="45"/>
      <c r="EJ41" s="45"/>
      <c r="EK41" s="45"/>
      <c r="EL41" s="45"/>
      <c r="EM41" s="45"/>
      <c r="EN41" s="45"/>
      <c r="EO41" s="45"/>
      <c r="EP41" s="45"/>
      <c r="EQ41" s="45"/>
      <c r="ER41" s="45"/>
      <c r="ES41" s="45"/>
      <c r="ET41" s="45"/>
      <c r="EU41" s="45"/>
      <c r="EV41" s="45"/>
      <c r="EW41" s="45"/>
      <c r="EX41" s="45"/>
      <c r="EY41" s="45"/>
      <c r="EZ41" s="45"/>
      <c r="FA41" s="45"/>
      <c r="FB41" s="45"/>
      <c r="FC41" s="45"/>
      <c r="FD41" s="45"/>
      <c r="FE41" s="45"/>
      <c r="FF41" s="45"/>
      <c r="FG41" s="45"/>
      <c r="FH41" s="45"/>
      <c r="FI41" s="45"/>
      <c r="FJ41" s="45"/>
      <c r="FK41" s="45"/>
      <c r="FL41" s="45"/>
      <c r="FM41" s="45"/>
      <c r="FN41" s="45"/>
      <c r="FO41" s="45"/>
      <c r="FP41" s="45"/>
      <c r="FQ41" s="45"/>
      <c r="FR41" s="45"/>
      <c r="FS41" s="45"/>
      <c r="FT41" s="45"/>
      <c r="FU41" s="45"/>
      <c r="FV41" s="45"/>
      <c r="FW41" s="45"/>
      <c r="FX41" s="45"/>
      <c r="FY41" s="45"/>
      <c r="FZ41" s="45"/>
      <c r="GA41" s="45"/>
      <c r="GB41" s="45"/>
      <c r="GC41" s="45"/>
      <c r="GD41" s="45"/>
      <c r="GE41" s="45"/>
      <c r="GF41" s="45"/>
      <c r="GG41" s="45"/>
      <c r="GH41" s="45"/>
      <c r="GI41" s="45"/>
      <c r="GJ41" s="45"/>
      <c r="GK41" s="45"/>
      <c r="GL41" s="45"/>
      <c r="GM41" s="45"/>
      <c r="GN41" s="45"/>
      <c r="GO41" s="45"/>
      <c r="GP41" s="45"/>
      <c r="GQ41" s="45"/>
      <c r="GR41" s="45"/>
      <c r="GS41" s="45"/>
      <c r="GT41" s="45"/>
      <c r="GU41" s="45"/>
      <c r="GV41" s="45"/>
      <c r="GW41" s="45"/>
      <c r="GX41" s="45"/>
      <c r="GY41" s="45"/>
      <c r="GZ41" s="45"/>
      <c r="HA41" s="45"/>
      <c r="HB41" s="45"/>
      <c r="HC41" s="45"/>
      <c r="HD41" s="45"/>
      <c r="HE41" s="45"/>
      <c r="HF41" s="45"/>
      <c r="HG41" s="45"/>
      <c r="HH41" s="45"/>
      <c r="HI41" s="45"/>
      <c r="HJ41" s="45"/>
      <c r="HK41" s="45"/>
      <c r="HL41" s="45"/>
      <c r="HM41" s="45"/>
      <c r="HN41" s="45"/>
      <c r="HO41" s="45"/>
      <c r="HP41" s="45"/>
      <c r="HQ41" s="45"/>
      <c r="HR41" s="45"/>
      <c r="HS41" s="45"/>
      <c r="HT41" s="45"/>
      <c r="HU41" s="45"/>
      <c r="HV41" s="45"/>
      <c r="HW41" s="45"/>
      <c r="HX41" s="45"/>
      <c r="HY41" s="45"/>
      <c r="HZ41" s="45"/>
      <c r="IA41" s="45"/>
      <c r="IB41" s="45"/>
      <c r="IC41" s="45"/>
      <c r="ID41" s="45"/>
      <c r="IE41" s="45"/>
      <c r="IF41" s="45"/>
      <c r="IG41" s="45"/>
      <c r="IH41" s="45"/>
      <c r="II41" s="45"/>
      <c r="IJ41" s="45"/>
      <c r="IK41" s="45"/>
      <c r="IL41" s="45"/>
      <c r="IM41" s="45"/>
      <c r="IN41" s="45"/>
      <c r="IO41" s="45"/>
      <c r="IP41" s="45"/>
      <c r="IQ41" s="45"/>
      <c r="IR41" s="45"/>
      <c r="IS41" s="45"/>
      <c r="IT41" s="45"/>
      <c r="IU41" s="45"/>
      <c r="IV41" s="45"/>
      <c r="IW41" s="45"/>
      <c r="IX41" s="45"/>
      <c r="IY41" s="45"/>
      <c r="IZ41" s="45"/>
      <c r="JA41" s="45"/>
      <c r="JB41" s="45"/>
      <c r="JC41" s="45"/>
      <c r="JD41" s="45"/>
      <c r="JE41" s="45"/>
      <c r="JF41" s="45"/>
      <c r="JG41" s="45"/>
      <c r="JH41" s="45"/>
      <c r="JI41" s="45"/>
      <c r="JJ41" s="45"/>
      <c r="JK41" s="45"/>
      <c r="JL41" s="45"/>
      <c r="JM41" s="45"/>
      <c r="JN41" s="45"/>
      <c r="JO41" s="45"/>
      <c r="JP41" s="45"/>
      <c r="JQ41" s="45"/>
      <c r="JR41" s="45"/>
      <c r="JS41" s="45"/>
      <c r="JT41" s="45"/>
      <c r="JU41" s="45"/>
      <c r="JV41" s="45"/>
      <c r="JW41" s="45"/>
      <c r="JX41" s="45"/>
      <c r="JY41" s="45"/>
      <c r="JZ41" s="45"/>
      <c r="KA41" s="45"/>
      <c r="KB41" s="45"/>
      <c r="KC41" s="45"/>
      <c r="KD41" s="45"/>
      <c r="KE41" s="45"/>
      <c r="KF41" s="45"/>
      <c r="KG41" s="45"/>
      <c r="KH41" s="45"/>
      <c r="KI41" s="45"/>
      <c r="KJ41" s="45"/>
      <c r="KK41" s="45"/>
      <c r="KL41" s="45"/>
      <c r="KM41" s="45"/>
      <c r="KN41" s="45"/>
      <c r="KO41" s="45"/>
      <c r="KP41" s="45"/>
      <c r="KQ41" s="45"/>
      <c r="KR41" s="45"/>
      <c r="KS41" s="45"/>
      <c r="KT41" s="45"/>
      <c r="KU41" s="45"/>
      <c r="KV41" s="45"/>
      <c r="KW41" s="45"/>
      <c r="KX41" s="45"/>
      <c r="KY41" s="45"/>
      <c r="KZ41" s="45"/>
      <c r="LA41" s="45"/>
      <c r="LB41" s="45"/>
      <c r="LC41" s="45"/>
      <c r="LD41" s="45"/>
      <c r="LE41" s="45"/>
      <c r="LF41" s="45"/>
      <c r="LG41" s="45"/>
      <c r="LH41" s="45"/>
      <c r="LI41" s="45"/>
      <c r="LJ41" s="45"/>
      <c r="LK41" s="45"/>
      <c r="LL41" s="45"/>
      <c r="LM41" s="45"/>
      <c r="LN41" s="45"/>
      <c r="LO41" s="45"/>
      <c r="LP41" s="45"/>
      <c r="LQ41" s="45"/>
      <c r="LR41" s="45"/>
      <c r="LS41" s="45"/>
      <c r="LT41" s="45"/>
      <c r="LU41" s="45"/>
      <c r="LV41" s="45"/>
      <c r="LW41" s="45"/>
      <c r="LX41" s="45"/>
      <c r="LY41" s="45"/>
      <c r="LZ41" s="45"/>
      <c r="MA41" s="45"/>
      <c r="MB41" s="45"/>
      <c r="MC41" s="45"/>
      <c r="MD41" s="45"/>
      <c r="ME41" s="45"/>
      <c r="MF41" s="45"/>
      <c r="MG41" s="45"/>
      <c r="MH41" s="45"/>
      <c r="MI41" s="45"/>
      <c r="MJ41" s="45"/>
      <c r="MK41" s="45"/>
      <c r="ML41" s="45"/>
      <c r="MM41" s="45"/>
      <c r="MN41" s="45"/>
      <c r="MO41" s="45"/>
      <c r="MP41" s="45"/>
      <c r="MQ41" s="45"/>
      <c r="MR41" s="45"/>
      <c r="MS41" s="45"/>
      <c r="MT41" s="45"/>
    </row>
    <row r="42" spans="1:358" ht="60.75" hidden="1" customHeight="1" outlineLevel="1">
      <c r="A42" s="675" t="s">
        <v>23</v>
      </c>
      <c r="B42" s="676">
        <f>C42-$B$40</f>
        <v>-0.22000000000000064</v>
      </c>
      <c r="C42" s="676">
        <v>13.5</v>
      </c>
      <c r="D42" s="41"/>
      <c r="E42" s="41"/>
      <c r="F42" s="76"/>
      <c r="G42" s="76"/>
      <c r="H42" s="76"/>
      <c r="I42" s="76"/>
      <c r="J42" s="43"/>
      <c r="K42" s="76">
        <v>13.2</v>
      </c>
      <c r="L42" s="76">
        <v>13.9</v>
      </c>
      <c r="M42" s="76">
        <v>13.5</v>
      </c>
      <c r="N42" s="76">
        <v>14.5</v>
      </c>
      <c r="O42" s="76">
        <v>13.5</v>
      </c>
      <c r="P42" s="222">
        <v>11.5</v>
      </c>
      <c r="Q42" s="76">
        <v>11.5</v>
      </c>
      <c r="R42" s="44" t="s">
        <v>90</v>
      </c>
      <c r="S42" s="216" t="s">
        <v>84</v>
      </c>
      <c r="T42" s="217">
        <v>10.75</v>
      </c>
      <c r="U42" s="44">
        <v>11.5</v>
      </c>
      <c r="V42" s="44">
        <v>11.25</v>
      </c>
      <c r="W42" s="44">
        <v>12</v>
      </c>
      <c r="X42" s="44">
        <v>11.75</v>
      </c>
      <c r="Y42" s="44">
        <v>11.5</v>
      </c>
      <c r="Z42" s="44">
        <v>12.5</v>
      </c>
      <c r="AA42" s="44">
        <v>13</v>
      </c>
      <c r="AB42" s="44">
        <v>13.75</v>
      </c>
      <c r="AC42" s="44">
        <v>14</v>
      </c>
      <c r="AD42" s="54">
        <f>AVERAGE(P42:T42)</f>
        <v>11.25</v>
      </c>
      <c r="AE42" s="54">
        <f>AVERAGE(U42:W42)</f>
        <v>11.583333333333334</v>
      </c>
      <c r="AF42" s="54">
        <f>AVERAGE(X42:Z42)</f>
        <v>11.916666666666666</v>
      </c>
      <c r="AG42" s="54">
        <f>AVERAGE(AA42:AC42)</f>
        <v>13.583333333333334</v>
      </c>
      <c r="AH42" s="54">
        <f>AVERAGE(P42:AC42)</f>
        <v>12.083333333333334</v>
      </c>
      <c r="AI42" s="169"/>
    </row>
    <row r="43" spans="1:358" ht="60.75" hidden="1" customHeight="1" outlineLevel="1">
      <c r="A43" s="47" t="s">
        <v>24</v>
      </c>
      <c r="B43" s="78">
        <f t="shared" ref="B43" si="33">C43-$B$31</f>
        <v>13.809999999999999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13.4</v>
      </c>
      <c r="L43" s="191">
        <v>13.3</v>
      </c>
      <c r="M43" s="154">
        <v>13</v>
      </c>
      <c r="N43" s="191">
        <v>13.8</v>
      </c>
      <c r="O43" s="191"/>
      <c r="P43" s="56">
        <v>12.099999999999998</v>
      </c>
      <c r="Q43" s="189">
        <v>12.200000000000003</v>
      </c>
      <c r="R43" s="181" t="s">
        <v>103</v>
      </c>
      <c r="S43" s="185" t="s">
        <v>104</v>
      </c>
      <c r="T43" s="186">
        <v>12.200000000000003</v>
      </c>
      <c r="U43" s="181">
        <v>12.100000000000001</v>
      </c>
      <c r="V43" s="181">
        <v>12</v>
      </c>
      <c r="W43" s="181">
        <v>11.399999999999999</v>
      </c>
      <c r="X43" s="181">
        <v>11.200000000000003</v>
      </c>
      <c r="Y43" s="181">
        <v>11.899999999999999</v>
      </c>
      <c r="Z43" s="181">
        <v>12.100000000000001</v>
      </c>
      <c r="AA43" s="181">
        <v>13</v>
      </c>
      <c r="AB43" s="181">
        <v>13.5</v>
      </c>
      <c r="AC43" s="181">
        <v>13.5</v>
      </c>
      <c r="AD43" s="54">
        <f>AVERAGE(P43:T43)</f>
        <v>12.166666666666666</v>
      </c>
      <c r="AE43" s="54">
        <f t="shared" ref="AE43:AE45" si="34">AVERAGE(U43:W43)</f>
        <v>11.833333333333334</v>
      </c>
      <c r="AF43" s="54">
        <f t="shared" ref="AF43:AF45" si="35">AVERAGE(X43:Z43)</f>
        <v>11.733333333333334</v>
      </c>
      <c r="AG43" s="54">
        <f t="shared" ref="AG43:AG45" si="36">AVERAGE(AA43:AC43)</f>
        <v>13.333333333333334</v>
      </c>
      <c r="AH43" s="54">
        <f>AVERAGE(P43:AC43)</f>
        <v>12.266666666666666</v>
      </c>
      <c r="AI43" s="169"/>
    </row>
    <row r="44" spans="1:358" ht="60.75" hidden="1" customHeight="1" outlineLevel="1">
      <c r="A44" s="47" t="s">
        <v>25</v>
      </c>
      <c r="B44" s="78">
        <f t="shared" ref="B44" si="37">C44-$B$40</f>
        <v>8.0000000000000071E-2</v>
      </c>
      <c r="C44" s="55">
        <v>13.8</v>
      </c>
      <c r="D44" s="49"/>
      <c r="E44" s="49"/>
      <c r="F44" s="56"/>
      <c r="G44" s="57"/>
      <c r="H44" s="56"/>
      <c r="I44" s="56"/>
      <c r="J44" s="55"/>
      <c r="K44" s="189">
        <v>12.5</v>
      </c>
      <c r="L44" s="191">
        <v>13.2</v>
      </c>
      <c r="M44" s="154">
        <v>13.2</v>
      </c>
      <c r="N44" s="191">
        <v>14.5</v>
      </c>
      <c r="O44" s="184">
        <v>15.25</v>
      </c>
      <c r="P44" s="56">
        <v>11.5</v>
      </c>
      <c r="Q44" s="183">
        <v>11.5</v>
      </c>
      <c r="R44" s="175" t="s">
        <v>118</v>
      </c>
      <c r="S44" s="185" t="s">
        <v>36</v>
      </c>
      <c r="T44" s="186">
        <v>11.5</v>
      </c>
      <c r="U44" s="175">
        <v>11.6</v>
      </c>
      <c r="V44" s="175">
        <v>11</v>
      </c>
      <c r="W44" s="175">
        <v>11</v>
      </c>
      <c r="X44" s="175">
        <v>11</v>
      </c>
      <c r="Y44" s="175">
        <v>11</v>
      </c>
      <c r="Z44" s="175">
        <v>11.5</v>
      </c>
      <c r="AA44" s="175">
        <v>11.5</v>
      </c>
      <c r="AB44" s="175">
        <v>12</v>
      </c>
      <c r="AC44" s="175">
        <v>12</v>
      </c>
      <c r="AD44" s="190">
        <f>AVERAGE(P44:T44)</f>
        <v>11.5</v>
      </c>
      <c r="AE44" s="190">
        <f t="shared" ref="AE44" si="38">AVERAGE(U44:W44)</f>
        <v>11.200000000000001</v>
      </c>
      <c r="AF44" s="190">
        <f t="shared" ref="AF44" si="39">AVERAGE(X44:Z44)</f>
        <v>11.166666666666666</v>
      </c>
      <c r="AG44" s="190">
        <f t="shared" ref="AG44" si="40">AVERAGE(AA44:AC44)</f>
        <v>11.833333333333334</v>
      </c>
      <c r="AH44" s="54">
        <f>AVERAGE(P44:AC44)</f>
        <v>11.424999999999999</v>
      </c>
      <c r="AI44" s="169"/>
    </row>
    <row r="45" spans="1:358" ht="60.75" hidden="1" customHeight="1" outlineLevel="1" thickBot="1">
      <c r="A45" s="47" t="s">
        <v>26</v>
      </c>
      <c r="B45" s="78" t="e">
        <f>C45-#REF!</f>
        <v>#REF!</v>
      </c>
      <c r="C45" s="55">
        <v>12.8</v>
      </c>
      <c r="D45" s="49"/>
      <c r="E45" s="49"/>
      <c r="F45" s="52"/>
      <c r="G45" s="57"/>
      <c r="H45" s="56"/>
      <c r="I45" s="56"/>
      <c r="J45" s="55"/>
      <c r="K45" s="189">
        <v>13.34</v>
      </c>
      <c r="L45" s="191">
        <v>13.34</v>
      </c>
      <c r="M45" s="154">
        <v>13.68</v>
      </c>
      <c r="N45" s="191">
        <v>14.12</v>
      </c>
      <c r="O45" s="191">
        <v>14</v>
      </c>
      <c r="P45" s="56">
        <v>11.549999999999999</v>
      </c>
      <c r="Q45" s="189">
        <v>11.899999999999999</v>
      </c>
      <c r="R45" s="189"/>
      <c r="S45" s="185"/>
      <c r="T45" s="186">
        <v>10.33</v>
      </c>
      <c r="U45" s="181">
        <v>10.199999999999999</v>
      </c>
      <c r="V45" s="181">
        <v>11.91</v>
      </c>
      <c r="W45" s="181">
        <v>12.43</v>
      </c>
      <c r="X45" s="181">
        <v>11.8</v>
      </c>
      <c r="Y45" s="181">
        <v>11.5</v>
      </c>
      <c r="Z45" s="181">
        <v>11.3</v>
      </c>
      <c r="AA45" s="181">
        <v>12.7</v>
      </c>
      <c r="AB45" s="181">
        <v>14.649999999999999</v>
      </c>
      <c r="AC45" s="181">
        <v>14.7</v>
      </c>
      <c r="AD45" s="54">
        <v>14.389999999999999</v>
      </c>
      <c r="AE45" s="54">
        <f t="shared" si="34"/>
        <v>11.513333333333334</v>
      </c>
      <c r="AF45" s="54">
        <f t="shared" si="35"/>
        <v>11.533333333333333</v>
      </c>
      <c r="AG45" s="54">
        <f t="shared" si="36"/>
        <v>14.016666666666666</v>
      </c>
      <c r="AH45" s="54">
        <f>AVERAGE(P45:AC45)</f>
        <v>12.080833333333331</v>
      </c>
      <c r="AI45" s="169"/>
    </row>
    <row r="46" spans="1:358" s="62" customFormat="1" ht="19.5" hidden="1" customHeight="1" outlineLevel="1" thickBot="1">
      <c r="A46" s="47" t="s">
        <v>75</v>
      </c>
      <c r="B46" s="48" t="s">
        <v>27</v>
      </c>
      <c r="C46" s="55" t="s">
        <v>27</v>
      </c>
      <c r="D46" s="49"/>
      <c r="E46" s="49"/>
      <c r="F46" s="52"/>
      <c r="G46" s="51"/>
      <c r="H46" s="52"/>
      <c r="I46" s="52"/>
      <c r="J46" s="55" t="e">
        <f t="shared" ref="J46:K46" si="41">AVERAGE(J42:J45)</f>
        <v>#DIV/0!</v>
      </c>
      <c r="K46" s="181">
        <f t="shared" si="41"/>
        <v>13.11</v>
      </c>
      <c r="L46" s="101">
        <f t="shared" ref="L46:Q46" si="42">AVERAGE(L42:L45)</f>
        <v>13.435000000000002</v>
      </c>
      <c r="M46" s="101">
        <f t="shared" si="42"/>
        <v>13.345000000000001</v>
      </c>
      <c r="N46" s="182">
        <f t="shared" si="42"/>
        <v>14.229999999999999</v>
      </c>
      <c r="O46" s="182">
        <f t="shared" si="42"/>
        <v>14.25</v>
      </c>
      <c r="P46" s="56">
        <f t="shared" si="42"/>
        <v>11.662499999999998</v>
      </c>
      <c r="Q46" s="189">
        <f t="shared" si="42"/>
        <v>11.775</v>
      </c>
      <c r="R46" s="181"/>
      <c r="S46" s="185"/>
      <c r="T46" s="186">
        <f t="shared" ref="T46:AG46" si="43">AVERAGE(T42:T45)</f>
        <v>11.195</v>
      </c>
      <c r="U46" s="181">
        <f t="shared" si="43"/>
        <v>11.350000000000001</v>
      </c>
      <c r="V46" s="181">
        <f t="shared" si="43"/>
        <v>11.54</v>
      </c>
      <c r="W46" s="181">
        <f t="shared" si="43"/>
        <v>11.7075</v>
      </c>
      <c r="X46" s="181">
        <f t="shared" si="43"/>
        <v>11.4375</v>
      </c>
      <c r="Y46" s="181">
        <f t="shared" si="43"/>
        <v>11.475</v>
      </c>
      <c r="Z46" s="181">
        <f t="shared" si="43"/>
        <v>11.850000000000001</v>
      </c>
      <c r="AA46" s="181">
        <f t="shared" si="43"/>
        <v>12.55</v>
      </c>
      <c r="AB46" s="181">
        <f t="shared" si="43"/>
        <v>13.475</v>
      </c>
      <c r="AC46" s="181">
        <f t="shared" si="43"/>
        <v>13.55</v>
      </c>
      <c r="AD46" s="59">
        <f t="shared" si="43"/>
        <v>12.326666666666666</v>
      </c>
      <c r="AE46" s="59">
        <f t="shared" si="43"/>
        <v>11.532500000000001</v>
      </c>
      <c r="AF46" s="59">
        <f t="shared" si="43"/>
        <v>11.587499999999999</v>
      </c>
      <c r="AG46" s="59">
        <f t="shared" si="43"/>
        <v>13.191666666666666</v>
      </c>
      <c r="AH46" s="59">
        <f>AVERAGE(AH42:AH45)</f>
        <v>11.963958333333332</v>
      </c>
      <c r="AI46" s="169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  <c r="DQ46" s="61"/>
      <c r="DR46" s="61"/>
      <c r="DS46" s="61"/>
      <c r="DT46" s="61"/>
      <c r="DU46" s="61"/>
      <c r="DV46" s="61"/>
      <c r="DW46" s="61"/>
      <c r="DX46" s="61"/>
      <c r="DY46" s="61"/>
      <c r="DZ46" s="61"/>
      <c r="EA46" s="61"/>
      <c r="EB46" s="61"/>
      <c r="EC46" s="61"/>
      <c r="ED46" s="61"/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  <c r="EV46" s="61"/>
      <c r="EW46" s="61"/>
      <c r="EX46" s="61"/>
      <c r="EY46" s="61"/>
      <c r="EZ46" s="61"/>
      <c r="FA46" s="61"/>
      <c r="FB46" s="61"/>
      <c r="FC46" s="61"/>
      <c r="FD46" s="61"/>
      <c r="FE46" s="61"/>
      <c r="FF46" s="61"/>
      <c r="FG46" s="61"/>
      <c r="FH46" s="61"/>
      <c r="FI46" s="61"/>
      <c r="FJ46" s="61"/>
      <c r="FK46" s="61"/>
      <c r="FL46" s="61"/>
      <c r="FM46" s="61"/>
      <c r="FN46" s="61"/>
      <c r="FO46" s="61"/>
      <c r="FP46" s="61"/>
      <c r="FQ46" s="61"/>
      <c r="FR46" s="61"/>
      <c r="FS46" s="61"/>
      <c r="FT46" s="61"/>
      <c r="FU46" s="61"/>
      <c r="FV46" s="61"/>
      <c r="FW46" s="61"/>
      <c r="FX46" s="61"/>
      <c r="FY46" s="61"/>
      <c r="FZ46" s="61"/>
      <c r="GA46" s="61"/>
      <c r="GB46" s="61"/>
      <c r="GC46" s="61"/>
      <c r="GD46" s="61"/>
      <c r="GE46" s="61"/>
      <c r="GF46" s="61"/>
      <c r="GG46" s="61"/>
      <c r="GH46" s="61"/>
      <c r="GI46" s="61"/>
      <c r="GJ46" s="61"/>
      <c r="GK46" s="61"/>
      <c r="GL46" s="61"/>
      <c r="GM46" s="61"/>
      <c r="GN46" s="61"/>
      <c r="GO46" s="61"/>
      <c r="GP46" s="61"/>
      <c r="GQ46" s="61"/>
      <c r="GR46" s="61"/>
      <c r="GS46" s="61"/>
      <c r="GT46" s="61"/>
      <c r="GU46" s="61"/>
      <c r="GV46" s="61"/>
      <c r="GW46" s="61"/>
      <c r="GX46" s="61"/>
      <c r="GY46" s="61"/>
      <c r="GZ46" s="61"/>
      <c r="HA46" s="61"/>
      <c r="HB46" s="61"/>
      <c r="HC46" s="61"/>
      <c r="HD46" s="61"/>
      <c r="HE46" s="61"/>
      <c r="HF46" s="61"/>
      <c r="HG46" s="61"/>
      <c r="HH46" s="61"/>
      <c r="HI46" s="61"/>
      <c r="HJ46" s="61"/>
      <c r="HK46" s="61"/>
      <c r="HL46" s="61"/>
      <c r="HM46" s="61"/>
      <c r="HN46" s="61"/>
      <c r="HO46" s="61"/>
      <c r="HP46" s="61"/>
      <c r="HQ46" s="61"/>
      <c r="HR46" s="61"/>
      <c r="HS46" s="61"/>
      <c r="HT46" s="61"/>
      <c r="HU46" s="61"/>
      <c r="HV46" s="61"/>
      <c r="HW46" s="61"/>
      <c r="HX46" s="61"/>
      <c r="HY46" s="61"/>
      <c r="HZ46" s="61"/>
      <c r="IA46" s="61"/>
      <c r="IB46" s="61"/>
      <c r="IC46" s="61"/>
      <c r="ID46" s="61"/>
      <c r="IE46" s="61"/>
      <c r="IF46" s="61"/>
      <c r="IG46" s="61"/>
      <c r="IH46" s="61"/>
      <c r="II46" s="61"/>
      <c r="IJ46" s="61"/>
      <c r="IK46" s="61"/>
      <c r="IL46" s="61"/>
      <c r="IM46" s="61"/>
      <c r="IN46" s="61"/>
      <c r="IO46" s="61"/>
      <c r="IP46" s="61"/>
      <c r="IQ46" s="61"/>
      <c r="IR46" s="61"/>
      <c r="IS46" s="61"/>
      <c r="IT46" s="61"/>
      <c r="IU46" s="61"/>
      <c r="IV46" s="61"/>
      <c r="IW46" s="61"/>
      <c r="IX46" s="61"/>
      <c r="IY46" s="61"/>
      <c r="IZ46" s="61"/>
      <c r="JA46" s="61"/>
      <c r="JB46" s="61"/>
      <c r="JC46" s="61"/>
      <c r="JD46" s="61"/>
      <c r="JE46" s="61"/>
      <c r="JF46" s="61"/>
      <c r="JG46" s="61"/>
      <c r="JH46" s="61"/>
      <c r="JI46" s="61"/>
      <c r="JJ46" s="61"/>
      <c r="JK46" s="61"/>
      <c r="JL46" s="61"/>
      <c r="JM46" s="61"/>
      <c r="JN46" s="61"/>
      <c r="JO46" s="61"/>
      <c r="JP46" s="61"/>
      <c r="JQ46" s="61"/>
      <c r="JR46" s="61"/>
      <c r="JS46" s="61"/>
      <c r="JT46" s="61"/>
      <c r="JU46" s="61"/>
      <c r="JV46" s="61"/>
      <c r="JW46" s="61"/>
      <c r="JX46" s="61"/>
      <c r="JY46" s="61"/>
      <c r="JZ46" s="61"/>
      <c r="KA46" s="61"/>
      <c r="KB46" s="61"/>
      <c r="KC46" s="61"/>
      <c r="KD46" s="61"/>
      <c r="KE46" s="61"/>
      <c r="KF46" s="61"/>
      <c r="KG46" s="61"/>
      <c r="KH46" s="61"/>
      <c r="KI46" s="61"/>
      <c r="KJ46" s="61"/>
      <c r="KK46" s="61"/>
      <c r="KL46" s="61"/>
      <c r="KM46" s="61"/>
      <c r="KN46" s="61"/>
      <c r="KO46" s="61"/>
      <c r="KP46" s="61"/>
      <c r="KQ46" s="61"/>
      <c r="KR46" s="61"/>
      <c r="KS46" s="61"/>
      <c r="KT46" s="61"/>
      <c r="KU46" s="61"/>
      <c r="KV46" s="61"/>
      <c r="KW46" s="61"/>
      <c r="KX46" s="61"/>
      <c r="KY46" s="61"/>
      <c r="KZ46" s="61"/>
      <c r="LA46" s="61"/>
      <c r="LB46" s="61"/>
      <c r="LC46" s="61"/>
      <c r="LD46" s="61"/>
      <c r="LE46" s="61"/>
      <c r="LF46" s="61"/>
      <c r="LG46" s="61"/>
      <c r="LH46" s="61"/>
      <c r="LI46" s="61"/>
      <c r="LJ46" s="61"/>
      <c r="LK46" s="61"/>
      <c r="LL46" s="61"/>
      <c r="LM46" s="61"/>
      <c r="LN46" s="61"/>
      <c r="LO46" s="61"/>
      <c r="LP46" s="61"/>
      <c r="LQ46" s="61"/>
      <c r="LR46" s="61"/>
      <c r="LS46" s="61"/>
      <c r="LT46" s="61"/>
      <c r="LU46" s="61"/>
      <c r="LV46" s="61"/>
      <c r="LW46" s="61"/>
      <c r="LX46" s="61"/>
      <c r="LY46" s="61"/>
      <c r="LZ46" s="61"/>
      <c r="MA46" s="61"/>
      <c r="MB46" s="61"/>
      <c r="MC46" s="61"/>
      <c r="MD46" s="61"/>
      <c r="ME46" s="61"/>
      <c r="MF46" s="61"/>
      <c r="MG46" s="61"/>
      <c r="MH46" s="61"/>
      <c r="MI46" s="61"/>
      <c r="MJ46" s="61"/>
      <c r="MK46" s="61"/>
      <c r="ML46" s="61"/>
      <c r="MM46" s="61"/>
      <c r="MN46" s="61"/>
      <c r="MO46" s="61"/>
      <c r="MP46" s="61"/>
      <c r="MQ46" s="61"/>
      <c r="MR46" s="61"/>
      <c r="MS46" s="61"/>
      <c r="MT46" s="61"/>
    </row>
    <row r="47" spans="1:358" s="62" customFormat="1" ht="24.65" customHeight="1" collapsed="1" thickBot="1">
      <c r="A47" s="245" t="s">
        <v>74</v>
      </c>
      <c r="B47" s="155"/>
      <c r="C47" s="155"/>
      <c r="D47" s="155"/>
      <c r="E47" s="156"/>
      <c r="F47" s="157"/>
      <c r="G47" s="157"/>
      <c r="H47" s="157"/>
      <c r="I47" s="157"/>
      <c r="J47" s="157"/>
      <c r="K47" s="157"/>
      <c r="L47" s="157"/>
      <c r="M47" s="157"/>
      <c r="N47" s="157">
        <f>N46</f>
        <v>14.229999999999999</v>
      </c>
      <c r="O47" s="157">
        <v>15.6</v>
      </c>
      <c r="P47" s="157"/>
      <c r="Q47" s="157">
        <v>11.775</v>
      </c>
      <c r="R47" s="157"/>
      <c r="S47" s="158"/>
      <c r="T47" s="158">
        <v>11.195</v>
      </c>
      <c r="U47" s="59">
        <v>11.350000000000001</v>
      </c>
      <c r="V47" s="59">
        <v>11.54</v>
      </c>
      <c r="W47" s="59">
        <v>11.7075</v>
      </c>
      <c r="X47" s="59">
        <v>11.4375</v>
      </c>
      <c r="Y47" s="59">
        <v>11.475</v>
      </c>
      <c r="Z47" s="59">
        <v>11.850000000000001</v>
      </c>
      <c r="AA47" s="59">
        <v>12.55</v>
      </c>
      <c r="AB47" s="59">
        <v>13.475</v>
      </c>
      <c r="AC47" s="59">
        <v>13.55</v>
      </c>
      <c r="AD47" s="95">
        <v>12.326666666666666</v>
      </c>
      <c r="AE47" s="95">
        <v>11.532500000000001</v>
      </c>
      <c r="AF47" s="95">
        <v>11.587499999999999</v>
      </c>
      <c r="AG47" s="95">
        <v>13.191666666666666</v>
      </c>
      <c r="AH47" s="59">
        <v>11.963958333333332</v>
      </c>
      <c r="AI47" s="169">
        <v>13.1</v>
      </c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19" thickBot="1">
      <c r="A48" s="227" t="s">
        <v>37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>
        <f>K46+K13</f>
        <v>61.41</v>
      </c>
      <c r="L48" s="167">
        <f>L46+L13</f>
        <v>60.285000000000004</v>
      </c>
      <c r="M48" s="167">
        <f>M46-M59</f>
        <v>0.27500000000000036</v>
      </c>
      <c r="N48" s="164">
        <f>N46-N59</f>
        <v>0.19999999999999929</v>
      </c>
      <c r="O48" s="164">
        <f>O46-O59</f>
        <v>9.9999999999999645E-2</v>
      </c>
      <c r="P48" s="164">
        <f t="shared" ref="P48:Q48" si="44">P46-P59</f>
        <v>0.79999999999999716</v>
      </c>
      <c r="Q48" s="164">
        <f t="shared" si="44"/>
        <v>0.77500000000000036</v>
      </c>
      <c r="R48" s="164"/>
      <c r="S48" s="164"/>
      <c r="T48" s="164">
        <f>T46-T59</f>
        <v>0.51999999999999957</v>
      </c>
      <c r="U48" s="164">
        <f t="shared" ref="U48:AH49" si="45">U46-U59</f>
        <v>0.16250000000000142</v>
      </c>
      <c r="V48" s="164">
        <f t="shared" si="45"/>
        <v>-0.11250000000000071</v>
      </c>
      <c r="W48" s="164">
        <f t="shared" si="45"/>
        <v>-0.23000000000000043</v>
      </c>
      <c r="X48" s="164">
        <f t="shared" si="45"/>
        <v>2.500000000001279E-3</v>
      </c>
      <c r="Y48" s="164">
        <f t="shared" si="45"/>
        <v>0.51249999999999929</v>
      </c>
      <c r="Z48" s="164">
        <f t="shared" si="45"/>
        <v>0.77500000000000036</v>
      </c>
      <c r="AA48" s="164">
        <f t="shared" si="45"/>
        <v>0.57500000000000107</v>
      </c>
      <c r="AB48" s="164">
        <f t="shared" si="45"/>
        <v>0.57000000000000028</v>
      </c>
      <c r="AC48" s="164">
        <f t="shared" si="45"/>
        <v>0.52000000000000135</v>
      </c>
      <c r="AD48" s="157">
        <f t="shared" si="45"/>
        <v>0.56333333333333435</v>
      </c>
      <c r="AE48" s="157">
        <f t="shared" si="45"/>
        <v>-5.9999999999998721E-2</v>
      </c>
      <c r="AF48" s="157">
        <f t="shared" si="45"/>
        <v>0.42999999999999972</v>
      </c>
      <c r="AG48" s="157">
        <f t="shared" si="45"/>
        <v>0.55499999999999972</v>
      </c>
      <c r="AH48" s="59">
        <f t="shared" si="45"/>
        <v>0.40583333333333371</v>
      </c>
      <c r="AI48" s="169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5" thickBot="1">
      <c r="A49" s="197" t="s">
        <v>76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/>
      <c r="L49" s="159"/>
      <c r="M49" s="104"/>
      <c r="N49" s="157">
        <f>N47-N60</f>
        <v>0.19999999999999929</v>
      </c>
      <c r="O49" s="157">
        <f>O47-O60</f>
        <v>1.4499999999999993</v>
      </c>
      <c r="P49" s="157">
        <f>P47-P60</f>
        <v>-10.862500000000001</v>
      </c>
      <c r="Q49" s="157">
        <f>Q47-Q60</f>
        <v>0.77500000000000036</v>
      </c>
      <c r="R49" s="157"/>
      <c r="S49" s="159"/>
      <c r="T49" s="159">
        <f>T47-T60</f>
        <v>0.51999999999999957</v>
      </c>
      <c r="U49" s="157">
        <f t="shared" si="45"/>
        <v>0.16250000000000142</v>
      </c>
      <c r="V49" s="157">
        <f t="shared" si="45"/>
        <v>3.9999999999999147E-2</v>
      </c>
      <c r="W49" s="157">
        <f t="shared" si="45"/>
        <v>7.5000000000002842E-3</v>
      </c>
      <c r="X49" s="157">
        <f t="shared" si="45"/>
        <v>2.500000000001279E-3</v>
      </c>
      <c r="Y49" s="157">
        <f t="shared" si="45"/>
        <v>0.51249999999999929</v>
      </c>
      <c r="Z49" s="157">
        <f t="shared" si="45"/>
        <v>0.77500000000000036</v>
      </c>
      <c r="AA49" s="157">
        <f t="shared" si="45"/>
        <v>0.57500000000000107</v>
      </c>
      <c r="AB49" s="157">
        <f t="shared" si="45"/>
        <v>0.57000000000000028</v>
      </c>
      <c r="AC49" s="157">
        <f t="shared" si="45"/>
        <v>0.52000000000000135</v>
      </c>
      <c r="AD49" s="157">
        <f t="shared" si="45"/>
        <v>1.480833333333333</v>
      </c>
      <c r="AE49" s="157">
        <f t="shared" si="45"/>
        <v>7.0000000000000284E-2</v>
      </c>
      <c r="AF49" s="157">
        <f t="shared" si="45"/>
        <v>0.42999999999999794</v>
      </c>
      <c r="AG49" s="157">
        <f t="shared" si="45"/>
        <v>0.55500000000000149</v>
      </c>
      <c r="AH49" s="59">
        <f t="shared" si="45"/>
        <v>0.43833333333333258</v>
      </c>
      <c r="AI49" s="178">
        <f>AI47-AI59</f>
        <v>0.29999999999999893</v>
      </c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ht="21.5" thickBot="1">
      <c r="A50" s="227" t="s">
        <v>38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23"/>
      <c r="AE50" s="23"/>
      <c r="AF50" s="23"/>
      <c r="AG50" s="23"/>
      <c r="AH50" s="7"/>
      <c r="AI50" s="179">
        <f>AH47-AH60</f>
        <v>0.43833333333333258</v>
      </c>
    </row>
    <row r="51" spans="1:358" ht="17.25" hidden="1" customHeight="1" outlineLevel="1">
      <c r="A51" s="196"/>
      <c r="B51" s="88" t="s">
        <v>1</v>
      </c>
      <c r="C51" s="88" t="str">
        <f>C38</f>
        <v>Forecast</v>
      </c>
      <c r="D51" s="65"/>
      <c r="E51" s="65" t="s">
        <v>3</v>
      </c>
      <c r="F51" s="20" t="s">
        <v>4</v>
      </c>
      <c r="G51" s="20" t="s">
        <v>5</v>
      </c>
      <c r="H51" s="20" t="s">
        <v>6</v>
      </c>
      <c r="I51" s="20" t="s">
        <v>7</v>
      </c>
      <c r="J51" s="66" t="s">
        <v>2</v>
      </c>
      <c r="K51" s="20" t="s">
        <v>8</v>
      </c>
      <c r="L51" s="20" t="s">
        <v>9</v>
      </c>
      <c r="M51" s="20" t="s">
        <v>9</v>
      </c>
      <c r="N51" s="20" t="s">
        <v>12</v>
      </c>
      <c r="O51" s="20" t="s">
        <v>13</v>
      </c>
      <c r="P51" s="20" t="s">
        <v>14</v>
      </c>
      <c r="Q51" s="20" t="s">
        <v>15</v>
      </c>
      <c r="R51" s="23" t="s">
        <v>10</v>
      </c>
      <c r="S51" s="67" t="s">
        <v>11</v>
      </c>
      <c r="T51" s="67" t="s">
        <v>16</v>
      </c>
      <c r="U51" s="24" t="s">
        <v>64</v>
      </c>
      <c r="V51" s="24" t="s">
        <v>65</v>
      </c>
      <c r="W51" s="24" t="s">
        <v>66</v>
      </c>
      <c r="X51" s="24" t="s">
        <v>67</v>
      </c>
      <c r="Y51" s="177" t="s">
        <v>68</v>
      </c>
      <c r="Z51" s="177" t="s">
        <v>69</v>
      </c>
      <c r="AA51" s="177" t="s">
        <v>70</v>
      </c>
      <c r="AB51" s="177" t="s">
        <v>77</v>
      </c>
      <c r="AC51" s="177" t="s">
        <v>78</v>
      </c>
      <c r="AD51" s="671" t="s">
        <v>79</v>
      </c>
      <c r="AE51" s="671" t="s">
        <v>80</v>
      </c>
      <c r="AF51" s="671" t="s">
        <v>81</v>
      </c>
      <c r="AG51" s="671" t="s">
        <v>82</v>
      </c>
      <c r="AH51" s="671">
        <v>2016</v>
      </c>
    </row>
    <row r="52" spans="1:358" ht="17.25" hidden="1" customHeight="1" outlineLevel="1">
      <c r="A52" s="25"/>
      <c r="B52" s="26"/>
      <c r="C52" s="26"/>
      <c r="D52" s="27"/>
      <c r="E52" s="673"/>
      <c r="F52" s="673"/>
      <c r="G52" s="673"/>
      <c r="H52" s="673"/>
      <c r="I52" s="673"/>
      <c r="J52" s="28" t="str">
        <f>$J$6</f>
        <v>(8-12 Jun)</v>
      </c>
      <c r="K52" s="673"/>
      <c r="L52" s="250" t="s">
        <v>20</v>
      </c>
      <c r="M52" s="250" t="s">
        <v>63</v>
      </c>
      <c r="N52" s="673"/>
      <c r="O52" s="673"/>
      <c r="P52" s="673"/>
      <c r="Q52" s="673"/>
      <c r="R52" s="673">
        <v>42370</v>
      </c>
      <c r="S52" s="29">
        <v>42401</v>
      </c>
      <c r="T52" s="30"/>
      <c r="U52" s="673"/>
      <c r="V52" s="673"/>
      <c r="W52" s="673"/>
      <c r="X52" s="673"/>
      <c r="Y52" s="673"/>
      <c r="Z52" s="673"/>
      <c r="AA52" s="673"/>
      <c r="AB52" s="673"/>
      <c r="AC52" s="673"/>
      <c r="AD52" s="672"/>
      <c r="AE52" s="672"/>
      <c r="AF52" s="672"/>
      <c r="AG52" s="672"/>
      <c r="AH52" s="672"/>
    </row>
    <row r="53" spans="1:358" ht="17.25" hidden="1" customHeight="1" outlineLevel="1">
      <c r="A53" s="31" t="s">
        <v>39</v>
      </c>
      <c r="B53" s="68">
        <v>14.19</v>
      </c>
      <c r="C53" s="68" t="str">
        <f>C40</f>
        <v>Previous WK</v>
      </c>
      <c r="D53" s="27"/>
      <c r="E53" s="674">
        <v>13.82</v>
      </c>
      <c r="F53" s="674"/>
      <c r="G53" s="674"/>
      <c r="H53" s="674"/>
      <c r="I53" s="674"/>
      <c r="J53" s="69"/>
      <c r="K53" s="674"/>
      <c r="L53" s="33"/>
      <c r="M53" s="33"/>
      <c r="N53" s="674"/>
      <c r="O53" s="674"/>
      <c r="P53" s="674"/>
      <c r="Q53" s="674"/>
      <c r="R53" s="674"/>
      <c r="S53" s="187"/>
      <c r="T53" s="188"/>
      <c r="U53" s="674"/>
      <c r="V53" s="674"/>
      <c r="W53" s="674"/>
      <c r="X53" s="674"/>
      <c r="Y53" s="674"/>
      <c r="Z53" s="674"/>
      <c r="AA53" s="674"/>
      <c r="AB53" s="674"/>
      <c r="AC53" s="674"/>
      <c r="AD53" s="38"/>
      <c r="AE53" s="40"/>
      <c r="AF53" s="40"/>
      <c r="AG53" s="40"/>
      <c r="AH53" s="40"/>
    </row>
    <row r="54" spans="1:358" s="77" customFormat="1" ht="16.5" hidden="1" customHeight="1" outlineLevel="1">
      <c r="A54" s="89"/>
      <c r="B54" s="105"/>
      <c r="C54" s="106"/>
      <c r="D54" s="98"/>
      <c r="E54" s="99"/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107"/>
      <c r="T54" s="107"/>
      <c r="U54" s="39"/>
      <c r="V54" s="39"/>
      <c r="W54" s="39"/>
      <c r="X54" s="39"/>
      <c r="Y54" s="38"/>
      <c r="Z54" s="38"/>
      <c r="AA54" s="38"/>
      <c r="AB54" s="38"/>
      <c r="AC54" s="38"/>
      <c r="AD54" s="44"/>
      <c r="AE54" s="44"/>
      <c r="AF54" s="44"/>
      <c r="AG54" s="44"/>
      <c r="AH54" s="44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  <c r="EK54" s="45"/>
      <c r="EL54" s="45"/>
      <c r="EM54" s="45"/>
      <c r="EN54" s="45"/>
      <c r="EO54" s="45"/>
      <c r="EP54" s="45"/>
      <c r="EQ54" s="45"/>
      <c r="ER54" s="45"/>
      <c r="ES54" s="45"/>
      <c r="ET54" s="45"/>
      <c r="EU54" s="45"/>
      <c r="EV54" s="45"/>
      <c r="EW54" s="45"/>
      <c r="EX54" s="45"/>
      <c r="EY54" s="45"/>
      <c r="EZ54" s="45"/>
      <c r="FA54" s="45"/>
      <c r="FB54" s="45"/>
      <c r="FC54" s="45"/>
      <c r="FD54" s="45"/>
      <c r="FE54" s="45"/>
      <c r="FF54" s="45"/>
      <c r="FG54" s="45"/>
      <c r="FH54" s="45"/>
      <c r="FI54" s="45"/>
      <c r="FJ54" s="45"/>
      <c r="FK54" s="45"/>
      <c r="FL54" s="45"/>
      <c r="FM54" s="45"/>
      <c r="FN54" s="45"/>
      <c r="FO54" s="45"/>
      <c r="FP54" s="45"/>
      <c r="FQ54" s="45"/>
      <c r="FR54" s="45"/>
      <c r="FS54" s="45"/>
      <c r="FT54" s="45"/>
      <c r="FU54" s="45"/>
      <c r="FV54" s="45"/>
      <c r="FW54" s="45"/>
      <c r="FX54" s="45"/>
      <c r="FY54" s="45"/>
      <c r="FZ54" s="45"/>
      <c r="GA54" s="45"/>
      <c r="GB54" s="45"/>
      <c r="GC54" s="45"/>
      <c r="GD54" s="45"/>
      <c r="GE54" s="45"/>
      <c r="GF54" s="45"/>
      <c r="GG54" s="45"/>
      <c r="GH54" s="45"/>
      <c r="GI54" s="45"/>
      <c r="GJ54" s="45"/>
      <c r="GK54" s="45"/>
      <c r="GL54" s="45"/>
      <c r="GM54" s="45"/>
      <c r="GN54" s="45"/>
      <c r="GO54" s="45"/>
      <c r="GP54" s="45"/>
      <c r="GQ54" s="45"/>
      <c r="GR54" s="45"/>
      <c r="GS54" s="45"/>
      <c r="GT54" s="45"/>
      <c r="GU54" s="45"/>
      <c r="GV54" s="45"/>
      <c r="GW54" s="45"/>
      <c r="GX54" s="45"/>
      <c r="GY54" s="45"/>
      <c r="GZ54" s="45"/>
      <c r="HA54" s="45"/>
      <c r="HB54" s="45"/>
      <c r="HC54" s="45"/>
      <c r="HD54" s="45"/>
      <c r="HE54" s="45"/>
      <c r="HF54" s="45"/>
      <c r="HG54" s="45"/>
      <c r="HH54" s="45"/>
      <c r="HI54" s="45"/>
      <c r="HJ54" s="45"/>
      <c r="HK54" s="45"/>
      <c r="HL54" s="45"/>
      <c r="HM54" s="45"/>
      <c r="HN54" s="45"/>
      <c r="HO54" s="45"/>
      <c r="HP54" s="45"/>
      <c r="HQ54" s="45"/>
      <c r="HR54" s="45"/>
      <c r="HS54" s="45"/>
      <c r="HT54" s="45"/>
      <c r="HU54" s="45"/>
      <c r="HV54" s="45"/>
      <c r="HW54" s="45"/>
      <c r="HX54" s="45"/>
      <c r="HY54" s="45"/>
      <c r="HZ54" s="45"/>
      <c r="IA54" s="45"/>
      <c r="IB54" s="45"/>
      <c r="IC54" s="45"/>
      <c r="ID54" s="45"/>
      <c r="IE54" s="45"/>
      <c r="IF54" s="45"/>
      <c r="IG54" s="45"/>
      <c r="IH54" s="45"/>
      <c r="II54" s="45"/>
      <c r="IJ54" s="45"/>
      <c r="IK54" s="45"/>
      <c r="IL54" s="45"/>
      <c r="IM54" s="45"/>
      <c r="IN54" s="45"/>
      <c r="IO54" s="45"/>
      <c r="IP54" s="45"/>
      <c r="IQ54" s="45"/>
      <c r="IR54" s="45"/>
      <c r="IS54" s="45"/>
      <c r="IT54" s="45"/>
      <c r="IU54" s="45"/>
      <c r="IV54" s="45"/>
      <c r="IW54" s="45"/>
      <c r="IX54" s="45"/>
      <c r="IY54" s="45"/>
      <c r="IZ54" s="45"/>
      <c r="JA54" s="45"/>
      <c r="JB54" s="45"/>
      <c r="JC54" s="45"/>
      <c r="JD54" s="45"/>
      <c r="JE54" s="45"/>
      <c r="JF54" s="45"/>
      <c r="JG54" s="45"/>
      <c r="JH54" s="45"/>
      <c r="JI54" s="45"/>
      <c r="JJ54" s="45"/>
      <c r="JK54" s="45"/>
      <c r="JL54" s="45"/>
      <c r="JM54" s="45"/>
      <c r="JN54" s="45"/>
      <c r="JO54" s="45"/>
      <c r="JP54" s="45"/>
      <c r="JQ54" s="45"/>
      <c r="JR54" s="45"/>
      <c r="JS54" s="45"/>
      <c r="JT54" s="45"/>
      <c r="JU54" s="45"/>
      <c r="JV54" s="45"/>
      <c r="JW54" s="45"/>
      <c r="JX54" s="45"/>
      <c r="JY54" s="45"/>
      <c r="JZ54" s="45"/>
      <c r="KA54" s="45"/>
      <c r="KB54" s="45"/>
      <c r="KC54" s="45"/>
      <c r="KD54" s="45"/>
      <c r="KE54" s="45"/>
      <c r="KF54" s="45"/>
      <c r="KG54" s="45"/>
      <c r="KH54" s="45"/>
      <c r="KI54" s="45"/>
      <c r="KJ54" s="45"/>
      <c r="KK54" s="45"/>
      <c r="KL54" s="45"/>
      <c r="KM54" s="45"/>
      <c r="KN54" s="45"/>
      <c r="KO54" s="45"/>
      <c r="KP54" s="45"/>
      <c r="KQ54" s="45"/>
      <c r="KR54" s="45"/>
      <c r="KS54" s="45"/>
      <c r="KT54" s="45"/>
      <c r="KU54" s="45"/>
      <c r="KV54" s="45"/>
      <c r="KW54" s="45"/>
      <c r="KX54" s="45"/>
      <c r="KY54" s="45"/>
      <c r="KZ54" s="45"/>
      <c r="LA54" s="45"/>
      <c r="LB54" s="45"/>
      <c r="LC54" s="45"/>
      <c r="LD54" s="45"/>
      <c r="LE54" s="45"/>
      <c r="LF54" s="45"/>
      <c r="LG54" s="45"/>
      <c r="LH54" s="45"/>
      <c r="LI54" s="45"/>
      <c r="LJ54" s="45"/>
      <c r="LK54" s="45"/>
      <c r="LL54" s="45"/>
      <c r="LM54" s="45"/>
      <c r="LN54" s="45"/>
      <c r="LO54" s="45"/>
      <c r="LP54" s="45"/>
      <c r="LQ54" s="45"/>
      <c r="LR54" s="45"/>
      <c r="LS54" s="45"/>
      <c r="LT54" s="45"/>
      <c r="LU54" s="45"/>
      <c r="LV54" s="45"/>
      <c r="LW54" s="45"/>
      <c r="LX54" s="45"/>
      <c r="LY54" s="45"/>
      <c r="LZ54" s="45"/>
      <c r="MA54" s="45"/>
      <c r="MB54" s="45"/>
      <c r="MC54" s="45"/>
      <c r="MD54" s="45"/>
      <c r="ME54" s="45"/>
      <c r="MF54" s="45"/>
      <c r="MG54" s="45"/>
      <c r="MH54" s="45"/>
      <c r="MI54" s="45"/>
      <c r="MJ54" s="45"/>
      <c r="MK54" s="45"/>
      <c r="ML54" s="45"/>
      <c r="MM54" s="45"/>
      <c r="MN54" s="45"/>
      <c r="MO54" s="45"/>
      <c r="MP54" s="45"/>
      <c r="MQ54" s="45"/>
      <c r="MR54" s="45"/>
      <c r="MS54" s="45"/>
      <c r="MT54" s="45"/>
    </row>
    <row r="55" spans="1:358" ht="50.25" hidden="1" customHeight="1" outlineLevel="1">
      <c r="A55" s="675" t="s">
        <v>23</v>
      </c>
      <c r="B55" s="676">
        <f>C55-$B$53</f>
        <v>6.0000000000000497E-2</v>
      </c>
      <c r="C55" s="676">
        <v>14.25</v>
      </c>
      <c r="D55" s="41"/>
      <c r="E55" s="41"/>
      <c r="F55" s="76"/>
      <c r="G55" s="76"/>
      <c r="H55" s="76"/>
      <c r="I55" s="76"/>
      <c r="J55" s="43"/>
      <c r="K55" s="76">
        <v>13.5</v>
      </c>
      <c r="L55" s="76">
        <v>14.2</v>
      </c>
      <c r="M55" s="76">
        <v>13.1</v>
      </c>
      <c r="N55" s="76">
        <v>14.2</v>
      </c>
      <c r="O55" s="76">
        <v>13.7</v>
      </c>
      <c r="P55" s="222">
        <v>11</v>
      </c>
      <c r="Q55" s="76">
        <v>10.5</v>
      </c>
      <c r="R55" s="44" t="s">
        <v>85</v>
      </c>
      <c r="S55" s="220" t="s">
        <v>84</v>
      </c>
      <c r="T55" s="221">
        <v>10.5</v>
      </c>
      <c r="U55" s="44">
        <v>11.75</v>
      </c>
      <c r="V55" s="44">
        <v>12</v>
      </c>
      <c r="W55" s="44">
        <v>12.75</v>
      </c>
      <c r="X55" s="44">
        <v>12.5</v>
      </c>
      <c r="Y55" s="44">
        <v>12.25</v>
      </c>
      <c r="Z55" s="44">
        <v>12.5</v>
      </c>
      <c r="AA55" s="44">
        <v>12.8</v>
      </c>
      <c r="AB55" s="44">
        <v>13.25</v>
      </c>
      <c r="AC55" s="44">
        <v>13.5</v>
      </c>
      <c r="AD55" s="54">
        <f>AVERAGE(P55:T55)</f>
        <v>10.666666666666666</v>
      </c>
      <c r="AE55" s="54">
        <f>AVERAGE(U55:W55)</f>
        <v>12.166666666666666</v>
      </c>
      <c r="AF55" s="54">
        <f>AVERAGE(X55:Z55)</f>
        <v>12.416666666666666</v>
      </c>
      <c r="AG55" s="54">
        <f>AVERAGE(AA55:AC55)</f>
        <v>13.183333333333332</v>
      </c>
      <c r="AH55" s="54">
        <f>AVERAGE(P55:AC55)</f>
        <v>12.108333333333334</v>
      </c>
    </row>
    <row r="56" spans="1:358" ht="50.25" hidden="1" customHeight="1" outlineLevel="1">
      <c r="A56" s="47" t="s">
        <v>24</v>
      </c>
      <c r="B56" s="78">
        <f t="shared" ref="B56" si="46">C56-$B$39</f>
        <v>14.3</v>
      </c>
      <c r="C56" s="55">
        <v>14.3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13.6</v>
      </c>
      <c r="M56" s="154">
        <v>12.9</v>
      </c>
      <c r="N56" s="191">
        <v>14</v>
      </c>
      <c r="O56" s="191"/>
      <c r="P56" s="56">
        <v>11.000000000000004</v>
      </c>
      <c r="Q56" s="189">
        <v>11.299999999999997</v>
      </c>
      <c r="R56" s="189" t="s">
        <v>105</v>
      </c>
      <c r="S56" s="185" t="s">
        <v>106</v>
      </c>
      <c r="T56" s="186">
        <v>11.5</v>
      </c>
      <c r="U56" s="189">
        <v>12</v>
      </c>
      <c r="V56" s="189">
        <v>11.899999999999999</v>
      </c>
      <c r="W56" s="189">
        <v>11.399999999999999</v>
      </c>
      <c r="X56" s="189">
        <v>10.799999999999997</v>
      </c>
      <c r="Y56" s="189">
        <v>11.100000000000001</v>
      </c>
      <c r="Z56" s="189">
        <v>11.700000000000003</v>
      </c>
      <c r="AA56" s="189">
        <v>12.5</v>
      </c>
      <c r="AB56" s="189">
        <v>13</v>
      </c>
      <c r="AC56" s="189">
        <v>13</v>
      </c>
      <c r="AD56" s="54">
        <f>AVERAGE(P56:T56)</f>
        <v>11.266666666666666</v>
      </c>
      <c r="AE56" s="54">
        <f t="shared" ref="AE56:AE58" si="47">AVERAGE(U56:W56)</f>
        <v>11.766666666666666</v>
      </c>
      <c r="AF56" s="54">
        <f t="shared" ref="AF56:AF58" si="48">AVERAGE(X56:Z56)</f>
        <v>11.200000000000001</v>
      </c>
      <c r="AG56" s="54">
        <f t="shared" ref="AG56:AG58" si="49">AVERAGE(AA56:AC56)</f>
        <v>12.833333333333334</v>
      </c>
      <c r="AH56" s="54">
        <f>AVERAGE(P56:AC56)</f>
        <v>11.766666666666666</v>
      </c>
    </row>
    <row r="57" spans="1:358" ht="50.25" hidden="1" customHeight="1" outlineLevel="1">
      <c r="A57" s="47" t="s">
        <v>25</v>
      </c>
      <c r="B57" s="78">
        <f t="shared" ref="B57" si="50">C57-$B$53</f>
        <v>-8.9999999999999858E-2</v>
      </c>
      <c r="C57" s="55">
        <v>14.1</v>
      </c>
      <c r="D57" s="49"/>
      <c r="E57" s="49"/>
      <c r="F57" s="57"/>
      <c r="G57" s="57"/>
      <c r="H57" s="56"/>
      <c r="I57" s="56"/>
      <c r="J57" s="55"/>
      <c r="K57" s="189">
        <v>13</v>
      </c>
      <c r="L57" s="191">
        <v>13</v>
      </c>
      <c r="M57" s="154">
        <v>13</v>
      </c>
      <c r="N57" s="191">
        <v>14.3</v>
      </c>
      <c r="O57" s="184">
        <v>14.75</v>
      </c>
      <c r="P57" s="56">
        <v>11</v>
      </c>
      <c r="Q57" s="183">
        <v>11</v>
      </c>
      <c r="R57" s="183" t="s">
        <v>119</v>
      </c>
      <c r="S57" s="185" t="s">
        <v>40</v>
      </c>
      <c r="T57" s="186">
        <v>11</v>
      </c>
      <c r="U57" s="183">
        <v>11</v>
      </c>
      <c r="V57" s="183">
        <v>10.5</v>
      </c>
      <c r="W57" s="183">
        <v>10.5</v>
      </c>
      <c r="X57" s="183">
        <v>10.5</v>
      </c>
      <c r="Y57" s="183">
        <v>10.5</v>
      </c>
      <c r="Z57" s="183">
        <v>11</v>
      </c>
      <c r="AA57" s="183">
        <v>11</v>
      </c>
      <c r="AB57" s="183">
        <v>11.5</v>
      </c>
      <c r="AC57" s="183">
        <v>11.5</v>
      </c>
      <c r="AD57" s="190">
        <f>AVERAGE(P57:T57)</f>
        <v>11</v>
      </c>
      <c r="AE57" s="190">
        <f t="shared" ref="AE57" si="51">AVERAGE(U57:W57)</f>
        <v>10.666666666666666</v>
      </c>
      <c r="AF57" s="190">
        <f t="shared" ref="AF57" si="52">AVERAGE(X57:Z57)</f>
        <v>10.666666666666666</v>
      </c>
      <c r="AG57" s="190">
        <f t="shared" ref="AG57" si="53">AVERAGE(AA57:AC57)</f>
        <v>11.333333333333334</v>
      </c>
      <c r="AH57" s="54">
        <f>AVERAGE(P57:AC57)</f>
        <v>10.916666666666666</v>
      </c>
    </row>
    <row r="58" spans="1:358" ht="50.25" hidden="1" customHeight="1" outlineLevel="1" thickBot="1">
      <c r="A58" s="47" t="s">
        <v>26</v>
      </c>
      <c r="B58" s="78" t="e">
        <f>C58-#REF!</f>
        <v>#REF!</v>
      </c>
      <c r="C58" s="55">
        <v>14.5</v>
      </c>
      <c r="D58" s="49"/>
      <c r="E58" s="49"/>
      <c r="F58" s="57"/>
      <c r="G58" s="57"/>
      <c r="H58" s="56"/>
      <c r="I58" s="56"/>
      <c r="J58" s="55"/>
      <c r="K58" s="189">
        <v>13.4</v>
      </c>
      <c r="L58" s="191">
        <v>13.4</v>
      </c>
      <c r="M58" s="189">
        <v>13.28</v>
      </c>
      <c r="N58" s="189">
        <v>13.62</v>
      </c>
      <c r="O58" s="189">
        <v>14</v>
      </c>
      <c r="P58" s="56">
        <v>10.45</v>
      </c>
      <c r="Q58" s="189">
        <v>11.2</v>
      </c>
      <c r="R58" s="189" t="s">
        <v>115</v>
      </c>
      <c r="S58" s="185"/>
      <c r="T58" s="186">
        <v>9.6999999999999993</v>
      </c>
      <c r="U58" s="189">
        <v>10</v>
      </c>
      <c r="V58" s="189">
        <v>12.21</v>
      </c>
      <c r="W58" s="189">
        <v>13.1</v>
      </c>
      <c r="X58" s="189">
        <v>11.94</v>
      </c>
      <c r="Y58" s="189">
        <v>10</v>
      </c>
      <c r="Z58" s="189">
        <v>9.1</v>
      </c>
      <c r="AA58" s="189">
        <v>11.6</v>
      </c>
      <c r="AB58" s="189">
        <v>13.87</v>
      </c>
      <c r="AC58" s="189">
        <v>14.12</v>
      </c>
      <c r="AD58" s="54">
        <v>14.12</v>
      </c>
      <c r="AE58" s="54">
        <f t="shared" si="47"/>
        <v>11.770000000000001</v>
      </c>
      <c r="AF58" s="54">
        <f t="shared" si="48"/>
        <v>10.346666666666666</v>
      </c>
      <c r="AG58" s="54">
        <f t="shared" si="49"/>
        <v>13.196666666666665</v>
      </c>
      <c r="AH58" s="54">
        <f>AVERAGE(P58:AC58)</f>
        <v>11.440833333333332</v>
      </c>
    </row>
    <row r="59" spans="1:358" s="62" customFormat="1" ht="19.5" hidden="1" customHeight="1" outlineLevel="1" thickBot="1">
      <c r="A59" s="47" t="s">
        <v>75</v>
      </c>
      <c r="B59" s="78" t="s">
        <v>27</v>
      </c>
      <c r="C59" s="55" t="s">
        <v>27</v>
      </c>
      <c r="D59" s="49"/>
      <c r="E59" s="49"/>
      <c r="F59" s="51" t="e">
        <f>AVERAGE(F55:F58)</f>
        <v>#DIV/0!</v>
      </c>
      <c r="G59" s="51"/>
      <c r="H59" s="52"/>
      <c r="I59" s="52"/>
      <c r="J59" s="55" t="e">
        <f t="shared" ref="J59:K59" si="54">AVERAGE(J55:J58)</f>
        <v>#DIV/0!</v>
      </c>
      <c r="K59" s="181">
        <f t="shared" si="54"/>
        <v>13.35</v>
      </c>
      <c r="L59" s="101">
        <v>13.75</v>
      </c>
      <c r="M59" s="101">
        <f>AVERAGE(M55:M58)</f>
        <v>13.07</v>
      </c>
      <c r="N59" s="176">
        <f>AVERAGE(N55:N58)</f>
        <v>14.03</v>
      </c>
      <c r="O59" s="176">
        <f>AVERAGE(O55:O58)</f>
        <v>14.15</v>
      </c>
      <c r="P59" s="56">
        <f>AVERAGE(P55:P58)</f>
        <v>10.862500000000001</v>
      </c>
      <c r="Q59" s="183">
        <f>AVERAGE(Q55:Q58)</f>
        <v>11</v>
      </c>
      <c r="R59" s="183"/>
      <c r="S59" s="224"/>
      <c r="T59" s="186">
        <f t="shared" ref="T59:AG59" si="55">AVERAGE(T55:T58)</f>
        <v>10.675000000000001</v>
      </c>
      <c r="U59" s="183">
        <f t="shared" si="55"/>
        <v>11.1875</v>
      </c>
      <c r="V59" s="183">
        <f t="shared" si="55"/>
        <v>11.6525</v>
      </c>
      <c r="W59" s="189">
        <f t="shared" si="55"/>
        <v>11.9375</v>
      </c>
      <c r="X59" s="189">
        <f t="shared" si="55"/>
        <v>11.434999999999999</v>
      </c>
      <c r="Y59" s="183">
        <f t="shared" si="55"/>
        <v>10.9625</v>
      </c>
      <c r="Z59" s="183">
        <f t="shared" si="55"/>
        <v>11.075000000000001</v>
      </c>
      <c r="AA59" s="183">
        <f t="shared" si="55"/>
        <v>11.975</v>
      </c>
      <c r="AB59" s="183">
        <f t="shared" si="55"/>
        <v>12.904999999999999</v>
      </c>
      <c r="AC59" s="183">
        <f t="shared" si="55"/>
        <v>13.03</v>
      </c>
      <c r="AD59" s="108">
        <f t="shared" si="55"/>
        <v>11.763333333333332</v>
      </c>
      <c r="AE59" s="108">
        <f t="shared" si="55"/>
        <v>11.592499999999999</v>
      </c>
      <c r="AF59" s="108">
        <f t="shared" si="55"/>
        <v>11.157499999999999</v>
      </c>
      <c r="AG59" s="108">
        <f t="shared" si="55"/>
        <v>12.636666666666667</v>
      </c>
      <c r="AH59" s="59">
        <f>AVERAGE(AH55:AH58)</f>
        <v>11.558124999999999</v>
      </c>
      <c r="AI59" s="61">
        <v>12.8</v>
      </c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  <c r="DH59" s="61"/>
      <c r="DI59" s="61"/>
      <c r="DJ59" s="61"/>
      <c r="DK59" s="61"/>
      <c r="DL59" s="61"/>
      <c r="DM59" s="61"/>
      <c r="DN59" s="61"/>
      <c r="DO59" s="61"/>
      <c r="DP59" s="61"/>
      <c r="DQ59" s="61"/>
      <c r="DR59" s="61"/>
      <c r="DS59" s="61"/>
      <c r="DT59" s="61"/>
      <c r="DU59" s="61"/>
      <c r="DV59" s="61"/>
      <c r="DW59" s="61"/>
      <c r="DX59" s="61"/>
      <c r="DY59" s="61"/>
      <c r="DZ59" s="61"/>
      <c r="EA59" s="61"/>
      <c r="EB59" s="61"/>
      <c r="EC59" s="61"/>
      <c r="ED59" s="61"/>
      <c r="EE59" s="61"/>
      <c r="EF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1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1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1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1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1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1"/>
      <c r="HE59" s="61"/>
      <c r="HF59" s="61"/>
      <c r="HG59" s="61"/>
      <c r="HH59" s="61"/>
      <c r="HI59" s="61"/>
      <c r="HJ59" s="61"/>
      <c r="HK59" s="61"/>
      <c r="HL59" s="61"/>
      <c r="HM59" s="61"/>
      <c r="HN59" s="61"/>
      <c r="HO59" s="61"/>
      <c r="HP59" s="61"/>
      <c r="HQ59" s="61"/>
      <c r="HR59" s="61"/>
      <c r="HS59" s="61"/>
      <c r="HT59" s="61"/>
      <c r="HU59" s="61"/>
      <c r="HV59" s="61"/>
      <c r="HW59" s="61"/>
      <c r="HX59" s="61"/>
      <c r="HY59" s="61"/>
      <c r="HZ59" s="61"/>
      <c r="IA59" s="61"/>
      <c r="IB59" s="61"/>
      <c r="IC59" s="61"/>
      <c r="ID59" s="61"/>
      <c r="IE59" s="61"/>
      <c r="IF59" s="61"/>
      <c r="IG59" s="61"/>
      <c r="IH59" s="61"/>
      <c r="II59" s="61"/>
      <c r="IJ59" s="61"/>
      <c r="IK59" s="61"/>
      <c r="IL59" s="61"/>
      <c r="IM59" s="61"/>
      <c r="IN59" s="61"/>
      <c r="IO59" s="61"/>
      <c r="IP59" s="61"/>
      <c r="IQ59" s="61"/>
      <c r="IR59" s="61"/>
      <c r="IS59" s="61"/>
      <c r="IT59" s="61"/>
      <c r="IU59" s="61"/>
      <c r="IV59" s="61"/>
      <c r="IW59" s="61"/>
      <c r="IX59" s="61"/>
      <c r="IY59" s="61"/>
      <c r="IZ59" s="61"/>
      <c r="JA59" s="61"/>
      <c r="JB59" s="61"/>
      <c r="JC59" s="61"/>
      <c r="JD59" s="61"/>
      <c r="JE59" s="61"/>
      <c r="JF59" s="61"/>
      <c r="JG59" s="61"/>
      <c r="JH59" s="61"/>
      <c r="JI59" s="61"/>
      <c r="JJ59" s="61"/>
      <c r="JK59" s="61"/>
      <c r="JL59" s="61"/>
      <c r="JM59" s="61"/>
      <c r="JN59" s="61"/>
      <c r="JO59" s="61"/>
      <c r="JP59" s="61"/>
      <c r="JQ59" s="61"/>
      <c r="JR59" s="61"/>
      <c r="JS59" s="61"/>
      <c r="JT59" s="61"/>
      <c r="JU59" s="61"/>
      <c r="JV59" s="61"/>
      <c r="JW59" s="61"/>
      <c r="JX59" s="61"/>
      <c r="JY59" s="61"/>
      <c r="JZ59" s="61"/>
      <c r="KA59" s="61"/>
      <c r="KB59" s="61"/>
      <c r="KC59" s="61"/>
      <c r="KD59" s="61"/>
      <c r="KE59" s="61"/>
      <c r="KF59" s="61"/>
      <c r="KG59" s="61"/>
      <c r="KH59" s="61"/>
      <c r="KI59" s="61"/>
      <c r="KJ59" s="61"/>
      <c r="KK59" s="61"/>
      <c r="KL59" s="61"/>
      <c r="KM59" s="61"/>
      <c r="KN59" s="61"/>
      <c r="KO59" s="61"/>
      <c r="KP59" s="61"/>
      <c r="KQ59" s="61"/>
      <c r="KR59" s="61"/>
      <c r="KS59" s="61"/>
      <c r="KT59" s="61"/>
      <c r="KU59" s="61"/>
      <c r="KV59" s="61"/>
      <c r="KW59" s="61"/>
      <c r="KX59" s="61"/>
      <c r="KY59" s="61"/>
      <c r="KZ59" s="61"/>
      <c r="LA59" s="61"/>
      <c r="LB59" s="61"/>
      <c r="LC59" s="61"/>
      <c r="LD59" s="61"/>
      <c r="LE59" s="61"/>
      <c r="LF59" s="61"/>
      <c r="LG59" s="61"/>
      <c r="LH59" s="61"/>
      <c r="LI59" s="61"/>
      <c r="LJ59" s="61"/>
      <c r="LK59" s="61"/>
      <c r="LL59" s="61"/>
      <c r="LM59" s="61"/>
      <c r="LN59" s="61"/>
      <c r="LO59" s="61"/>
      <c r="LP59" s="61"/>
      <c r="LQ59" s="61"/>
      <c r="LR59" s="61"/>
      <c r="LS59" s="61"/>
      <c r="LT59" s="61"/>
      <c r="LU59" s="61"/>
      <c r="LV59" s="61"/>
      <c r="LW59" s="61"/>
      <c r="LX59" s="61"/>
      <c r="LY59" s="61"/>
      <c r="LZ59" s="61"/>
      <c r="MA59" s="61"/>
      <c r="MB59" s="61"/>
      <c r="MC59" s="61"/>
      <c r="MD59" s="61"/>
      <c r="ME59" s="61"/>
      <c r="MF59" s="61"/>
      <c r="MG59" s="61"/>
      <c r="MH59" s="61"/>
      <c r="MI59" s="61"/>
      <c r="MJ59" s="61"/>
      <c r="MK59" s="61"/>
      <c r="ML59" s="61"/>
      <c r="MM59" s="61"/>
      <c r="MN59" s="61"/>
      <c r="MO59" s="61"/>
      <c r="MP59" s="61"/>
      <c r="MQ59" s="61"/>
      <c r="MR59" s="61"/>
      <c r="MS59" s="61"/>
      <c r="MT59" s="61"/>
    </row>
    <row r="60" spans="1:358" ht="19" collapsed="1" thickBot="1">
      <c r="A60" s="245" t="s">
        <v>74</v>
      </c>
      <c r="B60" s="155"/>
      <c r="C60" s="155"/>
      <c r="D60" s="155"/>
      <c r="E60" s="156"/>
      <c r="F60" s="157"/>
      <c r="G60" s="157"/>
      <c r="H60" s="157"/>
      <c r="I60" s="157"/>
      <c r="J60" s="157"/>
      <c r="K60" s="157">
        <f>K59+K13</f>
        <v>61.65</v>
      </c>
      <c r="L60" s="157">
        <f>L59+L13</f>
        <v>60.6</v>
      </c>
      <c r="M60" s="157"/>
      <c r="N60" s="157">
        <f>N59</f>
        <v>14.03</v>
      </c>
      <c r="O60" s="157">
        <f t="shared" ref="O60" si="56">O59</f>
        <v>14.15</v>
      </c>
      <c r="P60" s="157">
        <f>P59</f>
        <v>10.862500000000001</v>
      </c>
      <c r="Q60" s="157">
        <v>11</v>
      </c>
      <c r="R60" s="157"/>
      <c r="S60" s="158"/>
      <c r="T60" s="158">
        <v>10.675000000000001</v>
      </c>
      <c r="U60" s="59">
        <v>11.1875</v>
      </c>
      <c r="V60" s="59">
        <v>11.5</v>
      </c>
      <c r="W60" s="59">
        <v>11.7</v>
      </c>
      <c r="X60" s="59">
        <v>11.434999999999999</v>
      </c>
      <c r="Y60" s="59">
        <v>10.9625</v>
      </c>
      <c r="Z60" s="59">
        <v>11.075000000000001</v>
      </c>
      <c r="AA60" s="59">
        <v>11.975</v>
      </c>
      <c r="AB60" s="59">
        <v>12.904999999999999</v>
      </c>
      <c r="AC60" s="59">
        <v>13.03</v>
      </c>
      <c r="AD60" s="108">
        <f>AVERAGE(P60:T60)</f>
        <v>10.845833333333333</v>
      </c>
      <c r="AE60" s="108">
        <f>AVERAGE(U60:W60)</f>
        <v>11.4625</v>
      </c>
      <c r="AF60" s="108">
        <f>AVERAGE(X60:Z60)</f>
        <v>11.157500000000001</v>
      </c>
      <c r="AG60" s="108">
        <f>AVERAGE(AA60:AC60)</f>
        <v>12.636666666666665</v>
      </c>
      <c r="AH60" s="59">
        <f>AVERAGE(P60:AC60)</f>
        <v>11.525625</v>
      </c>
    </row>
    <row r="61" spans="1:358" ht="21.5" thickBot="1">
      <c r="A61" s="227" t="s">
        <v>41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/>
      <c r="L61" s="167"/>
      <c r="M61" s="167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23"/>
      <c r="AE61" s="23"/>
      <c r="AF61" s="23"/>
      <c r="AG61" s="23"/>
      <c r="AH61" s="7"/>
    </row>
    <row r="62" spans="1:358" ht="18.75" hidden="1" customHeight="1" outlineLevel="1">
      <c r="A62" s="196"/>
      <c r="B62" s="88" t="s">
        <v>1</v>
      </c>
      <c r="C62" s="88" t="str">
        <f>C51</f>
        <v>Forecast</v>
      </c>
      <c r="D62" s="65"/>
      <c r="E62" s="65" t="s">
        <v>3</v>
      </c>
      <c r="F62" s="20" t="s">
        <v>4</v>
      </c>
      <c r="G62" s="20" t="s">
        <v>5</v>
      </c>
      <c r="H62" s="20" t="s">
        <v>6</v>
      </c>
      <c r="I62" s="20" t="s">
        <v>7</v>
      </c>
      <c r="J62" s="109" t="s">
        <v>2</v>
      </c>
      <c r="K62" s="20" t="s">
        <v>8</v>
      </c>
      <c r="L62" s="20" t="s">
        <v>9</v>
      </c>
      <c r="M62" s="20" t="s">
        <v>9</v>
      </c>
      <c r="N62" s="20" t="s">
        <v>12</v>
      </c>
      <c r="O62" s="20" t="s">
        <v>13</v>
      </c>
      <c r="P62" s="20" t="s">
        <v>14</v>
      </c>
      <c r="Q62" s="20" t="s">
        <v>15</v>
      </c>
      <c r="R62" s="23" t="s">
        <v>10</v>
      </c>
      <c r="S62" s="67" t="s">
        <v>11</v>
      </c>
      <c r="T62" s="67" t="s">
        <v>16</v>
      </c>
      <c r="U62" s="24" t="s">
        <v>64</v>
      </c>
      <c r="V62" s="24" t="s">
        <v>65</v>
      </c>
      <c r="W62" s="24" t="s">
        <v>66</v>
      </c>
      <c r="X62" s="24" t="s">
        <v>67</v>
      </c>
      <c r="Y62" s="23" t="s">
        <v>68</v>
      </c>
      <c r="Z62" s="23" t="s">
        <v>69</v>
      </c>
      <c r="AA62" s="23" t="s">
        <v>70</v>
      </c>
      <c r="AB62" s="23" t="s">
        <v>77</v>
      </c>
      <c r="AC62" s="23" t="s">
        <v>78</v>
      </c>
      <c r="AD62" s="671" t="s">
        <v>79</v>
      </c>
      <c r="AE62" s="671" t="s">
        <v>80</v>
      </c>
      <c r="AF62" s="671" t="s">
        <v>81</v>
      </c>
      <c r="AG62" s="671" t="s">
        <v>82</v>
      </c>
      <c r="AH62" s="671">
        <v>2016</v>
      </c>
    </row>
    <row r="63" spans="1:358" ht="18.75" hidden="1" customHeight="1" outlineLevel="1">
      <c r="A63" s="25"/>
      <c r="B63" s="26"/>
      <c r="C63" s="26"/>
      <c r="D63" s="27"/>
      <c r="E63" s="673"/>
      <c r="F63" s="673"/>
      <c r="G63" s="673"/>
      <c r="H63" s="673"/>
      <c r="I63" s="673"/>
      <c r="J63" s="28" t="str">
        <f>$J$6</f>
        <v>(8-12 Jun)</v>
      </c>
      <c r="K63" s="673"/>
      <c r="L63" s="250" t="s">
        <v>20</v>
      </c>
      <c r="M63" s="250" t="s">
        <v>63</v>
      </c>
      <c r="N63" s="673"/>
      <c r="O63" s="673"/>
      <c r="P63" s="673"/>
      <c r="Q63" s="673"/>
      <c r="R63" s="673">
        <v>42370</v>
      </c>
      <c r="S63" s="29">
        <v>42401</v>
      </c>
      <c r="T63" s="30"/>
      <c r="U63" s="673"/>
      <c r="V63" s="673"/>
      <c r="W63" s="673"/>
      <c r="X63" s="673"/>
      <c r="Y63" s="673"/>
      <c r="Z63" s="673"/>
      <c r="AA63" s="673"/>
      <c r="AB63" s="673"/>
      <c r="AC63" s="673"/>
      <c r="AD63" s="672"/>
      <c r="AE63" s="672"/>
      <c r="AF63" s="672"/>
      <c r="AG63" s="672"/>
      <c r="AH63" s="672"/>
    </row>
    <row r="64" spans="1:358" ht="21" hidden="1" customHeight="1" outlineLevel="1">
      <c r="A64" s="31" t="s">
        <v>42</v>
      </c>
      <c r="B64" s="68">
        <v>-1.1100000000000001</v>
      </c>
      <c r="C64" s="68" t="str">
        <f>C53</f>
        <v>Previous WK</v>
      </c>
      <c r="D64" s="27"/>
      <c r="E64" s="674">
        <v>-3.67</v>
      </c>
      <c r="F64" s="674"/>
      <c r="G64" s="674"/>
      <c r="H64" s="674"/>
      <c r="I64" s="674"/>
      <c r="J64" s="69"/>
      <c r="K64" s="674"/>
      <c r="L64" s="33"/>
      <c r="M64" s="33"/>
      <c r="N64" s="674"/>
      <c r="O64" s="674"/>
      <c r="P64" s="674"/>
      <c r="Q64" s="674"/>
      <c r="R64" s="674"/>
      <c r="S64" s="187"/>
      <c r="T64" s="188"/>
      <c r="U64" s="674"/>
      <c r="V64" s="674"/>
      <c r="W64" s="674"/>
      <c r="X64" s="674"/>
      <c r="Y64" s="674"/>
      <c r="Z64" s="674"/>
      <c r="AA64" s="674"/>
      <c r="AB64" s="674"/>
      <c r="AC64" s="674"/>
      <c r="AD64" s="38"/>
      <c r="AE64" s="40"/>
      <c r="AF64" s="40"/>
      <c r="AG64" s="40"/>
      <c r="AH64" s="40"/>
    </row>
    <row r="65" spans="1:358" s="77" customFormat="1" ht="18.75" hidden="1" customHeight="1" outlineLevel="1">
      <c r="A65" s="89"/>
      <c r="B65" s="110"/>
      <c r="C65" s="110"/>
      <c r="D65" s="98"/>
      <c r="E65" s="99"/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73"/>
      <c r="T65" s="73"/>
      <c r="U65" s="39"/>
      <c r="V65" s="39"/>
      <c r="W65" s="39"/>
      <c r="X65" s="39"/>
      <c r="Y65" s="38"/>
      <c r="Z65" s="38"/>
      <c r="AA65" s="38"/>
      <c r="AB65" s="38"/>
      <c r="AC65" s="38"/>
      <c r="AD65" s="44"/>
      <c r="AE65" s="44"/>
      <c r="AF65" s="44"/>
      <c r="AG65" s="44"/>
      <c r="AH65" s="44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54.75" hidden="1" customHeight="1" outlineLevel="1">
      <c r="A66" s="675" t="s">
        <v>23</v>
      </c>
      <c r="B66" s="676">
        <f>C66-$B$64</f>
        <v>-0.8899999999999999</v>
      </c>
      <c r="C66" s="676">
        <v>-2</v>
      </c>
      <c r="D66" s="41"/>
      <c r="E66" s="41"/>
      <c r="F66" s="76"/>
      <c r="G66" s="76"/>
      <c r="H66" s="76"/>
      <c r="I66" s="76"/>
      <c r="J66" s="43"/>
      <c r="K66" s="76">
        <v>-7.5</v>
      </c>
      <c r="L66" s="76">
        <v>-7.5</v>
      </c>
      <c r="M66" s="76">
        <v>-8</v>
      </c>
      <c r="N66" s="76">
        <v>-7</v>
      </c>
      <c r="O66" s="76">
        <v>-7</v>
      </c>
      <c r="P66" s="222">
        <v>-4.5</v>
      </c>
      <c r="Q66" s="76">
        <v>-5</v>
      </c>
      <c r="R66" s="44" t="s">
        <v>91</v>
      </c>
      <c r="S66" s="218" t="s">
        <v>92</v>
      </c>
      <c r="T66" s="219">
        <v>-6</v>
      </c>
      <c r="U66" s="44">
        <v>-6.5</v>
      </c>
      <c r="V66" s="44">
        <v>-6.75</v>
      </c>
      <c r="W66" s="44">
        <v>-6.5</v>
      </c>
      <c r="X66" s="44">
        <v>-6.5</v>
      </c>
      <c r="Y66" s="44">
        <v>-6</v>
      </c>
      <c r="Z66" s="44">
        <v>-6</v>
      </c>
      <c r="AA66" s="44">
        <v>-6.5</v>
      </c>
      <c r="AB66" s="44">
        <v>-6.25</v>
      </c>
      <c r="AC66" s="44">
        <v>-6</v>
      </c>
      <c r="AD66" s="54">
        <f>AVERAGE(P66:T66)</f>
        <v>-5.166666666666667</v>
      </c>
      <c r="AE66" s="54">
        <f>AVERAGE(U66:W66)</f>
        <v>-6.583333333333333</v>
      </c>
      <c r="AF66" s="54">
        <f>AVERAGE(X66:Z66)</f>
        <v>-6.166666666666667</v>
      </c>
      <c r="AG66" s="54">
        <f>AVERAGE(AA66:AC66)</f>
        <v>-6.25</v>
      </c>
      <c r="AH66" s="54">
        <f>AVERAGE(P66:AC66)</f>
        <v>-6.041666666666667</v>
      </c>
    </row>
    <row r="67" spans="1:358" ht="54.75" hidden="1" customHeight="1" outlineLevel="1">
      <c r="A67" s="47" t="s">
        <v>24</v>
      </c>
      <c r="B67" s="78">
        <f t="shared" ref="B67" si="57">C67-$B$48</f>
        <v>-1.2</v>
      </c>
      <c r="C67" s="55">
        <v>-1.2</v>
      </c>
      <c r="D67" s="49"/>
      <c r="E67" s="49"/>
      <c r="F67" s="52"/>
      <c r="G67" s="57"/>
      <c r="H67" s="56"/>
      <c r="I67" s="56"/>
      <c r="J67" s="55"/>
      <c r="K67" s="189">
        <v>-8.1</v>
      </c>
      <c r="L67" s="191">
        <v>-8.1</v>
      </c>
      <c r="M67" s="154">
        <v>-8.3000000000000007</v>
      </c>
      <c r="N67" s="176">
        <v>-7</v>
      </c>
      <c r="O67" s="176"/>
      <c r="P67" s="50">
        <v>-5</v>
      </c>
      <c r="Q67" s="183">
        <v>-6.5</v>
      </c>
      <c r="R67" s="183" t="s">
        <v>107</v>
      </c>
      <c r="S67" s="185" t="s">
        <v>108</v>
      </c>
      <c r="T67" s="186">
        <v>-7</v>
      </c>
      <c r="U67" s="183">
        <v>-6.8999999999999986</v>
      </c>
      <c r="V67" s="189">
        <v>-7</v>
      </c>
      <c r="W67" s="189">
        <v>-7</v>
      </c>
      <c r="X67" s="189">
        <v>-7.3000000000000007</v>
      </c>
      <c r="Y67" s="189">
        <v>-7.3000000000000007</v>
      </c>
      <c r="Z67" s="189">
        <v>-7.1999999999999993</v>
      </c>
      <c r="AA67" s="189">
        <v>-7.1999999999999993</v>
      </c>
      <c r="AB67" s="189">
        <v>-6.8999999999999986</v>
      </c>
      <c r="AC67" s="189">
        <v>-6.7000000000000028</v>
      </c>
      <c r="AD67" s="54">
        <f>AVERAGE(P67:T67)</f>
        <v>-6.166666666666667</v>
      </c>
      <c r="AE67" s="54">
        <f t="shared" ref="AE67:AE69" si="58">AVERAGE(U67:W67)</f>
        <v>-6.9666666666666659</v>
      </c>
      <c r="AF67" s="54">
        <f t="shared" ref="AF67:AF69" si="59">AVERAGE(X67:Z67)</f>
        <v>-7.2666666666666666</v>
      </c>
      <c r="AG67" s="54">
        <f t="shared" ref="AG67:AG69" si="60">AVERAGE(AA67:AC67)</f>
        <v>-6.9333333333333336</v>
      </c>
      <c r="AH67" s="54">
        <f>AVERAGE(P67:AC67)</f>
        <v>-6.8333333333333348</v>
      </c>
    </row>
    <row r="68" spans="1:358" ht="54.75" hidden="1" customHeight="1" outlineLevel="1">
      <c r="A68" s="47" t="s">
        <v>25</v>
      </c>
      <c r="B68" s="78">
        <f t="shared" ref="B68" si="61">C68-$B$64</f>
        <v>-0.3899999999999999</v>
      </c>
      <c r="C68" s="111">
        <v>-1.5</v>
      </c>
      <c r="D68" s="49"/>
      <c r="E68" s="49"/>
      <c r="F68" s="56"/>
      <c r="G68" s="57"/>
      <c r="H68" s="56"/>
      <c r="I68" s="56"/>
      <c r="J68" s="111"/>
      <c r="K68" s="189">
        <v>-8</v>
      </c>
      <c r="L68" s="191">
        <v>-8</v>
      </c>
      <c r="M68" s="154">
        <v>-8</v>
      </c>
      <c r="N68" s="176">
        <v>-7</v>
      </c>
      <c r="O68" s="191">
        <v>-6.5</v>
      </c>
      <c r="P68" s="50">
        <v>-5.5</v>
      </c>
      <c r="Q68" s="189">
        <v>-5.5</v>
      </c>
      <c r="R68" s="189" t="s">
        <v>43</v>
      </c>
      <c r="S68" s="185" t="s">
        <v>44</v>
      </c>
      <c r="T68" s="186">
        <v>-6</v>
      </c>
      <c r="U68" s="189">
        <v>-6</v>
      </c>
      <c r="V68" s="189">
        <v>-6.5</v>
      </c>
      <c r="W68" s="189">
        <v>-6.5</v>
      </c>
      <c r="X68" s="189">
        <v>-6.5</v>
      </c>
      <c r="Y68" s="189">
        <v>-6</v>
      </c>
      <c r="Z68" s="189">
        <v>-6</v>
      </c>
      <c r="AA68" s="189">
        <v>-6</v>
      </c>
      <c r="AB68" s="189">
        <v>-6.5</v>
      </c>
      <c r="AC68" s="189">
        <v>-6.5</v>
      </c>
      <c r="AD68" s="190">
        <f>AVERAGE(P68:T68)</f>
        <v>-5.666666666666667</v>
      </c>
      <c r="AE68" s="190">
        <f t="shared" ref="AE68" si="62">AVERAGE(U68:W68)</f>
        <v>-6.333333333333333</v>
      </c>
      <c r="AF68" s="190">
        <f t="shared" ref="AF68" si="63">AVERAGE(X68:Z68)</f>
        <v>-6.166666666666667</v>
      </c>
      <c r="AG68" s="190">
        <f t="shared" ref="AG68" si="64">AVERAGE(AA68:AC68)</f>
        <v>-6.333333333333333</v>
      </c>
      <c r="AH68" s="54">
        <f>AVERAGE(P68:AC68)</f>
        <v>-6.125</v>
      </c>
    </row>
    <row r="69" spans="1:358" ht="54.75" hidden="1" customHeight="1" outlineLevel="1" thickBot="1">
      <c r="A69" s="47" t="s">
        <v>26</v>
      </c>
      <c r="B69" s="78">
        <f>C69-$B$26</f>
        <v>-1.98</v>
      </c>
      <c r="C69" s="55">
        <v>-1.98</v>
      </c>
      <c r="D69" s="49"/>
      <c r="E69" s="49"/>
      <c r="F69" s="52"/>
      <c r="G69" s="57"/>
      <c r="H69" s="56"/>
      <c r="I69" s="56"/>
      <c r="J69" s="55"/>
      <c r="K69" s="189">
        <v>-9.02</v>
      </c>
      <c r="L69" s="191">
        <v>-9.02</v>
      </c>
      <c r="M69" s="189">
        <v>-9.02</v>
      </c>
      <c r="N69" s="176">
        <v>-6.67</v>
      </c>
      <c r="O69" s="176">
        <v>-6.7</v>
      </c>
      <c r="P69" s="50">
        <v>-5.5</v>
      </c>
      <c r="Q69" s="183">
        <v>-6.86</v>
      </c>
      <c r="R69" s="183" t="s">
        <v>116</v>
      </c>
      <c r="S69" s="185" t="s">
        <v>117</v>
      </c>
      <c r="T69" s="186">
        <v>-7.8</v>
      </c>
      <c r="U69" s="183">
        <v>-7.5</v>
      </c>
      <c r="V69" s="189">
        <v>-7.5</v>
      </c>
      <c r="W69" s="189">
        <v>-7.4</v>
      </c>
      <c r="X69" s="189">
        <v>-7.4</v>
      </c>
      <c r="Y69" s="189">
        <v>-7.5</v>
      </c>
      <c r="Z69" s="189">
        <v>-7.6</v>
      </c>
      <c r="AA69" s="189">
        <v>-7.6</v>
      </c>
      <c r="AB69" s="189">
        <v>-7.2</v>
      </c>
      <c r="AC69" s="189">
        <v>-7</v>
      </c>
      <c r="AD69" s="54">
        <f>AVERAGE(P69:T69)</f>
        <v>-6.72</v>
      </c>
      <c r="AE69" s="54">
        <f t="shared" si="58"/>
        <v>-7.4666666666666659</v>
      </c>
      <c r="AF69" s="54">
        <f t="shared" si="59"/>
        <v>-7.5</v>
      </c>
      <c r="AG69" s="54">
        <f t="shared" si="60"/>
        <v>-7.2666666666666666</v>
      </c>
      <c r="AH69" s="54">
        <f>AVERAGE(P69:AC69)</f>
        <v>-7.2383333333333324</v>
      </c>
    </row>
    <row r="70" spans="1:358" s="62" customFormat="1" ht="19.5" hidden="1" customHeight="1" outlineLevel="1" thickBot="1">
      <c r="A70" s="47" t="s">
        <v>75</v>
      </c>
      <c r="B70" s="78" t="s">
        <v>27</v>
      </c>
      <c r="C70" s="55" t="s">
        <v>27</v>
      </c>
      <c r="D70" s="49"/>
      <c r="E70" s="49"/>
      <c r="F70" s="52"/>
      <c r="G70" s="51"/>
      <c r="H70" s="52"/>
      <c r="I70" s="52"/>
      <c r="J70" s="55"/>
      <c r="K70" s="181">
        <f t="shared" ref="K70" si="65">AVERAGE(K66:K69)</f>
        <v>-8.1550000000000011</v>
      </c>
      <c r="L70" s="101">
        <f t="shared" ref="L70:Q70" si="66">AVERAGE(L66:L69)</f>
        <v>-8.1550000000000011</v>
      </c>
      <c r="M70" s="101">
        <f t="shared" si="66"/>
        <v>-8.33</v>
      </c>
      <c r="N70" s="182">
        <f t="shared" si="66"/>
        <v>-6.9175000000000004</v>
      </c>
      <c r="O70" s="182">
        <f t="shared" si="66"/>
        <v>-6.7333333333333334</v>
      </c>
      <c r="P70" s="50">
        <f t="shared" si="66"/>
        <v>-5.125</v>
      </c>
      <c r="Q70" s="189">
        <f t="shared" si="66"/>
        <v>-5.9649999999999999</v>
      </c>
      <c r="R70" s="189"/>
      <c r="S70" s="185"/>
      <c r="T70" s="186">
        <f t="shared" ref="T70:AG70" si="67">AVERAGE(T66:T69)</f>
        <v>-6.7</v>
      </c>
      <c r="U70" s="189">
        <f t="shared" si="67"/>
        <v>-6.7249999999999996</v>
      </c>
      <c r="V70" s="189">
        <f t="shared" si="67"/>
        <v>-6.9375</v>
      </c>
      <c r="W70" s="189">
        <f t="shared" si="67"/>
        <v>-6.85</v>
      </c>
      <c r="X70" s="189">
        <f t="shared" si="67"/>
        <v>-6.9250000000000007</v>
      </c>
      <c r="Y70" s="189">
        <f t="shared" si="67"/>
        <v>-6.7</v>
      </c>
      <c r="Z70" s="189">
        <f t="shared" si="67"/>
        <v>-6.6999999999999993</v>
      </c>
      <c r="AA70" s="189">
        <f t="shared" si="67"/>
        <v>-6.8249999999999993</v>
      </c>
      <c r="AB70" s="189">
        <f t="shared" si="67"/>
        <v>-6.7124999999999995</v>
      </c>
      <c r="AC70" s="189">
        <f t="shared" si="67"/>
        <v>-6.5500000000000007</v>
      </c>
      <c r="AD70" s="59">
        <f t="shared" si="67"/>
        <v>-5.93</v>
      </c>
      <c r="AE70" s="59">
        <f t="shared" si="67"/>
        <v>-6.8374999999999995</v>
      </c>
      <c r="AF70" s="59">
        <f t="shared" si="67"/>
        <v>-6.7750000000000004</v>
      </c>
      <c r="AG70" s="59">
        <f t="shared" si="67"/>
        <v>-6.6958333333333329</v>
      </c>
      <c r="AH70" s="59">
        <f>AVERAGE(AH66:AH69)</f>
        <v>-6.5595833333333333</v>
      </c>
      <c r="AI70" s="61">
        <v>-6.5</v>
      </c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ht="19" collapsed="1" thickBot="1">
      <c r="A71" s="245" t="s">
        <v>74</v>
      </c>
      <c r="B71" s="58"/>
      <c r="C71" s="58"/>
      <c r="D71" s="87"/>
      <c r="E71" s="58"/>
      <c r="F71" s="59"/>
      <c r="G71" s="59"/>
      <c r="H71" s="59"/>
      <c r="I71" s="59"/>
      <c r="J71" s="59"/>
      <c r="K71" s="59">
        <f>K13+K70</f>
        <v>40.144999999999996</v>
      </c>
      <c r="L71" s="59">
        <f>L13+L70</f>
        <v>38.695</v>
      </c>
      <c r="M71" s="59"/>
      <c r="N71" s="59">
        <f>N70</f>
        <v>-6.9175000000000004</v>
      </c>
      <c r="O71" s="59">
        <f>O70</f>
        <v>-6.7333333333333334</v>
      </c>
      <c r="P71" s="59">
        <v>-5.125</v>
      </c>
      <c r="Q71" s="59">
        <v>-5.9649999999999999</v>
      </c>
      <c r="R71" s="59"/>
      <c r="S71" s="60"/>
      <c r="T71" s="60">
        <v>-6.7</v>
      </c>
      <c r="U71" s="59">
        <v>-6.7249999999999996</v>
      </c>
      <c r="V71" s="59">
        <v>-6.9375</v>
      </c>
      <c r="W71" s="59">
        <v>-6.85</v>
      </c>
      <c r="X71" s="59">
        <v>-6.9250000000000007</v>
      </c>
      <c r="Y71" s="59">
        <v>-6.7</v>
      </c>
      <c r="Z71" s="59">
        <v>-6.6999999999999993</v>
      </c>
      <c r="AA71" s="59">
        <v>-6.8249999999999993</v>
      </c>
      <c r="AB71" s="59">
        <v>-6.7124999999999995</v>
      </c>
      <c r="AC71" s="59">
        <v>-6.5500000000000007</v>
      </c>
      <c r="AD71" s="59">
        <v>-5.93</v>
      </c>
      <c r="AE71" s="59">
        <v>-6.8374999999999995</v>
      </c>
      <c r="AF71" s="59">
        <v>-6.7750000000000004</v>
      </c>
      <c r="AG71" s="59">
        <v>-6.6958333333333329</v>
      </c>
      <c r="AH71" s="59">
        <v>-6.5595833333333333</v>
      </c>
    </row>
    <row r="72" spans="1:358" ht="21.5" thickBot="1">
      <c r="A72" s="227" t="s">
        <v>45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/>
      <c r="L72" s="162"/>
      <c r="M72" s="162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23"/>
      <c r="AE72" s="23"/>
      <c r="AF72" s="23"/>
      <c r="AG72" s="23"/>
      <c r="AH72" s="7"/>
    </row>
    <row r="73" spans="1:358" ht="16.5" hidden="1" customHeight="1" outlineLevel="1">
      <c r="A73" s="198"/>
      <c r="B73" s="112" t="s">
        <v>1</v>
      </c>
      <c r="C73" s="112" t="str">
        <f>C62</f>
        <v>Forecast</v>
      </c>
      <c r="D73" s="113"/>
      <c r="E73" s="113" t="s">
        <v>3</v>
      </c>
      <c r="F73" s="20" t="s">
        <v>4</v>
      </c>
      <c r="G73" s="20" t="s">
        <v>5</v>
      </c>
      <c r="H73" s="20" t="s">
        <v>6</v>
      </c>
      <c r="I73" s="20" t="s">
        <v>7</v>
      </c>
      <c r="J73" s="114" t="s">
        <v>2</v>
      </c>
      <c r="K73" s="20" t="s">
        <v>8</v>
      </c>
      <c r="L73" s="115" t="s">
        <v>9</v>
      </c>
      <c r="M73" s="115" t="s">
        <v>9</v>
      </c>
      <c r="N73" s="20" t="s">
        <v>12</v>
      </c>
      <c r="O73" s="20" t="s">
        <v>13</v>
      </c>
      <c r="P73" s="20" t="s">
        <v>14</v>
      </c>
      <c r="Q73" s="20" t="s">
        <v>15</v>
      </c>
      <c r="R73" s="23" t="s">
        <v>10</v>
      </c>
      <c r="S73" s="67" t="s">
        <v>11</v>
      </c>
      <c r="T73" s="67" t="s">
        <v>16</v>
      </c>
      <c r="U73" s="24" t="s">
        <v>64</v>
      </c>
      <c r="V73" s="24" t="s">
        <v>65</v>
      </c>
      <c r="W73" s="24" t="s">
        <v>66</v>
      </c>
      <c r="X73" s="24" t="s">
        <v>67</v>
      </c>
      <c r="Y73" s="23" t="s">
        <v>68</v>
      </c>
      <c r="Z73" s="23" t="s">
        <v>69</v>
      </c>
      <c r="AA73" s="23" t="s">
        <v>70</v>
      </c>
      <c r="AB73" s="23" t="s">
        <v>77</v>
      </c>
      <c r="AC73" s="23" t="s">
        <v>78</v>
      </c>
      <c r="AD73" s="671" t="s">
        <v>79</v>
      </c>
      <c r="AE73" s="671" t="s">
        <v>80</v>
      </c>
      <c r="AF73" s="671" t="s">
        <v>81</v>
      </c>
      <c r="AG73" s="671" t="s">
        <v>82</v>
      </c>
      <c r="AH73" s="671">
        <v>2016</v>
      </c>
    </row>
    <row r="74" spans="1:358" ht="21.75" hidden="1" customHeight="1" outlineLevel="1">
      <c r="A74" s="25"/>
      <c r="B74" s="26"/>
      <c r="C74" s="26"/>
      <c r="D74" s="27"/>
      <c r="E74" s="673"/>
      <c r="F74" s="673"/>
      <c r="G74" s="673"/>
      <c r="H74" s="673"/>
      <c r="I74" s="673"/>
      <c r="J74" s="28" t="str">
        <f>$J$6</f>
        <v>(8-12 Jun)</v>
      </c>
      <c r="K74" s="673"/>
      <c r="L74" s="250" t="s">
        <v>20</v>
      </c>
      <c r="M74" s="250" t="s">
        <v>63</v>
      </c>
      <c r="N74" s="673"/>
      <c r="O74" s="673"/>
      <c r="P74" s="673"/>
      <c r="Q74" s="673"/>
      <c r="R74" s="673">
        <v>42370</v>
      </c>
      <c r="S74" s="29">
        <v>42401</v>
      </c>
      <c r="T74" s="30"/>
      <c r="U74" s="673"/>
      <c r="V74" s="673"/>
      <c r="W74" s="673"/>
      <c r="X74" s="673"/>
      <c r="Y74" s="673"/>
      <c r="Z74" s="673"/>
      <c r="AA74" s="673"/>
      <c r="AB74" s="673"/>
      <c r="AC74" s="673"/>
      <c r="AD74" s="672"/>
      <c r="AE74" s="672"/>
      <c r="AF74" s="672"/>
      <c r="AG74" s="672"/>
      <c r="AH74" s="672"/>
    </row>
    <row r="75" spans="1:358" ht="21" hidden="1" customHeight="1" outlineLevel="1">
      <c r="A75" s="31" t="s">
        <v>46</v>
      </c>
      <c r="B75" s="68">
        <v>0.28000000000000003</v>
      </c>
      <c r="C75" s="68" t="str">
        <f>C64</f>
        <v>Previous WK</v>
      </c>
      <c r="D75" s="116"/>
      <c r="E75" s="674">
        <v>1.02</v>
      </c>
      <c r="F75" s="674"/>
      <c r="G75" s="674"/>
      <c r="H75" s="674"/>
      <c r="I75" s="674"/>
      <c r="J75" s="69"/>
      <c r="K75" s="674"/>
      <c r="L75" s="33"/>
      <c r="M75" s="33"/>
      <c r="N75" s="674"/>
      <c r="O75" s="674"/>
      <c r="P75" s="674"/>
      <c r="Q75" s="674"/>
      <c r="R75" s="674"/>
      <c r="S75" s="187"/>
      <c r="T75" s="188"/>
      <c r="U75" s="674"/>
      <c r="V75" s="674"/>
      <c r="W75" s="674"/>
      <c r="X75" s="674"/>
      <c r="Y75" s="674"/>
      <c r="Z75" s="674"/>
      <c r="AA75" s="674"/>
      <c r="AB75" s="674"/>
      <c r="AC75" s="674"/>
      <c r="AD75" s="38"/>
      <c r="AE75" s="40"/>
      <c r="AF75" s="40"/>
      <c r="AG75" s="40"/>
      <c r="AH75" s="40"/>
    </row>
    <row r="76" spans="1:358" s="77" customFormat="1" ht="21" hidden="1" customHeight="1" outlineLevel="1">
      <c r="A76" s="117"/>
      <c r="B76" s="118"/>
      <c r="C76" s="118"/>
      <c r="D76" s="119"/>
      <c r="E76" s="120"/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122"/>
      <c r="T76" s="122"/>
      <c r="U76" s="39"/>
      <c r="V76" s="39"/>
      <c r="W76" s="39"/>
      <c r="X76" s="39"/>
      <c r="Y76" s="38"/>
      <c r="Z76" s="38"/>
      <c r="AA76" s="38"/>
      <c r="AB76" s="38"/>
      <c r="AC76" s="38"/>
      <c r="AD76" s="44"/>
      <c r="AE76" s="44"/>
      <c r="AF76" s="44"/>
      <c r="AG76" s="44"/>
      <c r="AH76" s="44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5"/>
      <c r="EQ76" s="45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5"/>
      <c r="FC76" s="45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5"/>
      <c r="FO76" s="45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5"/>
      <c r="GA76" s="45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5"/>
      <c r="GM76" s="45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5"/>
      <c r="GY76" s="45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5"/>
      <c r="HK76" s="45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5"/>
      <c r="HW76" s="45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5"/>
      <c r="II76" s="45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5"/>
      <c r="IU76" s="45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5"/>
      <c r="JG76" s="45"/>
      <c r="JH76" s="45"/>
      <c r="JI76" s="45"/>
      <c r="JJ76" s="45"/>
      <c r="JK76" s="45"/>
      <c r="JL76" s="45"/>
      <c r="JM76" s="45"/>
      <c r="JN76" s="45"/>
      <c r="JO76" s="45"/>
      <c r="JP76" s="45"/>
      <c r="JQ76" s="45"/>
      <c r="JR76" s="45"/>
      <c r="JS76" s="45"/>
      <c r="JT76" s="45"/>
      <c r="JU76" s="45"/>
      <c r="JV76" s="45"/>
      <c r="JW76" s="45"/>
      <c r="JX76" s="45"/>
      <c r="JY76" s="45"/>
      <c r="JZ76" s="45"/>
      <c r="KA76" s="45"/>
      <c r="KB76" s="45"/>
      <c r="KC76" s="45"/>
      <c r="KD76" s="45"/>
      <c r="KE76" s="45"/>
      <c r="KF76" s="45"/>
      <c r="KG76" s="45"/>
      <c r="KH76" s="45"/>
      <c r="KI76" s="45"/>
      <c r="KJ76" s="45"/>
      <c r="KK76" s="45"/>
      <c r="KL76" s="45"/>
      <c r="KM76" s="45"/>
      <c r="KN76" s="45"/>
      <c r="KO76" s="45"/>
      <c r="KP76" s="45"/>
      <c r="KQ76" s="45"/>
      <c r="KR76" s="45"/>
      <c r="KS76" s="45"/>
      <c r="KT76" s="45"/>
      <c r="KU76" s="45"/>
      <c r="KV76" s="45"/>
      <c r="KW76" s="45"/>
      <c r="KX76" s="45"/>
      <c r="KY76" s="45"/>
      <c r="KZ76" s="45"/>
      <c r="LA76" s="45"/>
      <c r="LB76" s="45"/>
      <c r="LC76" s="45"/>
      <c r="LD76" s="45"/>
      <c r="LE76" s="45"/>
      <c r="LF76" s="45"/>
      <c r="LG76" s="45"/>
      <c r="LH76" s="45"/>
      <c r="LI76" s="45"/>
      <c r="LJ76" s="45"/>
      <c r="LK76" s="45"/>
      <c r="LL76" s="45"/>
      <c r="LM76" s="45"/>
      <c r="LN76" s="45"/>
      <c r="LO76" s="45"/>
      <c r="LP76" s="45"/>
      <c r="LQ76" s="45"/>
      <c r="LR76" s="45"/>
      <c r="LS76" s="45"/>
      <c r="LT76" s="45"/>
      <c r="LU76" s="45"/>
      <c r="LV76" s="45"/>
      <c r="LW76" s="45"/>
      <c r="LX76" s="45"/>
      <c r="LY76" s="45"/>
      <c r="LZ76" s="45"/>
      <c r="MA76" s="45"/>
      <c r="MB76" s="45"/>
      <c r="MC76" s="45"/>
      <c r="MD76" s="45"/>
      <c r="ME76" s="45"/>
      <c r="MF76" s="45"/>
      <c r="MG76" s="45"/>
      <c r="MH76" s="45"/>
      <c r="MI76" s="45"/>
      <c r="MJ76" s="45"/>
      <c r="MK76" s="45"/>
      <c r="ML76" s="45"/>
      <c r="MM76" s="45"/>
      <c r="MN76" s="45"/>
      <c r="MO76" s="45"/>
      <c r="MP76" s="45"/>
      <c r="MQ76" s="45"/>
      <c r="MR76" s="45"/>
      <c r="MS76" s="45"/>
      <c r="MT76" s="45"/>
    </row>
    <row r="77" spans="1:358" ht="42.75" hidden="1" customHeight="1" outlineLevel="1">
      <c r="A77" s="675" t="s">
        <v>23</v>
      </c>
      <c r="B77" s="676">
        <f>C77-$B$75</f>
        <v>0.21999999999999997</v>
      </c>
      <c r="C77" s="676">
        <v>0.5</v>
      </c>
      <c r="D77" s="41"/>
      <c r="E77" s="41"/>
      <c r="F77" s="76"/>
      <c r="G77" s="76"/>
      <c r="H77" s="76"/>
      <c r="I77" s="76"/>
      <c r="J77" s="43"/>
      <c r="K77" s="76">
        <v>1.8</v>
      </c>
      <c r="L77" s="76">
        <v>1.8</v>
      </c>
      <c r="M77" s="76">
        <v>1.9</v>
      </c>
      <c r="N77" s="76">
        <v>2</v>
      </c>
      <c r="O77" s="76">
        <v>2</v>
      </c>
      <c r="P77" s="222">
        <v>3</v>
      </c>
      <c r="Q77" s="76">
        <v>2.8</v>
      </c>
      <c r="R77" s="44"/>
      <c r="S77" s="216"/>
      <c r="T77" s="217">
        <v>2.7</v>
      </c>
      <c r="U77" s="44">
        <v>2.5</v>
      </c>
      <c r="V77" s="44">
        <v>2.5</v>
      </c>
      <c r="W77" s="44">
        <v>2.5</v>
      </c>
      <c r="X77" s="44">
        <v>2.5</v>
      </c>
      <c r="Y77" s="44">
        <v>2.5</v>
      </c>
      <c r="Z77" s="44">
        <v>2.75</v>
      </c>
      <c r="AA77" s="44">
        <v>2.75</v>
      </c>
      <c r="AB77" s="44">
        <v>2.75</v>
      </c>
      <c r="AC77" s="44">
        <v>2.5</v>
      </c>
      <c r="AD77" s="54">
        <f>AVERAGE(P77:T77)</f>
        <v>2.8333333333333335</v>
      </c>
      <c r="AE77" s="54">
        <f>AVERAGE(U77:W77)</f>
        <v>2.5</v>
      </c>
      <c r="AF77" s="54">
        <f>AVERAGE(X77:Z77)</f>
        <v>2.5833333333333335</v>
      </c>
      <c r="AG77" s="54">
        <f>AVERAGE(AA77:AC77)</f>
        <v>2.6666666666666665</v>
      </c>
      <c r="AH77" s="54">
        <f>AVERAGE(P77:AC77)</f>
        <v>2.6458333333333335</v>
      </c>
    </row>
    <row r="78" spans="1:358" ht="42.75" hidden="1" customHeight="1" outlineLevel="1">
      <c r="A78" s="47" t="s">
        <v>24</v>
      </c>
      <c r="B78" s="78">
        <f t="shared" ref="B78" si="68">C78-$B$57</f>
        <v>0.68999999999999984</v>
      </c>
      <c r="C78" s="123">
        <v>0.6</v>
      </c>
      <c r="D78" s="49"/>
      <c r="E78" s="49"/>
      <c r="F78" s="52"/>
      <c r="G78" s="57"/>
      <c r="H78" s="56"/>
      <c r="I78" s="56"/>
      <c r="J78" s="123"/>
      <c r="K78" s="189">
        <v>1.3</v>
      </c>
      <c r="L78" s="191">
        <v>1.3</v>
      </c>
      <c r="M78" s="191">
        <v>1.7</v>
      </c>
      <c r="N78" s="191">
        <v>2</v>
      </c>
      <c r="O78" s="191"/>
      <c r="P78" s="56">
        <v>3.5</v>
      </c>
      <c r="Q78" s="189">
        <v>3</v>
      </c>
      <c r="R78" s="189"/>
      <c r="S78" s="124"/>
      <c r="T78" s="124">
        <v>2.7</v>
      </c>
      <c r="U78" s="189">
        <v>2.5</v>
      </c>
      <c r="V78" s="189">
        <v>2.5</v>
      </c>
      <c r="W78" s="189">
        <v>2</v>
      </c>
      <c r="X78" s="189">
        <v>1.7</v>
      </c>
      <c r="Y78" s="189">
        <v>1.7</v>
      </c>
      <c r="Z78" s="189">
        <v>2</v>
      </c>
      <c r="AA78" s="189">
        <v>2.2999999999999998</v>
      </c>
      <c r="AB78" s="189">
        <v>2.5</v>
      </c>
      <c r="AC78" s="189">
        <v>2.5</v>
      </c>
      <c r="AD78" s="54">
        <f>AVERAGE(P78:T78)</f>
        <v>3.0666666666666664</v>
      </c>
      <c r="AE78" s="54">
        <f t="shared" ref="AE78:AE80" si="69">AVERAGE(U78:W78)</f>
        <v>2.3333333333333335</v>
      </c>
      <c r="AF78" s="54">
        <f t="shared" ref="AF78:AF80" si="70">AVERAGE(X78:Z78)</f>
        <v>1.8</v>
      </c>
      <c r="AG78" s="54">
        <f t="shared" ref="AG78:AG80" si="71">AVERAGE(AA78:AC78)</f>
        <v>2.4333333333333331</v>
      </c>
      <c r="AH78" s="54">
        <f>AVERAGE(P78:AC78)</f>
        <v>2.4083333333333332</v>
      </c>
    </row>
    <row r="79" spans="1:358" ht="42.75" hidden="1" customHeight="1" outlineLevel="1">
      <c r="A79" s="47" t="s">
        <v>25</v>
      </c>
      <c r="B79" s="78">
        <f t="shared" ref="B79" si="72">C79-$B$75</f>
        <v>0.82000000000000006</v>
      </c>
      <c r="C79" s="123">
        <v>1.1000000000000001</v>
      </c>
      <c r="D79" s="49"/>
      <c r="E79" s="49"/>
      <c r="F79" s="56"/>
      <c r="G79" s="57"/>
      <c r="H79" s="56"/>
      <c r="I79" s="56"/>
      <c r="J79" s="55"/>
      <c r="K79" s="189">
        <v>0.5</v>
      </c>
      <c r="L79" s="191">
        <v>1.7</v>
      </c>
      <c r="M79" s="191">
        <v>1.7</v>
      </c>
      <c r="N79" s="191">
        <v>1.7</v>
      </c>
      <c r="O79" s="191">
        <v>1.7</v>
      </c>
      <c r="P79" s="56">
        <v>3.5</v>
      </c>
      <c r="Q79" s="189">
        <v>3.5</v>
      </c>
      <c r="R79" s="189" t="s">
        <v>47</v>
      </c>
      <c r="S79" s="124" t="s">
        <v>47</v>
      </c>
      <c r="T79" s="124">
        <v>3.5</v>
      </c>
      <c r="U79" s="189">
        <v>3.5</v>
      </c>
      <c r="V79" s="189">
        <v>3.5</v>
      </c>
      <c r="W79" s="189">
        <v>3.5</v>
      </c>
      <c r="X79" s="189">
        <v>3.5</v>
      </c>
      <c r="Y79" s="189">
        <v>3.5</v>
      </c>
      <c r="Z79" s="189">
        <v>3.5</v>
      </c>
      <c r="AA79" s="189">
        <v>3.5</v>
      </c>
      <c r="AB79" s="189">
        <v>3.5</v>
      </c>
      <c r="AC79" s="189">
        <v>3.5</v>
      </c>
      <c r="AD79" s="190">
        <f>AVERAGE(P79:T79)</f>
        <v>3.5</v>
      </c>
      <c r="AE79" s="190">
        <f t="shared" ref="AE79" si="73">AVERAGE(U79:W79)</f>
        <v>3.5</v>
      </c>
      <c r="AF79" s="190">
        <f t="shared" ref="AF79" si="74">AVERAGE(X79:Z79)</f>
        <v>3.5</v>
      </c>
      <c r="AG79" s="190">
        <f t="shared" ref="AG79" si="75">AVERAGE(AA79:AC79)</f>
        <v>3.5</v>
      </c>
      <c r="AH79" s="54">
        <f>AVERAGE(P79:AC79)</f>
        <v>3.5</v>
      </c>
    </row>
    <row r="80" spans="1:358" ht="42.75" hidden="1" customHeight="1" outlineLevel="1" thickBot="1">
      <c r="A80" s="47" t="s">
        <v>26</v>
      </c>
      <c r="B80" s="78" t="e">
        <f>C80-#REF!</f>
        <v>#REF!</v>
      </c>
      <c r="C80" s="123">
        <v>1.5</v>
      </c>
      <c r="D80" s="49"/>
      <c r="E80" s="49"/>
      <c r="F80" s="52"/>
      <c r="G80" s="57"/>
      <c r="H80" s="56"/>
      <c r="I80" s="56"/>
      <c r="J80" s="123"/>
      <c r="K80" s="189">
        <v>1.2</v>
      </c>
      <c r="L80" s="191">
        <v>1.2</v>
      </c>
      <c r="M80" s="189">
        <v>1.2</v>
      </c>
      <c r="N80" s="191">
        <v>2</v>
      </c>
      <c r="O80" s="191">
        <v>2.5</v>
      </c>
      <c r="P80" s="56">
        <v>4</v>
      </c>
      <c r="Q80" s="189">
        <v>2.9</v>
      </c>
      <c r="R80" s="189"/>
      <c r="S80" s="185"/>
      <c r="T80" s="186">
        <v>2.5</v>
      </c>
      <c r="U80" s="189">
        <v>2</v>
      </c>
      <c r="V80" s="189">
        <v>2</v>
      </c>
      <c r="W80" s="189">
        <v>2</v>
      </c>
      <c r="X80" s="189">
        <v>2</v>
      </c>
      <c r="Y80" s="189">
        <v>2</v>
      </c>
      <c r="Z80" s="189">
        <v>2</v>
      </c>
      <c r="AA80" s="189">
        <v>2</v>
      </c>
      <c r="AB80" s="189">
        <v>2</v>
      </c>
      <c r="AC80" s="189">
        <v>2</v>
      </c>
      <c r="AD80" s="54">
        <f>AVERAGE(P80:T80)</f>
        <v>3.1333333333333333</v>
      </c>
      <c r="AE80" s="54">
        <f t="shared" si="69"/>
        <v>2</v>
      </c>
      <c r="AF80" s="54">
        <f t="shared" si="70"/>
        <v>2</v>
      </c>
      <c r="AG80" s="54">
        <f t="shared" si="71"/>
        <v>2</v>
      </c>
      <c r="AH80" s="54">
        <f>AVERAGE(P80:AC80)</f>
        <v>2.2833333333333332</v>
      </c>
    </row>
    <row r="81" spans="1:358" s="62" customFormat="1" ht="33" hidden="1" customHeight="1" outlineLevel="1" thickBot="1">
      <c r="A81" s="47" t="s">
        <v>75</v>
      </c>
      <c r="B81" s="78" t="s">
        <v>27</v>
      </c>
      <c r="C81" s="123" t="s">
        <v>27</v>
      </c>
      <c r="D81" s="49"/>
      <c r="E81" s="49"/>
      <c r="F81" s="52"/>
      <c r="G81" s="57"/>
      <c r="H81" s="52"/>
      <c r="I81" s="52"/>
      <c r="J81" s="123" t="e">
        <f t="shared" ref="J81" si="76">AVERAGE(J77:J80)</f>
        <v>#DIV/0!</v>
      </c>
      <c r="K81" s="181">
        <f>AVERAGE(K77:K80)</f>
        <v>1.2</v>
      </c>
      <c r="L81" s="182">
        <f>AVERAGE(L77:L80)</f>
        <v>1.5</v>
      </c>
      <c r="M81" s="182">
        <f>AVERAGE(M77:M80)</f>
        <v>1.625</v>
      </c>
      <c r="N81" s="182">
        <v>1.6</v>
      </c>
      <c r="O81" s="182">
        <f>AVERAGE(O77:O80)</f>
        <v>2.0666666666666669</v>
      </c>
      <c r="P81" s="56">
        <f>AVERAGE(P77:P80)</f>
        <v>3.5</v>
      </c>
      <c r="Q81" s="189">
        <f>AVERAGE(Q77:Q80)</f>
        <v>3.0500000000000003</v>
      </c>
      <c r="R81" s="189"/>
      <c r="S81" s="192"/>
      <c r="T81" s="192">
        <f>AVERAGE(T77:T80)</f>
        <v>2.85</v>
      </c>
      <c r="U81" s="189">
        <f t="shared" ref="U81:AD81" si="77">AVERAGE(U77:U80)</f>
        <v>2.625</v>
      </c>
      <c r="V81" s="189">
        <f t="shared" si="77"/>
        <v>2.625</v>
      </c>
      <c r="W81" s="189">
        <f t="shared" si="77"/>
        <v>2.5</v>
      </c>
      <c r="X81" s="189">
        <f t="shared" si="77"/>
        <v>2.4249999999999998</v>
      </c>
      <c r="Y81" s="189">
        <f t="shared" si="77"/>
        <v>2.4249999999999998</v>
      </c>
      <c r="Z81" s="189">
        <f t="shared" si="77"/>
        <v>2.5625</v>
      </c>
      <c r="AA81" s="189">
        <f t="shared" si="77"/>
        <v>2.6375000000000002</v>
      </c>
      <c r="AB81" s="189">
        <f t="shared" si="77"/>
        <v>2.6875</v>
      </c>
      <c r="AC81" s="189">
        <f t="shared" si="77"/>
        <v>2.625</v>
      </c>
      <c r="AD81" s="164">
        <f t="shared" si="77"/>
        <v>3.1333333333333333</v>
      </c>
      <c r="AE81" s="164">
        <f>AVERAGE(AE77:AE80)</f>
        <v>2.5833333333333335</v>
      </c>
      <c r="AF81" s="164">
        <f t="shared" ref="AF81:AG81" si="78">AVERAGE(AF77:AF80)</f>
        <v>2.4708333333333332</v>
      </c>
      <c r="AG81" s="164">
        <f t="shared" si="78"/>
        <v>2.65</v>
      </c>
      <c r="AH81" s="59">
        <f>AVERAGE(AH77:AH80)</f>
        <v>2.7093750000000001</v>
      </c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  <c r="DV81" s="61"/>
      <c r="DW81" s="61"/>
      <c r="DX81" s="61"/>
      <c r="DY81" s="61"/>
      <c r="DZ81" s="61"/>
      <c r="EA81" s="61"/>
      <c r="EB81" s="61"/>
      <c r="EC81" s="61"/>
      <c r="ED81" s="61"/>
      <c r="EE81" s="61"/>
      <c r="EF81" s="61"/>
      <c r="EG81" s="61"/>
      <c r="EH81" s="61"/>
      <c r="EI81" s="61"/>
      <c r="EJ81" s="61"/>
      <c r="EK81" s="61"/>
      <c r="EL81" s="61"/>
      <c r="EM81" s="61"/>
      <c r="EN81" s="61"/>
      <c r="EO81" s="61"/>
      <c r="EP81" s="61"/>
      <c r="EQ81" s="61"/>
      <c r="ER81" s="61"/>
      <c r="ES81" s="61"/>
      <c r="ET81" s="61"/>
      <c r="EU81" s="61"/>
      <c r="EV81" s="61"/>
      <c r="EW81" s="61"/>
      <c r="EX81" s="61"/>
      <c r="EY81" s="61"/>
      <c r="EZ81" s="61"/>
      <c r="FA81" s="61"/>
      <c r="FB81" s="61"/>
      <c r="FC81" s="61"/>
      <c r="FD81" s="61"/>
      <c r="FE81" s="61"/>
      <c r="FF81" s="61"/>
      <c r="FG81" s="61"/>
      <c r="FH81" s="61"/>
      <c r="FI81" s="61"/>
      <c r="FJ81" s="61"/>
      <c r="FK81" s="61"/>
      <c r="FL81" s="61"/>
      <c r="FM81" s="61"/>
      <c r="FN81" s="61"/>
      <c r="FO81" s="61"/>
      <c r="FP81" s="61"/>
      <c r="FQ81" s="61"/>
      <c r="FR81" s="61"/>
      <c r="FS81" s="61"/>
      <c r="FT81" s="61"/>
      <c r="FU81" s="61"/>
      <c r="FV81" s="61"/>
      <c r="FW81" s="61"/>
      <c r="FX81" s="61"/>
      <c r="FY81" s="61"/>
      <c r="FZ81" s="61"/>
      <c r="GA81" s="61"/>
      <c r="GB81" s="61"/>
      <c r="GC81" s="61"/>
      <c r="GD81" s="61"/>
      <c r="GE81" s="61"/>
      <c r="GF81" s="61"/>
      <c r="GG81" s="61"/>
      <c r="GH81" s="61"/>
      <c r="GI81" s="61"/>
      <c r="GJ81" s="61"/>
      <c r="GK81" s="61"/>
      <c r="GL81" s="61"/>
      <c r="GM81" s="61"/>
      <c r="GN81" s="61"/>
      <c r="GO81" s="61"/>
      <c r="GP81" s="61"/>
      <c r="GQ81" s="61"/>
      <c r="GR81" s="61"/>
      <c r="GS81" s="61"/>
      <c r="GT81" s="61"/>
      <c r="GU81" s="61"/>
      <c r="GV81" s="61"/>
      <c r="GW81" s="61"/>
      <c r="GX81" s="61"/>
      <c r="GY81" s="61"/>
      <c r="GZ81" s="61"/>
      <c r="HA81" s="61"/>
      <c r="HB81" s="61"/>
      <c r="HC81" s="61"/>
      <c r="HD81" s="61"/>
      <c r="HE81" s="61"/>
      <c r="HF81" s="61"/>
      <c r="HG81" s="61"/>
      <c r="HH81" s="61"/>
      <c r="HI81" s="61"/>
      <c r="HJ81" s="61"/>
      <c r="HK81" s="61"/>
      <c r="HL81" s="61"/>
      <c r="HM81" s="61"/>
      <c r="HN81" s="61"/>
      <c r="HO81" s="61"/>
      <c r="HP81" s="61"/>
      <c r="HQ81" s="61"/>
      <c r="HR81" s="61"/>
      <c r="HS81" s="61"/>
      <c r="HT81" s="61"/>
      <c r="HU81" s="61"/>
      <c r="HV81" s="61"/>
      <c r="HW81" s="61"/>
      <c r="HX81" s="61"/>
      <c r="HY81" s="61"/>
      <c r="HZ81" s="61"/>
      <c r="IA81" s="61"/>
      <c r="IB81" s="61"/>
      <c r="IC81" s="61"/>
      <c r="ID81" s="61"/>
      <c r="IE81" s="61"/>
      <c r="IF81" s="61"/>
      <c r="IG81" s="61"/>
      <c r="IH81" s="61"/>
      <c r="II81" s="61"/>
      <c r="IJ81" s="61"/>
      <c r="IK81" s="61"/>
      <c r="IL81" s="61"/>
      <c r="IM81" s="61"/>
      <c r="IN81" s="61"/>
      <c r="IO81" s="61"/>
      <c r="IP81" s="61"/>
      <c r="IQ81" s="61"/>
      <c r="IR81" s="61"/>
      <c r="IS81" s="61"/>
      <c r="IT81" s="61"/>
      <c r="IU81" s="61"/>
      <c r="IV81" s="61"/>
      <c r="IW81" s="61"/>
      <c r="IX81" s="61"/>
      <c r="IY81" s="61"/>
      <c r="IZ81" s="61"/>
      <c r="JA81" s="61"/>
      <c r="JB81" s="61"/>
      <c r="JC81" s="61"/>
      <c r="JD81" s="61"/>
      <c r="JE81" s="61"/>
      <c r="JF81" s="61"/>
      <c r="JG81" s="61"/>
      <c r="JH81" s="61"/>
      <c r="JI81" s="61"/>
      <c r="JJ81" s="61"/>
      <c r="JK81" s="61"/>
      <c r="JL81" s="61"/>
      <c r="JM81" s="61"/>
      <c r="JN81" s="61"/>
      <c r="JO81" s="61"/>
      <c r="JP81" s="61"/>
      <c r="JQ81" s="61"/>
      <c r="JR81" s="61"/>
      <c r="JS81" s="61"/>
      <c r="JT81" s="61"/>
      <c r="JU81" s="61"/>
      <c r="JV81" s="61"/>
      <c r="JW81" s="61"/>
      <c r="JX81" s="61"/>
      <c r="JY81" s="61"/>
      <c r="JZ81" s="61"/>
      <c r="KA81" s="61"/>
      <c r="KB81" s="61"/>
      <c r="KC81" s="61"/>
      <c r="KD81" s="61"/>
      <c r="KE81" s="61"/>
      <c r="KF81" s="61"/>
      <c r="KG81" s="61"/>
      <c r="KH81" s="61"/>
      <c r="KI81" s="61"/>
      <c r="KJ81" s="61"/>
      <c r="KK81" s="61"/>
      <c r="KL81" s="61"/>
      <c r="KM81" s="61"/>
      <c r="KN81" s="61"/>
      <c r="KO81" s="61"/>
      <c r="KP81" s="61"/>
      <c r="KQ81" s="61"/>
      <c r="KR81" s="61"/>
      <c r="KS81" s="61"/>
      <c r="KT81" s="61"/>
      <c r="KU81" s="61"/>
      <c r="KV81" s="61"/>
      <c r="KW81" s="61"/>
      <c r="KX81" s="61"/>
      <c r="KY81" s="61"/>
      <c r="KZ81" s="61"/>
      <c r="LA81" s="61"/>
      <c r="LB81" s="61"/>
      <c r="LC81" s="61"/>
      <c r="LD81" s="61"/>
      <c r="LE81" s="61"/>
      <c r="LF81" s="61"/>
      <c r="LG81" s="61"/>
      <c r="LH81" s="61"/>
      <c r="LI81" s="61"/>
      <c r="LJ81" s="61"/>
      <c r="LK81" s="61"/>
      <c r="LL81" s="61"/>
      <c r="LM81" s="61"/>
      <c r="LN81" s="61"/>
      <c r="LO81" s="61"/>
      <c r="LP81" s="61"/>
      <c r="LQ81" s="61"/>
      <c r="LR81" s="61"/>
      <c r="LS81" s="61"/>
      <c r="LT81" s="61"/>
      <c r="LU81" s="61"/>
      <c r="LV81" s="61"/>
      <c r="LW81" s="61"/>
      <c r="LX81" s="61"/>
      <c r="LY81" s="61"/>
      <c r="LZ81" s="61"/>
      <c r="MA81" s="61"/>
      <c r="MB81" s="61"/>
      <c r="MC81" s="61"/>
      <c r="MD81" s="61"/>
      <c r="ME81" s="61"/>
      <c r="MF81" s="61"/>
      <c r="MG81" s="61"/>
      <c r="MH81" s="61"/>
      <c r="MI81" s="61"/>
      <c r="MJ81" s="61"/>
      <c r="MK81" s="61"/>
      <c r="ML81" s="61"/>
      <c r="MM81" s="61"/>
      <c r="MN81" s="61"/>
      <c r="MO81" s="61"/>
      <c r="MP81" s="61"/>
      <c r="MQ81" s="61"/>
      <c r="MR81" s="61"/>
      <c r="MS81" s="61"/>
      <c r="MT81" s="61"/>
    </row>
    <row r="82" spans="1:358" s="62" customFormat="1" ht="33" customHeight="1" collapsed="1" thickBot="1">
      <c r="A82" s="245" t="s">
        <v>74</v>
      </c>
      <c r="B82" s="58"/>
      <c r="C82" s="58"/>
      <c r="D82" s="87"/>
      <c r="E82" s="58"/>
      <c r="F82" s="59"/>
      <c r="G82" s="59"/>
      <c r="H82" s="59"/>
      <c r="I82" s="59"/>
      <c r="J82" s="59"/>
      <c r="K82" s="59"/>
      <c r="L82" s="59"/>
      <c r="M82" s="59"/>
      <c r="N82" s="59">
        <f>N81</f>
        <v>1.6</v>
      </c>
      <c r="O82" s="59">
        <f>O81</f>
        <v>2.0666666666666669</v>
      </c>
      <c r="P82" s="59">
        <v>3.5</v>
      </c>
      <c r="Q82" s="59">
        <v>3.0500000000000003</v>
      </c>
      <c r="R82" s="59"/>
      <c r="S82" s="60"/>
      <c r="T82" s="60">
        <v>2.85</v>
      </c>
      <c r="U82" s="59">
        <v>2.625</v>
      </c>
      <c r="V82" s="59">
        <v>2.625</v>
      </c>
      <c r="W82" s="59">
        <v>2.5</v>
      </c>
      <c r="X82" s="59">
        <v>2.4249999999999998</v>
      </c>
      <c r="Y82" s="59">
        <v>2.4249999999999998</v>
      </c>
      <c r="Z82" s="59">
        <v>2.5625</v>
      </c>
      <c r="AA82" s="59">
        <v>2.6375000000000002</v>
      </c>
      <c r="AB82" s="59">
        <v>2.6875</v>
      </c>
      <c r="AC82" s="59">
        <v>2.625</v>
      </c>
      <c r="AD82" s="59">
        <v>3.1333333333333333</v>
      </c>
      <c r="AE82" s="59">
        <v>2.5833333333333335</v>
      </c>
      <c r="AF82" s="59">
        <v>2.4708333333333332</v>
      </c>
      <c r="AG82" s="59">
        <v>2.65</v>
      </c>
      <c r="AH82" s="59">
        <v>2.7093750000000001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>
      <c r="F83" s="1"/>
      <c r="G83" s="1"/>
      <c r="H83" s="1"/>
      <c r="I83" s="125"/>
      <c r="K83" s="125">
        <f>K13+K81</f>
        <v>49.5</v>
      </c>
      <c r="L83" s="125">
        <f>L13+L81</f>
        <v>48.35</v>
      </c>
      <c r="M83" s="125">
        <f>M13+M81</f>
        <v>50.26</v>
      </c>
      <c r="N83" s="125"/>
      <c r="O83" s="125"/>
      <c r="P83" s="1"/>
      <c r="Q83" s="1"/>
      <c r="R83" s="125"/>
      <c r="S83" s="125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7"/>
    </row>
    <row r="84" spans="1:358" ht="41.25" customHeight="1">
      <c r="F84" s="127" t="s">
        <v>4</v>
      </c>
      <c r="G84" s="127" t="s">
        <v>5</v>
      </c>
      <c r="H84" s="127" t="s">
        <v>6</v>
      </c>
      <c r="I84" s="127" t="s">
        <v>7</v>
      </c>
      <c r="J84" s="28" t="s">
        <v>2</v>
      </c>
      <c r="K84" s="127" t="s">
        <v>71</v>
      </c>
      <c r="L84" s="127" t="s">
        <v>72</v>
      </c>
      <c r="M84" s="127" t="s">
        <v>73</v>
      </c>
      <c r="N84" s="127" t="s">
        <v>12</v>
      </c>
      <c r="O84" s="127" t="s">
        <v>13</v>
      </c>
      <c r="P84" s="127" t="s">
        <v>14</v>
      </c>
      <c r="Q84" s="127" t="s">
        <v>15</v>
      </c>
      <c r="R84" s="128"/>
      <c r="S84" s="128"/>
      <c r="T84" s="127" t="s">
        <v>16</v>
      </c>
      <c r="U84" s="127" t="s">
        <v>64</v>
      </c>
      <c r="V84" s="127" t="s">
        <v>65</v>
      </c>
      <c r="W84" s="127" t="s">
        <v>66</v>
      </c>
      <c r="X84" s="127" t="s">
        <v>67</v>
      </c>
      <c r="Y84" s="127" t="s">
        <v>83</v>
      </c>
      <c r="Z84" s="127" t="s">
        <v>69</v>
      </c>
      <c r="AA84" s="127" t="s">
        <v>70</v>
      </c>
      <c r="AB84" s="127" t="s">
        <v>77</v>
      </c>
      <c r="AC84" s="127" t="s">
        <v>78</v>
      </c>
      <c r="AD84" s="127" t="s">
        <v>79</v>
      </c>
      <c r="AE84" s="127" t="s">
        <v>80</v>
      </c>
      <c r="AF84" s="127" t="s">
        <v>81</v>
      </c>
      <c r="AG84" s="127" t="s">
        <v>82</v>
      </c>
      <c r="AH84" s="172">
        <v>2016</v>
      </c>
    </row>
    <row r="85" spans="1:358" ht="17.25" customHeight="1">
      <c r="A85" s="129" t="s">
        <v>48</v>
      </c>
      <c r="B85" s="129" t="s">
        <v>48</v>
      </c>
      <c r="C85" s="129" t="s">
        <v>48</v>
      </c>
      <c r="D85" s="130"/>
      <c r="E85" s="130"/>
      <c r="F85" s="36"/>
      <c r="G85" s="36">
        <v>56.18</v>
      </c>
      <c r="H85" s="36">
        <v>47.690789473684205</v>
      </c>
      <c r="I85" s="36">
        <v>45.375000000000007</v>
      </c>
      <c r="J85" s="36" t="e">
        <f>J13</f>
        <v>#DIV/0!</v>
      </c>
      <c r="K85" s="36">
        <f>K13</f>
        <v>48.3</v>
      </c>
      <c r="L85" s="36">
        <f>L13</f>
        <v>46.85</v>
      </c>
      <c r="M85" s="36">
        <f>M13</f>
        <v>48.634999999999998</v>
      </c>
      <c r="N85" s="36">
        <f>N13</f>
        <v>46.25</v>
      </c>
      <c r="O85" s="36">
        <f>O14</f>
        <v>0</v>
      </c>
      <c r="P85" s="36">
        <f>P14</f>
        <v>0</v>
      </c>
      <c r="Q85" s="36">
        <f t="shared" ref="Q85:AC85" si="79">Q14</f>
        <v>31.3125</v>
      </c>
      <c r="R85" s="36"/>
      <c r="S85" s="36"/>
      <c r="T85" s="36">
        <f t="shared" si="79"/>
        <v>31.75</v>
      </c>
      <c r="U85" s="36">
        <f t="shared" si="79"/>
        <v>33.549999999999997</v>
      </c>
      <c r="V85" s="36">
        <f t="shared" si="79"/>
        <v>33.674999999999997</v>
      </c>
      <c r="W85" s="36">
        <f t="shared" si="79"/>
        <v>34.75</v>
      </c>
      <c r="X85" s="36">
        <f t="shared" si="79"/>
        <v>36.875</v>
      </c>
      <c r="Y85" s="36">
        <f t="shared" si="79"/>
        <v>38</v>
      </c>
      <c r="Z85" s="36">
        <f t="shared" si="79"/>
        <v>39.262500000000003</v>
      </c>
      <c r="AA85" s="36">
        <f t="shared" si="79"/>
        <v>41</v>
      </c>
      <c r="AB85" s="36">
        <f t="shared" si="79"/>
        <v>42.375</v>
      </c>
      <c r="AC85" s="36">
        <f t="shared" si="79"/>
        <v>44.25</v>
      </c>
      <c r="AD85" s="36">
        <f>AD14</f>
        <v>31.1875</v>
      </c>
      <c r="AE85" s="36">
        <f t="shared" ref="AE85:AG85" si="80">AE14</f>
        <v>33.991666666666667</v>
      </c>
      <c r="AF85" s="36">
        <f t="shared" si="80"/>
        <v>38.045833333333334</v>
      </c>
      <c r="AG85" s="36">
        <f t="shared" si="80"/>
        <v>42.541666666666664</v>
      </c>
      <c r="AH85" s="173">
        <f>AVERAGE(P85:AC85)</f>
        <v>33.9</v>
      </c>
    </row>
    <row r="86" spans="1:358" ht="18.5">
      <c r="A86" s="129" t="s">
        <v>49</v>
      </c>
      <c r="B86" s="129" t="s">
        <v>49</v>
      </c>
      <c r="C86" s="129" t="s">
        <v>49</v>
      </c>
      <c r="D86" s="130"/>
      <c r="E86" s="130"/>
      <c r="F86" s="36"/>
      <c r="G86" s="36">
        <v>53.145899999999997</v>
      </c>
      <c r="H86" s="36">
        <v>45.764210526315786</v>
      </c>
      <c r="I86" s="36">
        <v>46.804999999999993</v>
      </c>
      <c r="J86" s="36" t="e">
        <f>J13+#REF!</f>
        <v>#DIV/0!</v>
      </c>
      <c r="K86" s="36" t="e">
        <f>K13+#REF!</f>
        <v>#REF!</v>
      </c>
      <c r="L86" s="36" t="e">
        <f>L13+#REF!</f>
        <v>#REF!</v>
      </c>
      <c r="M86" s="36">
        <f>M13+M24</f>
        <v>50.059999999999995</v>
      </c>
      <c r="N86" s="36">
        <f>N13+N25</f>
        <v>50.125</v>
      </c>
      <c r="O86" s="36">
        <f>O14+O25</f>
        <v>6</v>
      </c>
      <c r="P86" s="36">
        <f>P14+P25</f>
        <v>0</v>
      </c>
      <c r="Q86" s="36">
        <f t="shared" ref="Q86:AC86" si="81">Q14+Q25</f>
        <v>40.487499999999997</v>
      </c>
      <c r="R86" s="36"/>
      <c r="S86" s="36"/>
      <c r="T86" s="36">
        <f t="shared" si="81"/>
        <v>39</v>
      </c>
      <c r="U86" s="36">
        <f t="shared" si="81"/>
        <v>39.299999999999997</v>
      </c>
      <c r="V86" s="36">
        <f t="shared" si="81"/>
        <v>39.237499999999997</v>
      </c>
      <c r="W86" s="36">
        <f t="shared" si="81"/>
        <v>39.375</v>
      </c>
      <c r="X86" s="36">
        <f t="shared" si="81"/>
        <v>41.875</v>
      </c>
      <c r="Y86" s="36">
        <f t="shared" si="81"/>
        <v>42.5</v>
      </c>
      <c r="Z86" s="36">
        <f t="shared" si="81"/>
        <v>43.262500000000003</v>
      </c>
      <c r="AA86" s="36">
        <f t="shared" si="81"/>
        <v>44.75</v>
      </c>
      <c r="AB86" s="36">
        <f t="shared" si="81"/>
        <v>46.375</v>
      </c>
      <c r="AC86" s="36">
        <f t="shared" si="81"/>
        <v>48.5</v>
      </c>
      <c r="AD86" s="36">
        <f t="shared" ref="AD86:AG86" si="82">AD13+AD24</f>
        <v>40.229166666666671</v>
      </c>
      <c r="AE86" s="36">
        <f t="shared" si="82"/>
        <v>39.304166666666667</v>
      </c>
      <c r="AF86" s="36">
        <f t="shared" si="82"/>
        <v>41.837499999999999</v>
      </c>
      <c r="AG86" s="36">
        <f t="shared" si="82"/>
        <v>45.599999999999994</v>
      </c>
      <c r="AH86" s="173">
        <f t="shared" ref="AH86:AH90" si="83">AVERAGE(P86:AC86)</f>
        <v>38.721874999999997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.5">
      <c r="A87" s="129">
        <v>95</v>
      </c>
      <c r="B87" s="129">
        <v>95</v>
      </c>
      <c r="C87" s="129">
        <v>95</v>
      </c>
      <c r="D87" s="130"/>
      <c r="E87" s="130"/>
      <c r="F87" s="36"/>
      <c r="G87" s="36">
        <v>75.946299999999994</v>
      </c>
      <c r="H87" s="36">
        <v>66.004736842105288</v>
      </c>
      <c r="I87" s="36">
        <v>65.236000000000004</v>
      </c>
      <c r="J87" s="36" t="e">
        <f>J35+J13</f>
        <v>#DIV/0!</v>
      </c>
      <c r="K87" s="36">
        <f>K35+K13</f>
        <v>64.782499999999999</v>
      </c>
      <c r="L87" s="36">
        <f>L35+L13</f>
        <v>64.099999999999994</v>
      </c>
      <c r="M87" s="36">
        <f>M35+M13</f>
        <v>65.007499999999993</v>
      </c>
      <c r="N87" s="36">
        <f>N36+N13</f>
        <v>62.0625</v>
      </c>
      <c r="O87" s="36">
        <f>O36+O14</f>
        <v>17.5</v>
      </c>
      <c r="P87" s="36">
        <f>P36+P14</f>
        <v>0</v>
      </c>
      <c r="Q87" s="36">
        <f t="shared" ref="Q87:AC87" si="84">Q36+Q14</f>
        <v>51.5625</v>
      </c>
      <c r="R87" s="36"/>
      <c r="S87" s="36"/>
      <c r="T87" s="36">
        <f t="shared" si="84"/>
        <v>50.8</v>
      </c>
      <c r="U87" s="36">
        <f t="shared" si="84"/>
        <v>51.8</v>
      </c>
      <c r="V87" s="36">
        <f t="shared" si="84"/>
        <v>52.8</v>
      </c>
      <c r="W87" s="36">
        <f t="shared" si="84"/>
        <v>54.924999999999997</v>
      </c>
      <c r="X87" s="36">
        <f t="shared" si="84"/>
        <v>57.125</v>
      </c>
      <c r="Y87" s="36">
        <f t="shared" si="84"/>
        <v>56.375</v>
      </c>
      <c r="Z87" s="36">
        <f t="shared" si="84"/>
        <v>56.637500000000003</v>
      </c>
      <c r="AA87" s="36">
        <f t="shared" si="84"/>
        <v>58.0625</v>
      </c>
      <c r="AB87" s="36">
        <f t="shared" si="84"/>
        <v>58.625</v>
      </c>
      <c r="AC87" s="36">
        <f t="shared" si="84"/>
        <v>60.25</v>
      </c>
      <c r="AD87" s="36">
        <f t="shared" ref="AD87:AG87" si="85">AD35+AD13</f>
        <v>51.479166666666671</v>
      </c>
      <c r="AE87" s="36">
        <f t="shared" si="85"/>
        <v>53.174999999999997</v>
      </c>
      <c r="AF87" s="36">
        <f t="shared" si="85"/>
        <v>56.712500000000006</v>
      </c>
      <c r="AG87" s="36">
        <f t="shared" si="85"/>
        <v>58.979166666666664</v>
      </c>
      <c r="AH87" s="173">
        <f t="shared" si="83"/>
        <v>50.746874999999996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5">
      <c r="A88" s="129" t="s">
        <v>50</v>
      </c>
      <c r="B88" s="129" t="s">
        <v>50</v>
      </c>
      <c r="C88" s="129" t="s">
        <v>50</v>
      </c>
      <c r="D88" s="133"/>
      <c r="E88" s="133"/>
      <c r="F88" s="36"/>
      <c r="G88" s="36">
        <v>65.808999999999997</v>
      </c>
      <c r="H88" s="36">
        <v>57.075789473684203</v>
      </c>
      <c r="I88" s="36">
        <v>58.993499999999997</v>
      </c>
      <c r="J88" s="36" t="e">
        <f>J46+J13</f>
        <v>#DIV/0!</v>
      </c>
      <c r="K88" s="36">
        <f>K46+K13</f>
        <v>61.41</v>
      </c>
      <c r="L88" s="36">
        <f>L46+L13</f>
        <v>60.285000000000004</v>
      </c>
      <c r="M88" s="36">
        <f>M46+M13</f>
        <v>61.98</v>
      </c>
      <c r="N88" s="36">
        <f>N47+N13</f>
        <v>60.48</v>
      </c>
      <c r="O88" s="36">
        <f>O47+O14</f>
        <v>15.6</v>
      </c>
      <c r="P88" s="36">
        <f>P47+P14</f>
        <v>0</v>
      </c>
      <c r="Q88" s="36">
        <f t="shared" ref="Q88:AC88" si="86">Q47+Q14</f>
        <v>43.087499999999999</v>
      </c>
      <c r="R88" s="36"/>
      <c r="S88" s="36"/>
      <c r="T88" s="36">
        <f t="shared" si="86"/>
        <v>42.945</v>
      </c>
      <c r="U88" s="36">
        <f t="shared" si="86"/>
        <v>44.9</v>
      </c>
      <c r="V88" s="36">
        <f t="shared" si="86"/>
        <v>45.214999999999996</v>
      </c>
      <c r="W88" s="36">
        <f t="shared" si="86"/>
        <v>46.457499999999996</v>
      </c>
      <c r="X88" s="36">
        <f t="shared" si="86"/>
        <v>48.3125</v>
      </c>
      <c r="Y88" s="36">
        <f t="shared" si="86"/>
        <v>49.475000000000001</v>
      </c>
      <c r="Z88" s="36">
        <f t="shared" si="86"/>
        <v>51.112500000000004</v>
      </c>
      <c r="AA88" s="36">
        <f t="shared" si="86"/>
        <v>53.55</v>
      </c>
      <c r="AB88" s="36">
        <f t="shared" si="86"/>
        <v>55.85</v>
      </c>
      <c r="AC88" s="36">
        <f t="shared" si="86"/>
        <v>57.8</v>
      </c>
      <c r="AD88" s="36">
        <f t="shared" ref="AD88:AG88" si="87">AD46+AD13</f>
        <v>43.514166666666668</v>
      </c>
      <c r="AE88" s="36">
        <f t="shared" si="87"/>
        <v>45.524166666666666</v>
      </c>
      <c r="AF88" s="36">
        <f t="shared" si="87"/>
        <v>49.633333333333333</v>
      </c>
      <c r="AG88" s="36">
        <f t="shared" si="87"/>
        <v>55.733333333333334</v>
      </c>
      <c r="AH88" s="173">
        <f t="shared" si="83"/>
        <v>44.892083333333339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5">
      <c r="A89" s="129" t="s">
        <v>51</v>
      </c>
      <c r="B89" s="129" t="s">
        <v>51</v>
      </c>
      <c r="C89" s="129" t="s">
        <v>51</v>
      </c>
      <c r="D89" s="130"/>
      <c r="E89" s="130"/>
      <c r="F89" s="36"/>
      <c r="G89" s="36">
        <v>65.069999999999993</v>
      </c>
      <c r="H89" s="36">
        <v>57.116315789473688</v>
      </c>
      <c r="I89" s="36">
        <v>59.478000000000009</v>
      </c>
      <c r="J89" s="36" t="e">
        <f>J59+J13</f>
        <v>#DIV/0!</v>
      </c>
      <c r="K89" s="36">
        <f>K59+K13</f>
        <v>61.65</v>
      </c>
      <c r="L89" s="36">
        <f>L59+L13</f>
        <v>60.6</v>
      </c>
      <c r="M89" s="36">
        <f>M59+M13</f>
        <v>61.704999999999998</v>
      </c>
      <c r="N89" s="36">
        <f>N60+N13</f>
        <v>60.28</v>
      </c>
      <c r="O89" s="36">
        <f>O60+O14</f>
        <v>14.15</v>
      </c>
      <c r="P89" s="36">
        <f>P60+P14</f>
        <v>10.862500000000001</v>
      </c>
      <c r="Q89" s="36">
        <f t="shared" ref="Q89:AC89" si="88">Q60+Q14</f>
        <v>42.3125</v>
      </c>
      <c r="R89" s="36"/>
      <c r="S89" s="36"/>
      <c r="T89" s="36">
        <f t="shared" si="88"/>
        <v>42.424999999999997</v>
      </c>
      <c r="U89" s="36">
        <f t="shared" si="88"/>
        <v>44.737499999999997</v>
      </c>
      <c r="V89" s="36">
        <f t="shared" si="88"/>
        <v>45.174999999999997</v>
      </c>
      <c r="W89" s="36">
        <f t="shared" si="88"/>
        <v>46.45</v>
      </c>
      <c r="X89" s="36">
        <f t="shared" si="88"/>
        <v>48.31</v>
      </c>
      <c r="Y89" s="36">
        <f t="shared" si="88"/>
        <v>48.962499999999999</v>
      </c>
      <c r="Z89" s="36">
        <f t="shared" si="88"/>
        <v>50.337500000000006</v>
      </c>
      <c r="AA89" s="36">
        <f t="shared" si="88"/>
        <v>52.975000000000001</v>
      </c>
      <c r="AB89" s="36">
        <f t="shared" si="88"/>
        <v>55.28</v>
      </c>
      <c r="AC89" s="36">
        <f t="shared" si="88"/>
        <v>57.28</v>
      </c>
      <c r="AD89" s="36">
        <f t="shared" ref="AD89:AG89" si="89">AD59+AD13</f>
        <v>42.950833333333335</v>
      </c>
      <c r="AE89" s="36">
        <f t="shared" si="89"/>
        <v>45.584166666666668</v>
      </c>
      <c r="AF89" s="36">
        <f t="shared" si="89"/>
        <v>49.203333333333333</v>
      </c>
      <c r="AG89" s="36">
        <f t="shared" si="89"/>
        <v>55.178333333333327</v>
      </c>
      <c r="AH89" s="173">
        <f t="shared" si="83"/>
        <v>45.425624999999997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5">
      <c r="A90" s="129" t="s">
        <v>52</v>
      </c>
      <c r="B90" s="129" t="s">
        <v>52</v>
      </c>
      <c r="C90" s="129" t="s">
        <v>52</v>
      </c>
      <c r="D90" s="130"/>
      <c r="E90" s="130"/>
      <c r="F90" s="134"/>
      <c r="G90" s="134">
        <v>48.747959921259849</v>
      </c>
      <c r="H90" s="134">
        <v>38.740489017820138</v>
      </c>
      <c r="I90" s="134">
        <v>37.475669291338583</v>
      </c>
      <c r="J90" s="134" t="e">
        <f>(J70+J13)*6.35</f>
        <v>#DIV/0!</v>
      </c>
      <c r="K90" s="134">
        <f>(K70+K13)*6.35</f>
        <v>254.92074999999997</v>
      </c>
      <c r="L90" s="134">
        <f>(L70+L13)*6.35</f>
        <v>245.71324999999999</v>
      </c>
      <c r="M90" s="134">
        <f>(M70+M13)*6.35</f>
        <v>255.93674999999999</v>
      </c>
      <c r="N90" s="134">
        <f>(N71+N13)*6.35</f>
        <v>249.76137499999996</v>
      </c>
      <c r="O90" s="134">
        <f>(O71+O14)*6.35</f>
        <v>-42.756666666666668</v>
      </c>
      <c r="P90" s="134">
        <f>(P71+P14)*6.35</f>
        <v>-32.543749999999996</v>
      </c>
      <c r="Q90" s="134">
        <f t="shared" ref="Q90:AC90" si="90">(Q71+Q14)*6.35</f>
        <v>160.956625</v>
      </c>
      <c r="R90" s="134"/>
      <c r="S90" s="134"/>
      <c r="T90" s="134">
        <f t="shared" si="90"/>
        <v>159.0675</v>
      </c>
      <c r="U90" s="134">
        <f t="shared" si="90"/>
        <v>170.33874999999998</v>
      </c>
      <c r="V90" s="134">
        <f t="shared" si="90"/>
        <v>169.78312499999998</v>
      </c>
      <c r="W90" s="134">
        <f t="shared" si="90"/>
        <v>177.16499999999999</v>
      </c>
      <c r="X90" s="134">
        <f t="shared" si="90"/>
        <v>190.18249999999998</v>
      </c>
      <c r="Y90" s="134">
        <f t="shared" si="90"/>
        <v>198.755</v>
      </c>
      <c r="Z90" s="134">
        <f t="shared" si="90"/>
        <v>206.77187499999999</v>
      </c>
      <c r="AA90" s="134">
        <f t="shared" si="90"/>
        <v>217.01124999999996</v>
      </c>
      <c r="AB90" s="134">
        <f t="shared" si="90"/>
        <v>226.456875</v>
      </c>
      <c r="AC90" s="134">
        <f t="shared" si="90"/>
        <v>239.39500000000001</v>
      </c>
      <c r="AD90" s="134">
        <f t="shared" ref="AD90:AG90" si="91">(AD70+AD13)*6.35</f>
        <v>160.38512499999999</v>
      </c>
      <c r="AE90" s="134">
        <f t="shared" si="91"/>
        <v>172.42895833333333</v>
      </c>
      <c r="AF90" s="134">
        <f t="shared" si="91"/>
        <v>198.56979166666667</v>
      </c>
      <c r="AG90" s="134">
        <f t="shared" si="91"/>
        <v>227.62104166666666</v>
      </c>
      <c r="AH90" s="173">
        <f t="shared" si="83"/>
        <v>173.61164583333334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5">
      <c r="A91" s="129" t="s">
        <v>53</v>
      </c>
      <c r="B91" s="129" t="s">
        <v>53</v>
      </c>
      <c r="C91" s="129" t="s">
        <v>53</v>
      </c>
      <c r="D91" s="130"/>
      <c r="E91" s="130"/>
      <c r="F91" s="36"/>
      <c r="G91" s="36"/>
      <c r="H91" s="36"/>
      <c r="I91" s="36"/>
      <c r="J91" s="36" t="e">
        <f>J81</f>
        <v>#DIV/0!</v>
      </c>
      <c r="K91" s="36">
        <f t="shared" ref="K91:L91" si="92">K81</f>
        <v>1.2</v>
      </c>
      <c r="L91" s="36">
        <f t="shared" si="92"/>
        <v>1.5</v>
      </c>
      <c r="M91" s="36">
        <f>M81</f>
        <v>1.625</v>
      </c>
      <c r="N91" s="36">
        <f>N82+N14</f>
        <v>47.85</v>
      </c>
      <c r="O91" s="36">
        <f>O82+O14</f>
        <v>2.0666666666666669</v>
      </c>
      <c r="P91" s="36">
        <f>P82+P14</f>
        <v>3.5</v>
      </c>
      <c r="Q91" s="36">
        <f t="shared" ref="Q91:AC91" si="93">Q82+Q14</f>
        <v>34.362499999999997</v>
      </c>
      <c r="R91" s="36"/>
      <c r="S91" s="36"/>
      <c r="T91" s="36">
        <f t="shared" si="93"/>
        <v>34.6</v>
      </c>
      <c r="U91" s="36">
        <f t="shared" si="93"/>
        <v>36.174999999999997</v>
      </c>
      <c r="V91" s="36">
        <f t="shared" si="93"/>
        <v>36.299999999999997</v>
      </c>
      <c r="W91" s="36">
        <f t="shared" si="93"/>
        <v>37.25</v>
      </c>
      <c r="X91" s="36">
        <f t="shared" si="93"/>
        <v>39.299999999999997</v>
      </c>
      <c r="Y91" s="36">
        <f t="shared" si="93"/>
        <v>40.424999999999997</v>
      </c>
      <c r="Z91" s="36">
        <f t="shared" si="93"/>
        <v>41.825000000000003</v>
      </c>
      <c r="AA91" s="36">
        <f t="shared" si="93"/>
        <v>43.637500000000003</v>
      </c>
      <c r="AB91" s="36">
        <f t="shared" si="93"/>
        <v>45.0625</v>
      </c>
      <c r="AC91" s="36">
        <f t="shared" si="93"/>
        <v>46.875</v>
      </c>
      <c r="AD91" s="36">
        <f t="shared" ref="AD91:AG91" si="94">AD81</f>
        <v>3.1333333333333333</v>
      </c>
      <c r="AE91" s="36">
        <f t="shared" si="94"/>
        <v>2.5833333333333335</v>
      </c>
      <c r="AF91" s="36">
        <f t="shared" si="94"/>
        <v>2.4708333333333332</v>
      </c>
      <c r="AG91" s="36">
        <f t="shared" si="94"/>
        <v>2.65</v>
      </c>
      <c r="AH91" s="173">
        <f>AVERAGE(P91:AC91)</f>
        <v>36.609375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>
      <c r="A92" s="8"/>
      <c r="F92" s="135"/>
      <c r="G92" s="135"/>
      <c r="H92" s="135"/>
      <c r="I92" s="135"/>
      <c r="K92" s="135"/>
      <c r="L92" s="135"/>
      <c r="M92" s="135"/>
      <c r="N92" s="135"/>
      <c r="O92" s="135"/>
      <c r="P92" s="135"/>
      <c r="Q92" s="135"/>
      <c r="R92" s="136"/>
      <c r="S92" s="136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7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t="18.5">
      <c r="A93" s="138" t="s">
        <v>54</v>
      </c>
      <c r="B93" s="138" t="s">
        <v>54</v>
      </c>
      <c r="C93" s="138" t="s">
        <v>54</v>
      </c>
      <c r="D93" s="139"/>
      <c r="E93" s="139"/>
      <c r="F93" s="140" t="s">
        <v>4</v>
      </c>
      <c r="G93" s="140" t="s">
        <v>5</v>
      </c>
      <c r="H93" s="140" t="s">
        <v>6</v>
      </c>
      <c r="I93" s="140" t="s">
        <v>7</v>
      </c>
      <c r="J93" s="28" t="s">
        <v>2</v>
      </c>
      <c r="K93" s="140" t="s">
        <v>9</v>
      </c>
      <c r="L93" s="140" t="s">
        <v>9</v>
      </c>
      <c r="M93" s="140" t="s">
        <v>9</v>
      </c>
      <c r="N93" s="140" t="s">
        <v>12</v>
      </c>
      <c r="O93" s="140" t="s">
        <v>13</v>
      </c>
      <c r="P93" s="140" t="s">
        <v>14</v>
      </c>
      <c r="Q93" s="140" t="s">
        <v>15</v>
      </c>
      <c r="R93" s="141"/>
      <c r="S93" s="141"/>
      <c r="T93" s="140" t="s">
        <v>16</v>
      </c>
      <c r="U93" s="140" t="s">
        <v>64</v>
      </c>
      <c r="V93" s="140" t="s">
        <v>65</v>
      </c>
      <c r="W93" s="140" t="s">
        <v>66</v>
      </c>
      <c r="X93" s="140" t="s">
        <v>67</v>
      </c>
      <c r="Y93" s="140" t="s">
        <v>68</v>
      </c>
      <c r="Z93" s="140" t="s">
        <v>69</v>
      </c>
      <c r="AA93" s="140" t="s">
        <v>70</v>
      </c>
      <c r="AB93" s="140" t="s">
        <v>77</v>
      </c>
      <c r="AC93" s="140" t="s">
        <v>78</v>
      </c>
      <c r="AD93" s="140" t="s">
        <v>79</v>
      </c>
      <c r="AE93" s="140" t="s">
        <v>80</v>
      </c>
      <c r="AF93" s="140" t="s">
        <v>81</v>
      </c>
      <c r="AG93" s="140" t="s">
        <v>82</v>
      </c>
      <c r="AH93" s="140">
        <v>2016</v>
      </c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.5">
      <c r="A94" s="138" t="s">
        <v>56</v>
      </c>
      <c r="B94" s="138" t="s">
        <v>56</v>
      </c>
      <c r="C94" s="138" t="s">
        <v>56</v>
      </c>
      <c r="D94" s="142"/>
      <c r="E94" s="142"/>
      <c r="F94" s="143">
        <f t="shared" ref="F94" si="95">F85</f>
        <v>0</v>
      </c>
      <c r="G94" s="143">
        <f>G85</f>
        <v>56.18</v>
      </c>
      <c r="H94" s="143">
        <f t="shared" ref="H94" si="96">H85</f>
        <v>47.690789473684205</v>
      </c>
      <c r="I94" s="143">
        <f>I85</f>
        <v>45.375000000000007</v>
      </c>
      <c r="J94" s="143" t="e">
        <f>J85</f>
        <v>#DIV/0!</v>
      </c>
      <c r="K94" s="143">
        <f t="shared" ref="K94:L94" si="97">K85</f>
        <v>48.3</v>
      </c>
      <c r="L94" s="143">
        <f t="shared" si="97"/>
        <v>46.85</v>
      </c>
      <c r="M94" s="143">
        <f>M85</f>
        <v>48.634999999999998</v>
      </c>
      <c r="N94" s="143">
        <f>N85</f>
        <v>46.25</v>
      </c>
      <c r="O94" s="143">
        <f>O85</f>
        <v>0</v>
      </c>
      <c r="P94" s="143">
        <f>P85</f>
        <v>0</v>
      </c>
      <c r="Q94" s="143">
        <f>Q85</f>
        <v>31.3125</v>
      </c>
      <c r="R94" s="144"/>
      <c r="S94" s="144"/>
      <c r="T94" s="143">
        <f t="shared" ref="T94:AG94" si="98">T85</f>
        <v>31.75</v>
      </c>
      <c r="U94" s="143">
        <f t="shared" si="98"/>
        <v>33.549999999999997</v>
      </c>
      <c r="V94" s="143">
        <f t="shared" si="98"/>
        <v>33.674999999999997</v>
      </c>
      <c r="W94" s="143">
        <f t="shared" si="98"/>
        <v>34.75</v>
      </c>
      <c r="X94" s="143">
        <f t="shared" si="98"/>
        <v>36.875</v>
      </c>
      <c r="Y94" s="143">
        <f t="shared" si="98"/>
        <v>38</v>
      </c>
      <c r="Z94" s="143">
        <f t="shared" si="98"/>
        <v>39.262500000000003</v>
      </c>
      <c r="AA94" s="143">
        <f t="shared" si="98"/>
        <v>41</v>
      </c>
      <c r="AB94" s="143">
        <f t="shared" si="98"/>
        <v>42.375</v>
      </c>
      <c r="AC94" s="143">
        <f t="shared" si="98"/>
        <v>44.25</v>
      </c>
      <c r="AD94" s="143">
        <f t="shared" si="98"/>
        <v>31.1875</v>
      </c>
      <c r="AE94" s="143">
        <f t="shared" si="98"/>
        <v>33.991666666666667</v>
      </c>
      <c r="AF94" s="143">
        <f t="shared" si="98"/>
        <v>38.045833333333334</v>
      </c>
      <c r="AG94" s="143">
        <f t="shared" si="98"/>
        <v>42.541666666666664</v>
      </c>
      <c r="AH94" s="173">
        <f t="shared" ref="AH94:AH99" si="99">AVERAGE(P94:AC94)</f>
        <v>33.9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.5">
      <c r="A95" s="138" t="s">
        <v>57</v>
      </c>
      <c r="B95" s="138" t="s">
        <v>57</v>
      </c>
      <c r="C95" s="138" t="s">
        <v>57</v>
      </c>
      <c r="D95" s="142"/>
      <c r="E95" s="142"/>
      <c r="F95" s="143">
        <f t="shared" ref="F95" si="100">F86-F85</f>
        <v>0</v>
      </c>
      <c r="G95" s="143">
        <f>G86-G85</f>
        <v>-3.0341000000000022</v>
      </c>
      <c r="H95" s="143">
        <f t="shared" ref="H95" si="101">H86-H85</f>
        <v>-1.9265789473684194</v>
      </c>
      <c r="I95" s="143">
        <f>I86-I85</f>
        <v>1.4299999999999855</v>
      </c>
      <c r="J95" s="143" t="e">
        <f>J86-J85</f>
        <v>#DIV/0!</v>
      </c>
      <c r="K95" s="143" t="e">
        <f t="shared" ref="K95:L95" si="102">K86-K85</f>
        <v>#REF!</v>
      </c>
      <c r="L95" s="143" t="e">
        <f t="shared" si="102"/>
        <v>#REF!</v>
      </c>
      <c r="M95" s="143">
        <f>M86-M85</f>
        <v>1.4249999999999972</v>
      </c>
      <c r="N95" s="143">
        <f>N86-N85</f>
        <v>3.875</v>
      </c>
      <c r="O95" s="143">
        <f>O86-O85</f>
        <v>6</v>
      </c>
      <c r="P95" s="143">
        <f>P86-P85</f>
        <v>0</v>
      </c>
      <c r="Q95" s="143">
        <f>Q86-Q85</f>
        <v>9.1749999999999972</v>
      </c>
      <c r="R95" s="144"/>
      <c r="S95" s="144"/>
      <c r="T95" s="143">
        <f t="shared" ref="T95:AG95" si="103">T86-T85</f>
        <v>7.25</v>
      </c>
      <c r="U95" s="143">
        <f t="shared" si="103"/>
        <v>5.75</v>
      </c>
      <c r="V95" s="143">
        <f t="shared" si="103"/>
        <v>5.5625</v>
      </c>
      <c r="W95" s="143">
        <f t="shared" si="103"/>
        <v>4.625</v>
      </c>
      <c r="X95" s="143">
        <f t="shared" si="103"/>
        <v>5</v>
      </c>
      <c r="Y95" s="143">
        <f t="shared" si="103"/>
        <v>4.5</v>
      </c>
      <c r="Z95" s="143">
        <f t="shared" si="103"/>
        <v>4</v>
      </c>
      <c r="AA95" s="143">
        <f t="shared" si="103"/>
        <v>3.75</v>
      </c>
      <c r="AB95" s="143">
        <f t="shared" si="103"/>
        <v>4</v>
      </c>
      <c r="AC95" s="143">
        <f t="shared" si="103"/>
        <v>4.25</v>
      </c>
      <c r="AD95" s="143">
        <f t="shared" si="103"/>
        <v>9.0416666666666714</v>
      </c>
      <c r="AE95" s="143">
        <f t="shared" si="103"/>
        <v>5.3125</v>
      </c>
      <c r="AF95" s="143">
        <f t="shared" si="103"/>
        <v>3.7916666666666643</v>
      </c>
      <c r="AG95" s="143">
        <f t="shared" si="103"/>
        <v>3.05833333333333</v>
      </c>
      <c r="AH95" s="173">
        <f t="shared" si="99"/>
        <v>4.8218749999999995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.5">
      <c r="A96" s="138" t="s">
        <v>58</v>
      </c>
      <c r="B96" s="138" t="s">
        <v>58</v>
      </c>
      <c r="C96" s="138" t="s">
        <v>58</v>
      </c>
      <c r="D96" s="142"/>
      <c r="E96" s="142"/>
      <c r="F96" s="143">
        <f t="shared" ref="F96" si="104">F87-F85</f>
        <v>0</v>
      </c>
      <c r="G96" s="143">
        <f>G87-G85</f>
        <v>19.766299999999994</v>
      </c>
      <c r="H96" s="143">
        <f t="shared" ref="H96" si="105">H87-H85</f>
        <v>18.313947368421083</v>
      </c>
      <c r="I96" s="143">
        <f>I87-I85</f>
        <v>19.860999999999997</v>
      </c>
      <c r="J96" s="143" t="e">
        <f>J87-J85</f>
        <v>#DIV/0!</v>
      </c>
      <c r="K96" s="143">
        <f t="shared" ref="K96:M96" si="106">K87-K85</f>
        <v>16.482500000000002</v>
      </c>
      <c r="L96" s="143">
        <f t="shared" si="106"/>
        <v>17.249999999999993</v>
      </c>
      <c r="M96" s="143">
        <f t="shared" si="106"/>
        <v>16.372499999999995</v>
      </c>
      <c r="N96" s="143">
        <f>N87-N85</f>
        <v>15.8125</v>
      </c>
      <c r="O96" s="143">
        <f>O87-O85</f>
        <v>17.5</v>
      </c>
      <c r="P96" s="143">
        <f>P87-P85</f>
        <v>0</v>
      </c>
      <c r="Q96" s="143">
        <f t="shared" ref="Q96" si="107">Q87-Q85</f>
        <v>20.25</v>
      </c>
      <c r="R96" s="144"/>
      <c r="S96" s="144"/>
      <c r="T96" s="143">
        <f>T87-T85</f>
        <v>19.049999999999997</v>
      </c>
      <c r="U96" s="143">
        <f t="shared" ref="U96:AG96" si="108">U87-U85</f>
        <v>18.25</v>
      </c>
      <c r="V96" s="143">
        <f t="shared" si="108"/>
        <v>19.125</v>
      </c>
      <c r="W96" s="143">
        <f t="shared" si="108"/>
        <v>20.174999999999997</v>
      </c>
      <c r="X96" s="143">
        <f t="shared" si="108"/>
        <v>20.25</v>
      </c>
      <c r="Y96" s="143">
        <f t="shared" si="108"/>
        <v>18.375</v>
      </c>
      <c r="Z96" s="143">
        <f t="shared" si="108"/>
        <v>17.375</v>
      </c>
      <c r="AA96" s="143">
        <f t="shared" si="108"/>
        <v>17.0625</v>
      </c>
      <c r="AB96" s="143">
        <f t="shared" si="108"/>
        <v>16.25</v>
      </c>
      <c r="AC96" s="143">
        <f t="shared" si="108"/>
        <v>16</v>
      </c>
      <c r="AD96" s="143">
        <f t="shared" si="108"/>
        <v>20.291666666666671</v>
      </c>
      <c r="AE96" s="143">
        <f t="shared" si="108"/>
        <v>19.18333333333333</v>
      </c>
      <c r="AF96" s="143">
        <f t="shared" si="108"/>
        <v>18.666666666666671</v>
      </c>
      <c r="AG96" s="143">
        <f t="shared" si="108"/>
        <v>16.4375</v>
      </c>
      <c r="AH96" s="173">
        <f t="shared" si="99"/>
        <v>16.846875000000001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5">
      <c r="A97" s="138" t="s">
        <v>59</v>
      </c>
      <c r="B97" s="138" t="s">
        <v>59</v>
      </c>
      <c r="C97" s="138" t="s">
        <v>59</v>
      </c>
      <c r="D97" s="142"/>
      <c r="E97" s="142"/>
      <c r="F97" s="143">
        <f t="shared" ref="F97" si="109">F88-F85</f>
        <v>0</v>
      </c>
      <c r="G97" s="143">
        <f>G88-G85</f>
        <v>9.6289999999999978</v>
      </c>
      <c r="H97" s="143">
        <f t="shared" ref="H97" si="110">H88-H85</f>
        <v>9.384999999999998</v>
      </c>
      <c r="I97" s="143">
        <f>I88-I85</f>
        <v>13.61849999999999</v>
      </c>
      <c r="J97" s="143" t="e">
        <f>J88-J85</f>
        <v>#DIV/0!</v>
      </c>
      <c r="K97" s="143">
        <f t="shared" ref="K97:M97" si="111">K88-K85</f>
        <v>13.11</v>
      </c>
      <c r="L97" s="143">
        <f t="shared" si="111"/>
        <v>13.435000000000002</v>
      </c>
      <c r="M97" s="143">
        <f t="shared" si="111"/>
        <v>13.344999999999999</v>
      </c>
      <c r="N97" s="143">
        <f>N88-N85</f>
        <v>14.229999999999997</v>
      </c>
      <c r="O97" s="143">
        <f>O88-O85</f>
        <v>15.6</v>
      </c>
      <c r="P97" s="143">
        <f>P88-P85</f>
        <v>0</v>
      </c>
      <c r="Q97" s="143">
        <f>Q88-Q85</f>
        <v>11.774999999999999</v>
      </c>
      <c r="R97" s="144"/>
      <c r="S97" s="144"/>
      <c r="T97" s="143">
        <f t="shared" ref="T97:AG97" si="112">T88-T85</f>
        <v>11.195</v>
      </c>
      <c r="U97" s="143">
        <f t="shared" si="112"/>
        <v>11.350000000000001</v>
      </c>
      <c r="V97" s="143">
        <f t="shared" si="112"/>
        <v>11.54</v>
      </c>
      <c r="W97" s="143">
        <f t="shared" si="112"/>
        <v>11.707499999999996</v>
      </c>
      <c r="X97" s="143">
        <f t="shared" si="112"/>
        <v>11.4375</v>
      </c>
      <c r="Y97" s="143">
        <f t="shared" si="112"/>
        <v>11.475000000000001</v>
      </c>
      <c r="Z97" s="143">
        <f t="shared" si="112"/>
        <v>11.850000000000001</v>
      </c>
      <c r="AA97" s="143">
        <f t="shared" si="112"/>
        <v>12.549999999999997</v>
      </c>
      <c r="AB97" s="143">
        <f t="shared" si="112"/>
        <v>13.475000000000001</v>
      </c>
      <c r="AC97" s="143">
        <f t="shared" si="112"/>
        <v>13.549999999999997</v>
      </c>
      <c r="AD97" s="143">
        <f t="shared" si="112"/>
        <v>12.326666666666668</v>
      </c>
      <c r="AE97" s="143">
        <f t="shared" si="112"/>
        <v>11.532499999999999</v>
      </c>
      <c r="AF97" s="143">
        <f t="shared" si="112"/>
        <v>11.587499999999999</v>
      </c>
      <c r="AG97" s="143">
        <f t="shared" si="112"/>
        <v>13.19166666666667</v>
      </c>
      <c r="AH97" s="173">
        <f t="shared" si="99"/>
        <v>10.992083333333332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5">
      <c r="A98" s="138" t="s">
        <v>60</v>
      </c>
      <c r="B98" s="138" t="s">
        <v>60</v>
      </c>
      <c r="C98" s="138" t="s">
        <v>60</v>
      </c>
      <c r="D98" s="142"/>
      <c r="E98" s="142"/>
      <c r="F98" s="143">
        <f t="shared" ref="F98" si="113">F89-F85</f>
        <v>0</v>
      </c>
      <c r="G98" s="143">
        <f>G89-G85</f>
        <v>8.8899999999999935</v>
      </c>
      <c r="H98" s="143">
        <f t="shared" ref="H98" si="114">H89-H85</f>
        <v>9.4255263157894831</v>
      </c>
      <c r="I98" s="143">
        <f>I89-I85</f>
        <v>14.103000000000002</v>
      </c>
      <c r="J98" s="143" t="e">
        <f>J89-J85</f>
        <v>#DIV/0!</v>
      </c>
      <c r="K98" s="143">
        <f t="shared" ref="K98:M98" si="115">K89-K85</f>
        <v>13.350000000000001</v>
      </c>
      <c r="L98" s="143">
        <f t="shared" si="115"/>
        <v>13.75</v>
      </c>
      <c r="M98" s="143">
        <f t="shared" si="115"/>
        <v>13.07</v>
      </c>
      <c r="N98" s="143">
        <f>N89-N85</f>
        <v>14.030000000000001</v>
      </c>
      <c r="O98" s="143">
        <f>O89-O85</f>
        <v>14.15</v>
      </c>
      <c r="P98" s="143">
        <f>P89-P85</f>
        <v>10.862500000000001</v>
      </c>
      <c r="Q98" s="143">
        <f>Q89-Q85</f>
        <v>11</v>
      </c>
      <c r="R98" s="144"/>
      <c r="S98" s="144"/>
      <c r="T98" s="143">
        <f t="shared" ref="T98:AG98" si="116">T89-T85</f>
        <v>10.674999999999997</v>
      </c>
      <c r="U98" s="143">
        <f t="shared" si="116"/>
        <v>11.1875</v>
      </c>
      <c r="V98" s="143">
        <f t="shared" si="116"/>
        <v>11.5</v>
      </c>
      <c r="W98" s="143">
        <f t="shared" si="116"/>
        <v>11.700000000000003</v>
      </c>
      <c r="X98" s="143">
        <f t="shared" si="116"/>
        <v>11.435000000000002</v>
      </c>
      <c r="Y98" s="143">
        <f t="shared" si="116"/>
        <v>10.962499999999999</v>
      </c>
      <c r="Z98" s="143">
        <f t="shared" si="116"/>
        <v>11.075000000000003</v>
      </c>
      <c r="AA98" s="143">
        <f t="shared" si="116"/>
        <v>11.975000000000001</v>
      </c>
      <c r="AB98" s="143">
        <f t="shared" si="116"/>
        <v>12.905000000000001</v>
      </c>
      <c r="AC98" s="143">
        <f t="shared" si="116"/>
        <v>13.030000000000001</v>
      </c>
      <c r="AD98" s="143">
        <f t="shared" si="116"/>
        <v>11.763333333333335</v>
      </c>
      <c r="AE98" s="143">
        <f t="shared" si="116"/>
        <v>11.592500000000001</v>
      </c>
      <c r="AF98" s="143">
        <f t="shared" si="116"/>
        <v>11.157499999999999</v>
      </c>
      <c r="AG98" s="143">
        <f t="shared" si="116"/>
        <v>12.636666666666663</v>
      </c>
      <c r="AH98" s="173">
        <f t="shared" si="99"/>
        <v>11.525625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.5">
      <c r="A99" s="138" t="s">
        <v>61</v>
      </c>
      <c r="B99" s="138" t="s">
        <v>61</v>
      </c>
      <c r="C99" s="138" t="s">
        <v>61</v>
      </c>
      <c r="D99" s="142"/>
      <c r="E99" s="142"/>
      <c r="F99" s="143">
        <f>F70</f>
        <v>0</v>
      </c>
      <c r="G99" s="143">
        <f>G90-G85</f>
        <v>-7.432040078740151</v>
      </c>
      <c r="H99" s="143">
        <f t="shared" ref="H99:I99" si="117">H90-H85</f>
        <v>-8.9503004558640669</v>
      </c>
      <c r="I99" s="143">
        <f t="shared" si="117"/>
        <v>-7.8993307086614237</v>
      </c>
      <c r="J99" s="143">
        <f t="shared" ref="J99" si="118">J70</f>
        <v>0</v>
      </c>
      <c r="K99" s="143">
        <f>K70</f>
        <v>-8.1550000000000011</v>
      </c>
      <c r="L99" s="143">
        <f>L70</f>
        <v>-8.1550000000000011</v>
      </c>
      <c r="M99" s="143">
        <f>M70</f>
        <v>-8.33</v>
      </c>
      <c r="N99" s="143">
        <f>N70</f>
        <v>-6.9175000000000004</v>
      </c>
      <c r="O99" s="143">
        <f>O71</f>
        <v>-6.7333333333333334</v>
      </c>
      <c r="P99" s="143">
        <f>P71</f>
        <v>-5.125</v>
      </c>
      <c r="Q99" s="143">
        <f>Q71</f>
        <v>-5.9649999999999999</v>
      </c>
      <c r="R99" s="144"/>
      <c r="S99" s="144"/>
      <c r="T99" s="143">
        <f t="shared" ref="T99:U99" si="119">T71</f>
        <v>-6.7</v>
      </c>
      <c r="U99" s="143">
        <f t="shared" si="119"/>
        <v>-6.7249999999999996</v>
      </c>
      <c r="V99" s="143">
        <f t="shared" ref="V99:AG99" si="120">V70</f>
        <v>-6.9375</v>
      </c>
      <c r="W99" s="143">
        <f t="shared" si="120"/>
        <v>-6.85</v>
      </c>
      <c r="X99" s="143">
        <f t="shared" si="120"/>
        <v>-6.9250000000000007</v>
      </c>
      <c r="Y99" s="143">
        <f t="shared" si="120"/>
        <v>-6.7</v>
      </c>
      <c r="Z99" s="143">
        <f t="shared" si="120"/>
        <v>-6.6999999999999993</v>
      </c>
      <c r="AA99" s="143">
        <f t="shared" si="120"/>
        <v>-6.8249999999999993</v>
      </c>
      <c r="AB99" s="143">
        <f t="shared" si="120"/>
        <v>-6.7124999999999995</v>
      </c>
      <c r="AC99" s="143">
        <f t="shared" si="120"/>
        <v>-6.5500000000000007</v>
      </c>
      <c r="AD99" s="143">
        <f t="shared" si="120"/>
        <v>-5.93</v>
      </c>
      <c r="AE99" s="143">
        <f t="shared" si="120"/>
        <v>-6.8374999999999995</v>
      </c>
      <c r="AF99" s="143">
        <f t="shared" si="120"/>
        <v>-6.7750000000000004</v>
      </c>
      <c r="AG99" s="143">
        <f t="shared" si="120"/>
        <v>-6.6958333333333329</v>
      </c>
      <c r="AH99" s="173">
        <f t="shared" si="99"/>
        <v>-6.5595833333333351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37">
      <c r="A100" s="145" t="s">
        <v>62</v>
      </c>
      <c r="B100" s="145" t="s">
        <v>62</v>
      </c>
      <c r="C100" s="145" t="s">
        <v>62</v>
      </c>
      <c r="D100" s="142"/>
      <c r="E100" s="142"/>
      <c r="F100" s="143">
        <f t="shared" ref="F100" si="121">F81</f>
        <v>0</v>
      </c>
      <c r="G100" s="143">
        <f>G81</f>
        <v>0</v>
      </c>
      <c r="H100" s="143">
        <f t="shared" ref="H100" si="122">H81</f>
        <v>0</v>
      </c>
      <c r="I100" s="143">
        <f>I81</f>
        <v>0</v>
      </c>
      <c r="J100" s="143" t="e">
        <f>J81</f>
        <v>#DIV/0!</v>
      </c>
      <c r="K100" s="143">
        <f t="shared" ref="K100:M100" si="123">K81</f>
        <v>1.2</v>
      </c>
      <c r="L100" s="143">
        <f t="shared" si="123"/>
        <v>1.5</v>
      </c>
      <c r="M100" s="143">
        <f t="shared" si="123"/>
        <v>1.625</v>
      </c>
      <c r="N100" s="143">
        <f>N91-N85</f>
        <v>1.6000000000000014</v>
      </c>
      <c r="O100" s="143">
        <f>O91-O85</f>
        <v>2.0666666666666669</v>
      </c>
      <c r="P100" s="143">
        <f>P91-P85</f>
        <v>3.5</v>
      </c>
      <c r="Q100" s="143">
        <f>Q91-Q85</f>
        <v>3.0499999999999972</v>
      </c>
      <c r="R100" s="144"/>
      <c r="S100" s="144"/>
      <c r="T100" s="143">
        <f t="shared" ref="T100:AG100" si="124">T91-T85</f>
        <v>2.8500000000000014</v>
      </c>
      <c r="U100" s="143">
        <f t="shared" si="124"/>
        <v>2.625</v>
      </c>
      <c r="V100" s="143">
        <f t="shared" si="124"/>
        <v>2.625</v>
      </c>
      <c r="W100" s="143">
        <f t="shared" si="124"/>
        <v>2.5</v>
      </c>
      <c r="X100" s="143">
        <f t="shared" si="124"/>
        <v>2.4249999999999972</v>
      </c>
      <c r="Y100" s="143">
        <f t="shared" si="124"/>
        <v>2.4249999999999972</v>
      </c>
      <c r="Z100" s="143">
        <f t="shared" si="124"/>
        <v>2.5625</v>
      </c>
      <c r="AA100" s="143">
        <f t="shared" si="124"/>
        <v>2.6375000000000028</v>
      </c>
      <c r="AB100" s="143">
        <f t="shared" si="124"/>
        <v>2.6875</v>
      </c>
      <c r="AC100" s="143">
        <f t="shared" si="124"/>
        <v>2.625</v>
      </c>
      <c r="AD100" s="143">
        <f t="shared" si="124"/>
        <v>-28.054166666666667</v>
      </c>
      <c r="AE100" s="143">
        <f t="shared" si="124"/>
        <v>-31.408333333333335</v>
      </c>
      <c r="AF100" s="143">
        <f t="shared" si="124"/>
        <v>-35.575000000000003</v>
      </c>
      <c r="AG100" s="143">
        <f t="shared" si="124"/>
        <v>-39.891666666666666</v>
      </c>
      <c r="AH100" s="173">
        <f t="shared" ref="AH100" si="125">AVERAGE(P100:AC100)</f>
        <v>2.7093749999999996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8"/>
      <c r="T101" s="6"/>
      <c r="U101" s="6"/>
      <c r="V101" s="6"/>
      <c r="W101" s="6"/>
      <c r="AH101" s="7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8"/>
      <c r="B102" s="146"/>
      <c r="C102" s="146"/>
      <c r="D102" s="147"/>
      <c r="E102" s="147"/>
      <c r="F102" s="140" t="s">
        <v>4</v>
      </c>
      <c r="G102" s="140" t="s">
        <v>5</v>
      </c>
      <c r="H102" s="140" t="s">
        <v>6</v>
      </c>
      <c r="I102" s="140" t="s">
        <v>7</v>
      </c>
      <c r="J102" s="32"/>
      <c r="K102" s="140" t="s">
        <v>9</v>
      </c>
      <c r="L102" s="140" t="s">
        <v>9</v>
      </c>
      <c r="M102" s="140" t="s">
        <v>70</v>
      </c>
      <c r="N102" s="140" t="s">
        <v>12</v>
      </c>
      <c r="O102" s="140" t="s">
        <v>13</v>
      </c>
      <c r="P102" s="140" t="s">
        <v>13</v>
      </c>
      <c r="Q102" s="140" t="s">
        <v>13</v>
      </c>
      <c r="R102" s="141"/>
      <c r="S102" s="141"/>
      <c r="T102" s="140"/>
      <c r="U102" s="140"/>
      <c r="V102" s="140"/>
      <c r="W102" s="140"/>
      <c r="X102" s="140" t="s">
        <v>17</v>
      </c>
      <c r="Y102" s="148"/>
      <c r="Z102" s="148"/>
      <c r="AA102" s="148"/>
      <c r="AB102" s="148"/>
      <c r="AC102" s="148"/>
      <c r="AD102" s="140" t="s">
        <v>55</v>
      </c>
      <c r="AE102" s="140" t="s">
        <v>55</v>
      </c>
      <c r="AF102" s="140"/>
      <c r="AG102" s="140" t="s">
        <v>55</v>
      </c>
      <c r="AH102" s="7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8"/>
      <c r="B103" s="149">
        <v>0.03</v>
      </c>
      <c r="C103" s="149">
        <v>0.03</v>
      </c>
      <c r="D103" s="150"/>
      <c r="E103" s="150"/>
      <c r="F103" s="151">
        <f>$B$103*$J$103</f>
        <v>-0.6</v>
      </c>
      <c r="G103" s="151">
        <f>$B$103*$J$103</f>
        <v>-0.6</v>
      </c>
      <c r="H103" s="151">
        <f>$B$103*$J$103</f>
        <v>-0.6</v>
      </c>
      <c r="I103" s="151">
        <f>$B$103*$J$103</f>
        <v>-0.6</v>
      </c>
      <c r="J103" s="36">
        <v>-20</v>
      </c>
      <c r="K103" s="151">
        <f t="shared" ref="K103:P103" si="126">$B$103*$J$103</f>
        <v>-0.6</v>
      </c>
      <c r="L103" s="151">
        <f t="shared" si="126"/>
        <v>-0.6</v>
      </c>
      <c r="M103" s="151">
        <f t="shared" si="126"/>
        <v>-0.6</v>
      </c>
      <c r="N103" s="151">
        <f t="shared" si="126"/>
        <v>-0.6</v>
      </c>
      <c r="O103" s="151">
        <f t="shared" si="126"/>
        <v>-0.6</v>
      </c>
      <c r="P103" s="151">
        <f t="shared" si="126"/>
        <v>-0.6</v>
      </c>
      <c r="Q103" s="151">
        <f>$B$103*$J$103</f>
        <v>-0.6</v>
      </c>
      <c r="R103" s="131"/>
      <c r="S103" s="131"/>
      <c r="T103" s="132"/>
      <c r="U103" s="132"/>
      <c r="V103" s="132"/>
      <c r="W103" s="132"/>
      <c r="X103" s="132">
        <v>0.94499999999999995</v>
      </c>
      <c r="Y103" s="132"/>
      <c r="Z103" s="132"/>
      <c r="AA103" s="132"/>
      <c r="AB103" s="132"/>
      <c r="AC103" s="132"/>
      <c r="AD103" s="151">
        <f>$B$103*$J$103</f>
        <v>-0.6</v>
      </c>
      <c r="AE103" s="151">
        <f>$B$103*$J$103</f>
        <v>-0.6</v>
      </c>
      <c r="AF103" s="151"/>
      <c r="AG103" s="151">
        <f>$B$103*$J$103</f>
        <v>-0.6</v>
      </c>
      <c r="AH103" s="7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8"/>
      <c r="B104" s="149">
        <v>0.03</v>
      </c>
      <c r="C104" s="149">
        <v>0.03</v>
      </c>
      <c r="D104" s="150"/>
      <c r="E104" s="150"/>
      <c r="F104" s="151">
        <f t="shared" ref="F104:I107" si="127">$B104*(F86-F$85-1.7)</f>
        <v>-5.0999999999999997E-2</v>
      </c>
      <c r="G104" s="151">
        <f t="shared" si="127"/>
        <v>-0.14202300000000007</v>
      </c>
      <c r="H104" s="151">
        <f t="shared" si="127"/>
        <v>-0.10879736842105259</v>
      </c>
      <c r="I104" s="151">
        <f t="shared" si="127"/>
        <v>-8.1000000000004332E-3</v>
      </c>
      <c r="J104" s="36"/>
      <c r="K104" s="151" t="e">
        <f t="shared" ref="K104:P107" si="128">$B104*(K86-K$85-1.7)</f>
        <v>#REF!</v>
      </c>
      <c r="L104" s="151" t="e">
        <f t="shared" si="128"/>
        <v>#REF!</v>
      </c>
      <c r="M104" s="151">
        <f t="shared" si="128"/>
        <v>-8.2500000000000837E-3</v>
      </c>
      <c r="N104" s="151">
        <f t="shared" si="128"/>
        <v>6.5249999999999989E-2</v>
      </c>
      <c r="O104" s="151">
        <f t="shared" si="128"/>
        <v>0.129</v>
      </c>
      <c r="P104" s="151">
        <f t="shared" si="128"/>
        <v>-5.0999999999999997E-2</v>
      </c>
      <c r="Q104" s="151">
        <f>$B104*(Q86-Q$85-1.7)</f>
        <v>0.22424999999999989</v>
      </c>
      <c r="R104" s="131"/>
      <c r="S104" s="131"/>
      <c r="T104" s="132"/>
      <c r="U104" s="132"/>
      <c r="V104" s="132"/>
      <c r="W104" s="132"/>
      <c r="X104" s="132" t="e">
        <v>#REF!</v>
      </c>
      <c r="Y104" s="132"/>
      <c r="Z104" s="132"/>
      <c r="AA104" s="132"/>
      <c r="AB104" s="132"/>
      <c r="AC104" s="132"/>
      <c r="AD104" s="151">
        <f t="shared" ref="AD104:AG107" si="129">$B104*(AD86-AD$85-1.7)</f>
        <v>0.22025000000000014</v>
      </c>
      <c r="AE104" s="151">
        <f t="shared" si="129"/>
        <v>0.10837499999999999</v>
      </c>
      <c r="AF104" s="151"/>
      <c r="AG104" s="151">
        <f t="shared" si="129"/>
        <v>4.0749999999999897E-2</v>
      </c>
      <c r="AH104" s="7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8"/>
      <c r="B105" s="149">
        <v>0.16</v>
      </c>
      <c r="C105" s="149">
        <v>0.16</v>
      </c>
      <c r="D105" s="150"/>
      <c r="E105" s="150"/>
      <c r="F105" s="151">
        <f t="shared" si="127"/>
        <v>-0.27200000000000002</v>
      </c>
      <c r="G105" s="151">
        <f t="shared" si="127"/>
        <v>2.8906079999999994</v>
      </c>
      <c r="H105" s="151">
        <f t="shared" si="127"/>
        <v>2.6582315789473734</v>
      </c>
      <c r="I105" s="151">
        <f t="shared" si="127"/>
        <v>2.9057599999999999</v>
      </c>
      <c r="J105" s="36"/>
      <c r="K105" s="151">
        <f t="shared" si="128"/>
        <v>2.3652000000000006</v>
      </c>
      <c r="L105" s="151">
        <f t="shared" si="128"/>
        <v>2.4879999999999991</v>
      </c>
      <c r="M105" s="151">
        <f t="shared" si="128"/>
        <v>2.3475999999999995</v>
      </c>
      <c r="N105" s="151">
        <f t="shared" si="128"/>
        <v>2.258</v>
      </c>
      <c r="O105" s="151">
        <f t="shared" si="128"/>
        <v>2.528</v>
      </c>
      <c r="P105" s="151">
        <f t="shared" si="128"/>
        <v>-0.27200000000000002</v>
      </c>
      <c r="Q105" s="151">
        <f>$B105*(Q87-Q$85-1.7)</f>
        <v>2.968</v>
      </c>
      <c r="R105" s="131"/>
      <c r="S105" s="131"/>
      <c r="T105" s="132"/>
      <c r="U105" s="132"/>
      <c r="V105" s="132"/>
      <c r="W105" s="132"/>
      <c r="X105" s="132" t="e">
        <v>#REF!</v>
      </c>
      <c r="Y105" s="132"/>
      <c r="Z105" s="132"/>
      <c r="AA105" s="132"/>
      <c r="AB105" s="132"/>
      <c r="AC105" s="132"/>
      <c r="AD105" s="151">
        <f t="shared" si="129"/>
        <v>2.9746666666666677</v>
      </c>
      <c r="AE105" s="151">
        <f t="shared" si="129"/>
        <v>2.797333333333333</v>
      </c>
      <c r="AF105" s="151"/>
      <c r="AG105" s="151">
        <f t="shared" si="129"/>
        <v>2.3580000000000001</v>
      </c>
      <c r="AH105" s="7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B106" s="149">
        <v>0.15</v>
      </c>
      <c r="C106" s="149">
        <v>0.15</v>
      </c>
      <c r="D106" s="150"/>
      <c r="E106" s="150"/>
      <c r="F106" s="151">
        <f t="shared" si="127"/>
        <v>-0.255</v>
      </c>
      <c r="G106" s="151">
        <f t="shared" si="127"/>
        <v>1.1893499999999997</v>
      </c>
      <c r="H106" s="151">
        <f t="shared" si="127"/>
        <v>1.1527499999999997</v>
      </c>
      <c r="I106" s="151">
        <f t="shared" si="127"/>
        <v>1.7877749999999986</v>
      </c>
      <c r="J106" s="36"/>
      <c r="K106" s="151">
        <f t="shared" si="128"/>
        <v>1.7115</v>
      </c>
      <c r="L106" s="151">
        <f t="shared" si="128"/>
        <v>1.7602500000000003</v>
      </c>
      <c r="M106" s="151">
        <f t="shared" si="128"/>
        <v>1.7467499999999998</v>
      </c>
      <c r="N106" s="151">
        <f t="shared" si="128"/>
        <v>1.8794999999999995</v>
      </c>
      <c r="O106" s="151">
        <f t="shared" si="128"/>
        <v>2.085</v>
      </c>
      <c r="P106" s="151">
        <f t="shared" si="128"/>
        <v>-0.255</v>
      </c>
      <c r="Q106" s="151">
        <f>$B106*(Q88-Q$85-1.7)</f>
        <v>1.5112499999999998</v>
      </c>
      <c r="R106" s="131"/>
      <c r="S106" s="131"/>
      <c r="T106" s="132"/>
      <c r="U106" s="132"/>
      <c r="V106" s="132"/>
      <c r="W106" s="132"/>
      <c r="X106" s="132" t="e">
        <v>#REF!</v>
      </c>
      <c r="Y106" s="132"/>
      <c r="Z106" s="132"/>
      <c r="AA106" s="132"/>
      <c r="AB106" s="132"/>
      <c r="AC106" s="132"/>
      <c r="AD106" s="151">
        <f t="shared" si="129"/>
        <v>1.5940000000000003</v>
      </c>
      <c r="AE106" s="151">
        <f t="shared" si="129"/>
        <v>1.4748749999999999</v>
      </c>
      <c r="AF106" s="151"/>
      <c r="AG106" s="151">
        <f t="shared" si="129"/>
        <v>1.7237500000000006</v>
      </c>
      <c r="AH106" s="7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B107" s="149">
        <v>0.39</v>
      </c>
      <c r="C107" s="149">
        <v>0.39</v>
      </c>
      <c r="D107" s="150"/>
      <c r="E107" s="150"/>
      <c r="F107" s="151">
        <f t="shared" si="127"/>
        <v>-0.66300000000000003</v>
      </c>
      <c r="G107" s="151">
        <f t="shared" si="127"/>
        <v>2.8040999999999974</v>
      </c>
      <c r="H107" s="151">
        <f t="shared" si="127"/>
        <v>3.0129552631578984</v>
      </c>
      <c r="I107" s="151">
        <f t="shared" si="127"/>
        <v>4.8371700000000013</v>
      </c>
      <c r="J107" s="36"/>
      <c r="K107" s="151">
        <f t="shared" si="128"/>
        <v>4.5435000000000008</v>
      </c>
      <c r="L107" s="151">
        <f t="shared" si="128"/>
        <v>4.6995000000000005</v>
      </c>
      <c r="M107" s="151">
        <f t="shared" si="128"/>
        <v>4.4343000000000004</v>
      </c>
      <c r="N107" s="151">
        <f t="shared" si="128"/>
        <v>4.8087000000000009</v>
      </c>
      <c r="O107" s="151">
        <f t="shared" si="128"/>
        <v>4.8555000000000001</v>
      </c>
      <c r="P107" s="151">
        <f t="shared" si="128"/>
        <v>3.5733750000000009</v>
      </c>
      <c r="Q107" s="151">
        <f>$B107*(Q89-Q$85-1.7)</f>
        <v>3.6270000000000002</v>
      </c>
      <c r="R107" s="131"/>
      <c r="S107" s="131"/>
      <c r="T107" s="132"/>
      <c r="U107" s="132"/>
      <c r="V107" s="132"/>
      <c r="W107" s="132"/>
      <c r="X107" s="132" t="e">
        <v>#REF!</v>
      </c>
      <c r="Y107" s="132"/>
      <c r="Z107" s="132"/>
      <c r="AA107" s="132"/>
      <c r="AB107" s="132"/>
      <c r="AC107" s="132"/>
      <c r="AD107" s="151">
        <f t="shared" si="129"/>
        <v>3.9247000000000014</v>
      </c>
      <c r="AE107" s="151">
        <f t="shared" si="129"/>
        <v>3.8580750000000008</v>
      </c>
      <c r="AF107" s="151"/>
      <c r="AG107" s="151">
        <f t="shared" si="129"/>
        <v>4.265299999999999</v>
      </c>
      <c r="AH107" s="7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B108" s="149">
        <v>0.12</v>
      </c>
      <c r="C108" s="149">
        <v>0.12</v>
      </c>
      <c r="D108" s="150"/>
      <c r="E108" s="150"/>
      <c r="F108" s="151">
        <f>$B$108*((F90/6.5)-(F$85-1.7))</f>
        <v>0.20399999999999999</v>
      </c>
      <c r="G108" s="151">
        <f>$B$108*((G90/6.5)-(G$85-1.7))</f>
        <v>-5.637637662992125</v>
      </c>
      <c r="H108" s="151">
        <f>$B$108*((H90/6.5)-(H$85-1.7))</f>
        <v>-4.8036857088208089</v>
      </c>
      <c r="I108" s="151">
        <f>$B$108*((I90/6.5)-(I$85-1.7))</f>
        <v>-4.5491414900060576</v>
      </c>
      <c r="J108" s="36"/>
      <c r="K108" s="151">
        <f t="shared" ref="K108:M108" si="130">$B$108*((K90/6.5)-(K$85-1.7))</f>
        <v>-0.88577076923076925</v>
      </c>
      <c r="L108" s="151">
        <f t="shared" si="130"/>
        <v>-0.88175538461538472</v>
      </c>
      <c r="M108" s="151">
        <f t="shared" si="130"/>
        <v>-0.90721384615384548</v>
      </c>
      <c r="N108" s="151">
        <f>$B$108*((N90/6.5)-(N$85-1.7))</f>
        <v>-0.73502076923076998</v>
      </c>
      <c r="O108" s="151">
        <f>$B$108*((O90/6.5)-(O$85-1.7))</f>
        <v>-0.58535384615384611</v>
      </c>
      <c r="P108" s="151">
        <f>$B$108*((P90/6.5)-(P$85-1.7))</f>
        <v>-0.39680769230769225</v>
      </c>
      <c r="Q108" s="151">
        <f>$B$108*((Q90/6.5)-(Q$85-1.7))</f>
        <v>-0.58199307692307711</v>
      </c>
      <c r="R108" s="131"/>
      <c r="S108" s="131"/>
      <c r="T108" s="132"/>
      <c r="U108" s="132"/>
      <c r="V108" s="132"/>
      <c r="W108" s="132"/>
      <c r="X108" s="132" t="e">
        <v>#REF!</v>
      </c>
      <c r="Y108" s="132"/>
      <c r="Z108" s="132"/>
      <c r="AA108" s="132"/>
      <c r="AB108" s="132"/>
      <c r="AC108" s="132"/>
      <c r="AD108" s="151">
        <f t="shared" ref="AD108:AG108" si="131">$B$108*((AD90/6.5)-(AD$85-1.7))</f>
        <v>-0.57754384615384668</v>
      </c>
      <c r="AE108" s="151">
        <f t="shared" si="131"/>
        <v>-0.69169615384615357</v>
      </c>
      <c r="AF108" s="151"/>
      <c r="AG108" s="151">
        <f t="shared" si="131"/>
        <v>-0.6987653846153844</v>
      </c>
      <c r="AH108" s="7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>
      <c r="B109" s="149">
        <v>0.03</v>
      </c>
      <c r="C109" s="149">
        <v>0.03</v>
      </c>
      <c r="D109" s="150"/>
      <c r="E109" s="150"/>
      <c r="F109" s="151">
        <f>$B109*(F92-F$85-1.7)</f>
        <v>-5.0999999999999997E-2</v>
      </c>
      <c r="G109" s="151">
        <f>$B109*(G92-G$85-1.7)</f>
        <v>-1.7363999999999999</v>
      </c>
      <c r="H109" s="151">
        <f>$B109*(H92-H$85-1.7)</f>
        <v>-1.4817236842105261</v>
      </c>
      <c r="I109" s="151">
        <f>$B109*(I92-I$85-1.7)</f>
        <v>-1.4122500000000002</v>
      </c>
      <c r="J109" s="36"/>
      <c r="K109" s="151">
        <f t="shared" ref="K109:M109" si="132">$B109*(K92-K$85-1.7)</f>
        <v>-1.5</v>
      </c>
      <c r="L109" s="151">
        <f t="shared" si="132"/>
        <v>-1.4565000000000001</v>
      </c>
      <c r="M109" s="151">
        <f t="shared" si="132"/>
        <v>-1.5100499999999999</v>
      </c>
      <c r="N109" s="151">
        <f>$B109*(N92-N$85-1.7)</f>
        <v>-1.4385000000000001</v>
      </c>
      <c r="O109" s="151">
        <f>$B109*(O92-O$85-1.7)</f>
        <v>-5.0999999999999997E-2</v>
      </c>
      <c r="P109" s="151">
        <f>$B109*(P92-P$85-1.7)</f>
        <v>-5.0999999999999997E-2</v>
      </c>
      <c r="Q109" s="151">
        <f>$B109*(Q92-Q$85-1.7)</f>
        <v>-0.99037500000000001</v>
      </c>
      <c r="R109" s="131"/>
      <c r="S109" s="131"/>
      <c r="T109" s="132"/>
      <c r="U109" s="132"/>
      <c r="V109" s="132"/>
      <c r="W109" s="132"/>
      <c r="X109" s="132" t="e">
        <v>#REF!</v>
      </c>
      <c r="Y109" s="132"/>
      <c r="Z109" s="132"/>
      <c r="AA109" s="132"/>
      <c r="AB109" s="132"/>
      <c r="AC109" s="132"/>
      <c r="AD109" s="151">
        <f t="shared" ref="AD109:AG109" si="133">$B109*(AD92-AD$85-1.7)</f>
        <v>-0.98662500000000009</v>
      </c>
      <c r="AE109" s="151">
        <f t="shared" si="133"/>
        <v>-1.0707500000000001</v>
      </c>
      <c r="AF109" s="151"/>
      <c r="AG109" s="151">
        <f t="shared" si="133"/>
        <v>-1.32725</v>
      </c>
      <c r="AH109" s="7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>
      <c r="B110" s="149">
        <v>0.09</v>
      </c>
      <c r="C110" s="149">
        <v>0.09</v>
      </c>
      <c r="D110" s="150"/>
      <c r="E110" s="150"/>
      <c r="F110" s="151"/>
      <c r="G110" s="151"/>
      <c r="H110" s="151"/>
      <c r="I110" s="151"/>
      <c r="J110" s="36"/>
      <c r="K110" s="151"/>
      <c r="L110" s="151"/>
      <c r="M110" s="151"/>
      <c r="N110" s="151"/>
      <c r="O110" s="151"/>
      <c r="P110" s="151"/>
      <c r="Q110" s="151"/>
      <c r="R110" s="131"/>
      <c r="S110" s="131"/>
      <c r="T110" s="132"/>
      <c r="U110" s="132"/>
      <c r="V110" s="132"/>
      <c r="W110" s="132"/>
      <c r="X110" s="132"/>
      <c r="Y110" s="132"/>
      <c r="Z110" s="132"/>
      <c r="AA110" s="132"/>
      <c r="AB110" s="132"/>
      <c r="AC110" s="132"/>
      <c r="AD110" s="151"/>
      <c r="AE110" s="151"/>
      <c r="AF110" s="151"/>
      <c r="AG110" s="151"/>
      <c r="AH110" s="7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>
      <c r="B111" s="129"/>
      <c r="C111" s="129"/>
      <c r="D111" s="130"/>
      <c r="E111" s="130"/>
      <c r="F111" s="151">
        <f>SUM(F103:F109)</f>
        <v>-1.6879999999999999</v>
      </c>
      <c r="G111" s="151">
        <f>SUM(G103:G109)</f>
        <v>-1.2320026629921286</v>
      </c>
      <c r="H111" s="151">
        <f t="shared" ref="H111" si="134">SUM(H103:H109)</f>
        <v>-0.17026991934711599</v>
      </c>
      <c r="I111" s="151">
        <f>SUM(I103:I109)</f>
        <v>2.9612135099939429</v>
      </c>
      <c r="J111" s="36"/>
      <c r="K111" s="151" t="e">
        <f t="shared" ref="K111:M111" si="135">SUM(K103:K109)</f>
        <v>#REF!</v>
      </c>
      <c r="L111" s="151" t="e">
        <f t="shared" si="135"/>
        <v>#REF!</v>
      </c>
      <c r="M111" s="151">
        <f t="shared" si="135"/>
        <v>5.503136153846155</v>
      </c>
      <c r="N111" s="151">
        <f>SUM(N103:N109)</f>
        <v>6.2379292307692298</v>
      </c>
      <c r="O111" s="151">
        <f>SUM(O103:O109)</f>
        <v>8.3611461538461516</v>
      </c>
      <c r="P111" s="151">
        <f>SUM(P103:P109)</f>
        <v>1.9475673076923088</v>
      </c>
      <c r="Q111" s="151">
        <f t="shared" ref="Q111" si="136">SUM(Q103:Q109)</f>
        <v>6.1581319230769216</v>
      </c>
      <c r="R111" s="131"/>
      <c r="S111" s="131"/>
      <c r="T111" s="132"/>
      <c r="U111" s="132"/>
      <c r="V111" s="132"/>
      <c r="W111" s="132"/>
      <c r="X111" s="132" t="e">
        <v>#REF!</v>
      </c>
      <c r="Y111" s="132"/>
      <c r="Z111" s="132"/>
      <c r="AA111" s="132"/>
      <c r="AB111" s="132"/>
      <c r="AC111" s="132"/>
      <c r="AD111" s="151">
        <f t="shared" ref="AD111:AG111" si="137">SUM(AD103:AD109)</f>
        <v>6.5494478205128219</v>
      </c>
      <c r="AE111" s="151">
        <f t="shared" si="137"/>
        <v>5.8762121794871796</v>
      </c>
      <c r="AF111" s="151"/>
      <c r="AG111" s="151">
        <f t="shared" si="137"/>
        <v>5.7617846153846148</v>
      </c>
      <c r="AH111" s="7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>
      <c r="AH112" s="7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H113" s="7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H114" s="7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115" s="3"/>
      <c r="AH115" s="7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3"/>
      <c r="AH116" s="7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3"/>
      <c r="AH117" s="7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3"/>
      <c r="AH118" s="7"/>
    </row>
    <row r="119" spans="1:358">
      <c r="AH119" s="7"/>
    </row>
    <row r="120" spans="1:358">
      <c r="AH120" s="7"/>
    </row>
    <row r="121" spans="1:358">
      <c r="A121" s="8"/>
      <c r="AH121" s="7"/>
    </row>
    <row r="122" spans="1:358">
      <c r="A122" s="8"/>
      <c r="AH122" s="7"/>
    </row>
    <row r="123" spans="1:358" s="1" customFormat="1">
      <c r="B123" s="2"/>
      <c r="C123" s="2"/>
      <c r="F123" s="3"/>
      <c r="G123" s="3"/>
      <c r="H123" s="3"/>
      <c r="I123" s="3"/>
      <c r="J123" s="4"/>
      <c r="K123" s="3"/>
      <c r="L123" s="3"/>
      <c r="M123" s="3"/>
      <c r="N123" s="3"/>
      <c r="O123" s="3"/>
      <c r="P123" s="3"/>
      <c r="Q123" s="3"/>
      <c r="R123" s="5"/>
      <c r="S123" s="5"/>
      <c r="T123" s="3"/>
      <c r="U123" s="3"/>
      <c r="V123" s="3"/>
      <c r="W123" s="3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5"/>
      <c r="S124" s="5"/>
      <c r="T124" s="3"/>
      <c r="U124" s="3"/>
      <c r="V124" s="3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5"/>
      <c r="S125" s="5"/>
      <c r="T125" s="3"/>
      <c r="U125" s="3"/>
      <c r="V125" s="3"/>
      <c r="W125" s="3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B126" s="2"/>
      <c r="C126" s="2"/>
      <c r="F126" s="3"/>
      <c r="G126" s="3"/>
      <c r="H126" s="3"/>
      <c r="I126" s="3"/>
      <c r="J126" s="4"/>
      <c r="K126" s="3"/>
      <c r="L126" s="3"/>
      <c r="M126" s="3"/>
      <c r="N126" s="3"/>
      <c r="O126" s="3"/>
      <c r="P126" s="3"/>
      <c r="Q126" s="3"/>
      <c r="R126" s="5"/>
      <c r="S126" s="5"/>
      <c r="T126" s="3"/>
      <c r="U126" s="3"/>
      <c r="V126" s="3"/>
      <c r="W126" s="3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B127" s="2"/>
      <c r="C127" s="2"/>
      <c r="F127" s="3"/>
      <c r="G127" s="3"/>
      <c r="H127" s="3"/>
      <c r="I127" s="3"/>
      <c r="J127" s="4"/>
      <c r="K127" s="3"/>
      <c r="L127" s="3"/>
      <c r="M127" s="3"/>
      <c r="N127" s="3"/>
      <c r="O127" s="3"/>
      <c r="P127" s="3"/>
      <c r="Q127" s="3"/>
      <c r="R127" s="5"/>
      <c r="S127" s="5"/>
      <c r="T127" s="3"/>
      <c r="U127" s="3"/>
      <c r="V127" s="3"/>
      <c r="W127" s="3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B128" s="2"/>
      <c r="C128" s="2"/>
      <c r="F128" s="3"/>
      <c r="G128" s="3"/>
      <c r="H128" s="3"/>
      <c r="I128" s="3"/>
      <c r="J128" s="4"/>
      <c r="K128" s="3"/>
      <c r="L128" s="3"/>
      <c r="M128" s="3"/>
      <c r="N128" s="3"/>
      <c r="O128" s="3"/>
      <c r="P128" s="3"/>
      <c r="Q128" s="3"/>
      <c r="R128" s="5"/>
      <c r="S128" s="5"/>
      <c r="T128" s="3"/>
      <c r="U128" s="3"/>
      <c r="V128" s="3"/>
      <c r="W128" s="3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2:358" s="1" customFormat="1">
      <c r="B129" s="2"/>
      <c r="C129" s="2"/>
      <c r="F129" s="3"/>
      <c r="G129" s="3"/>
      <c r="H129" s="3"/>
      <c r="I129" s="3"/>
      <c r="J129" s="4"/>
      <c r="K129" s="3"/>
      <c r="L129" s="3"/>
      <c r="M129" s="3"/>
      <c r="N129" s="3"/>
      <c r="O129" s="3"/>
      <c r="P129" s="3"/>
      <c r="Q129" s="3"/>
      <c r="R129" s="5"/>
      <c r="S129" s="5"/>
      <c r="T129" s="3"/>
      <c r="U129" s="3"/>
      <c r="V129" s="3"/>
      <c r="W129" s="3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2:358" s="1" customFormat="1">
      <c r="B130" s="2"/>
      <c r="C130" s="2"/>
      <c r="F130" s="3"/>
      <c r="G130" s="3"/>
      <c r="H130" s="3"/>
      <c r="I130" s="3"/>
      <c r="J130" s="4"/>
      <c r="K130" s="3"/>
      <c r="L130" s="3"/>
      <c r="M130" s="3"/>
      <c r="N130" s="3"/>
      <c r="O130" s="3"/>
      <c r="P130" s="3"/>
      <c r="Q130" s="3"/>
      <c r="R130" s="5"/>
      <c r="S130" s="5"/>
      <c r="T130" s="3"/>
      <c r="U130" s="3"/>
      <c r="V130" s="3"/>
      <c r="W130" s="3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2:358" s="1" customFormat="1">
      <c r="B131" s="2"/>
      <c r="C131" s="2"/>
      <c r="F131" s="3"/>
      <c r="G131" s="3"/>
      <c r="H131" s="3"/>
      <c r="I131" s="3"/>
      <c r="J131" s="4"/>
      <c r="K131" s="3"/>
      <c r="L131" s="3"/>
      <c r="M131" s="3"/>
      <c r="N131" s="3"/>
      <c r="O131" s="3"/>
      <c r="P131" s="3"/>
      <c r="Q131" s="3"/>
      <c r="R131" s="5"/>
      <c r="S131" s="5"/>
      <c r="T131" s="3"/>
      <c r="U131" s="3"/>
      <c r="V131" s="3"/>
      <c r="W131" s="3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2:358" s="1" customFormat="1">
      <c r="B132" s="2"/>
      <c r="C132" s="2"/>
      <c r="F132" s="3"/>
      <c r="G132" s="3"/>
      <c r="H132" s="3"/>
      <c r="I132" s="3"/>
      <c r="J132" s="4"/>
      <c r="K132" s="3"/>
      <c r="L132" s="3"/>
      <c r="M132" s="3"/>
      <c r="N132" s="3"/>
      <c r="O132" s="3"/>
      <c r="P132" s="3"/>
      <c r="Q132" s="3"/>
      <c r="R132" s="5"/>
      <c r="S132" s="5"/>
      <c r="T132" s="3"/>
      <c r="U132" s="3"/>
      <c r="V132" s="3"/>
      <c r="W132" s="3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2:358" s="1" customFormat="1">
      <c r="B133" s="2"/>
      <c r="C133" s="2"/>
      <c r="F133" s="3"/>
      <c r="G133" s="3"/>
      <c r="H133" s="3"/>
      <c r="I133" s="3"/>
      <c r="J133" s="4"/>
      <c r="K133" s="3"/>
      <c r="L133" s="3"/>
      <c r="M133" s="3"/>
      <c r="N133" s="3"/>
      <c r="O133" s="3"/>
      <c r="P133" s="3"/>
      <c r="Q133" s="3"/>
      <c r="R133" s="5"/>
      <c r="S133" s="5"/>
      <c r="T133" s="3"/>
      <c r="U133" s="3"/>
      <c r="V133" s="3"/>
      <c r="W133" s="3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2:358" s="1" customFormat="1">
      <c r="B134" s="2"/>
      <c r="C134" s="2"/>
      <c r="F134" s="3"/>
      <c r="G134" s="3"/>
      <c r="H134" s="3"/>
      <c r="I134" s="3"/>
      <c r="J134" s="4"/>
      <c r="K134" s="3"/>
      <c r="L134" s="3"/>
      <c r="M134" s="3"/>
      <c r="N134" s="3"/>
      <c r="O134" s="3"/>
      <c r="P134" s="3"/>
      <c r="Q134" s="3"/>
      <c r="R134" s="5"/>
      <c r="S134" s="5"/>
      <c r="T134" s="3"/>
      <c r="U134" s="3"/>
      <c r="V134" s="3"/>
      <c r="W134" s="3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2:358" s="1" customFormat="1">
      <c r="B135" s="2"/>
      <c r="C135" s="2"/>
      <c r="F135" s="3"/>
      <c r="G135" s="3"/>
      <c r="H135" s="3"/>
      <c r="I135" s="3"/>
      <c r="J135" s="4"/>
      <c r="K135" s="3"/>
      <c r="L135" s="3"/>
      <c r="M135" s="3"/>
      <c r="N135" s="3"/>
      <c r="O135" s="3"/>
      <c r="P135" s="3"/>
      <c r="Q135" s="3"/>
      <c r="R135" s="5"/>
      <c r="S135" s="5"/>
      <c r="T135" s="3"/>
      <c r="U135" s="3"/>
      <c r="V135" s="3"/>
      <c r="W135" s="3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</sheetData>
  <mergeCells count="183">
    <mergeCell ref="A77:C77"/>
    <mergeCell ref="N74:N75"/>
    <mergeCell ref="O74:O75"/>
    <mergeCell ref="P74:P75"/>
    <mergeCell ref="Q74:Q75"/>
    <mergeCell ref="R74:R75"/>
    <mergeCell ref="U74:U75"/>
    <mergeCell ref="V74:V75"/>
    <mergeCell ref="W74:W75"/>
    <mergeCell ref="AA52:AA53"/>
    <mergeCell ref="AB52:AB53"/>
    <mergeCell ref="AC52:AC53"/>
    <mergeCell ref="A55:C55"/>
    <mergeCell ref="E63:E64"/>
    <mergeCell ref="F63:F64"/>
    <mergeCell ref="G63:G64"/>
    <mergeCell ref="H63:H64"/>
    <mergeCell ref="I63:I64"/>
    <mergeCell ref="K63:K64"/>
    <mergeCell ref="N63:N64"/>
    <mergeCell ref="O63:O64"/>
    <mergeCell ref="P52:P53"/>
    <mergeCell ref="Q52:Q53"/>
    <mergeCell ref="R52:R53"/>
    <mergeCell ref="U52:U53"/>
    <mergeCell ref="V52:V53"/>
    <mergeCell ref="W52:W53"/>
    <mergeCell ref="X52:X53"/>
    <mergeCell ref="Y52:Y53"/>
    <mergeCell ref="Z52:Z53"/>
    <mergeCell ref="A42:C42"/>
    <mergeCell ref="E52:E53"/>
    <mergeCell ref="F52:F53"/>
    <mergeCell ref="G52:G53"/>
    <mergeCell ref="H52:H53"/>
    <mergeCell ref="I52:I53"/>
    <mergeCell ref="K52:K53"/>
    <mergeCell ref="N52:N53"/>
    <mergeCell ref="O52:O53"/>
    <mergeCell ref="U39:U40"/>
    <mergeCell ref="V39:V40"/>
    <mergeCell ref="W39:W40"/>
    <mergeCell ref="X39:X40"/>
    <mergeCell ref="Y39:Y40"/>
    <mergeCell ref="Z39:Z40"/>
    <mergeCell ref="AA39:AA40"/>
    <mergeCell ref="AB39:AB40"/>
    <mergeCell ref="AC39:AC40"/>
    <mergeCell ref="A31:C31"/>
    <mergeCell ref="E39:E40"/>
    <mergeCell ref="F39:F40"/>
    <mergeCell ref="G39:G40"/>
    <mergeCell ref="H39:H40"/>
    <mergeCell ref="I39:I40"/>
    <mergeCell ref="K39:K40"/>
    <mergeCell ref="N39:N40"/>
    <mergeCell ref="O39:O40"/>
    <mergeCell ref="A20:C20"/>
    <mergeCell ref="E28:E29"/>
    <mergeCell ref="F28:F29"/>
    <mergeCell ref="G28:G29"/>
    <mergeCell ref="H28:H29"/>
    <mergeCell ref="I28:I29"/>
    <mergeCell ref="K28:K29"/>
    <mergeCell ref="N28:N29"/>
    <mergeCell ref="O28:O29"/>
    <mergeCell ref="P17:P18"/>
    <mergeCell ref="Q17:Q18"/>
    <mergeCell ref="R17:R18"/>
    <mergeCell ref="U17:U18"/>
    <mergeCell ref="V17:V18"/>
    <mergeCell ref="W17:W18"/>
    <mergeCell ref="X17:X18"/>
    <mergeCell ref="Y17:Y18"/>
    <mergeCell ref="Z17:Z18"/>
    <mergeCell ref="A9:C9"/>
    <mergeCell ref="E17:E18"/>
    <mergeCell ref="F17:F18"/>
    <mergeCell ref="G17:G18"/>
    <mergeCell ref="H17:H18"/>
    <mergeCell ref="I17:I18"/>
    <mergeCell ref="K17:K18"/>
    <mergeCell ref="N17:N18"/>
    <mergeCell ref="O17:O18"/>
    <mergeCell ref="P5:P6"/>
    <mergeCell ref="Q5:Q6"/>
    <mergeCell ref="U5:U6"/>
    <mergeCell ref="E5:E6"/>
    <mergeCell ref="F5:F6"/>
    <mergeCell ref="G5:G6"/>
    <mergeCell ref="H5:H6"/>
    <mergeCell ref="I5:I6"/>
    <mergeCell ref="K5:K6"/>
    <mergeCell ref="R5:R6"/>
    <mergeCell ref="N5:N6"/>
    <mergeCell ref="O5:O6"/>
    <mergeCell ref="AH5:AH6"/>
    <mergeCell ref="AI5:AI6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AF16:AF17"/>
    <mergeCell ref="AG16:AG17"/>
    <mergeCell ref="AH16:AH17"/>
    <mergeCell ref="AA17:AA18"/>
    <mergeCell ref="AB17:AB18"/>
    <mergeCell ref="AC17:AC18"/>
    <mergeCell ref="AD16:AD17"/>
    <mergeCell ref="AE16:AE17"/>
    <mergeCell ref="AG27:AG28"/>
    <mergeCell ref="AH27:AH28"/>
    <mergeCell ref="AD27:AD28"/>
    <mergeCell ref="AE27:AE28"/>
    <mergeCell ref="AF27:AF28"/>
    <mergeCell ref="AA28:AA29"/>
    <mergeCell ref="AD38:AD39"/>
    <mergeCell ref="AE38:AE39"/>
    <mergeCell ref="AF38:AF39"/>
    <mergeCell ref="AG38:AG39"/>
    <mergeCell ref="AH38:AH39"/>
    <mergeCell ref="AB28:AB29"/>
    <mergeCell ref="AC28:AC29"/>
    <mergeCell ref="P28:P29"/>
    <mergeCell ref="AG51:AG52"/>
    <mergeCell ref="AH51:AH52"/>
    <mergeCell ref="AD51:AD52"/>
    <mergeCell ref="AE51:AE52"/>
    <mergeCell ref="AF51:AF52"/>
    <mergeCell ref="Q28:Q29"/>
    <mergeCell ref="R28:R29"/>
    <mergeCell ref="U28:U29"/>
    <mergeCell ref="V28:V29"/>
    <mergeCell ref="W28:W29"/>
    <mergeCell ref="X28:X29"/>
    <mergeCell ref="Y28:Y29"/>
    <mergeCell ref="Z28:Z29"/>
    <mergeCell ref="P39:P40"/>
    <mergeCell ref="Q39:Q40"/>
    <mergeCell ref="R39:R40"/>
    <mergeCell ref="A66:C66"/>
    <mergeCell ref="E74:E75"/>
    <mergeCell ref="F74:F75"/>
    <mergeCell ref="G74:G75"/>
    <mergeCell ref="AF62:AF63"/>
    <mergeCell ref="AG62:AG63"/>
    <mergeCell ref="AH62:AH63"/>
    <mergeCell ref="W63:W64"/>
    <mergeCell ref="X63:X64"/>
    <mergeCell ref="Y63:Y64"/>
    <mergeCell ref="Z63:Z64"/>
    <mergeCell ref="AA63:AA64"/>
    <mergeCell ref="AB63:AB64"/>
    <mergeCell ref="AC63:AC64"/>
    <mergeCell ref="AD62:AD63"/>
    <mergeCell ref="AE62:AE63"/>
    <mergeCell ref="Y74:Y75"/>
    <mergeCell ref="Z74:Z75"/>
    <mergeCell ref="AA74:AA75"/>
    <mergeCell ref="AB74:AB75"/>
    <mergeCell ref="AC74:AC75"/>
    <mergeCell ref="X74:X75"/>
    <mergeCell ref="AG73:AG74"/>
    <mergeCell ref="AH73:AH74"/>
    <mergeCell ref="AD73:AD74"/>
    <mergeCell ref="AE73:AE74"/>
    <mergeCell ref="AF73:AF74"/>
    <mergeCell ref="H74:H75"/>
    <mergeCell ref="I74:I75"/>
    <mergeCell ref="K74:K75"/>
    <mergeCell ref="P63:P64"/>
    <mergeCell ref="Q63:Q64"/>
    <mergeCell ref="R63:R64"/>
    <mergeCell ref="U63:U64"/>
    <mergeCell ref="V63:V6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MT136"/>
  <sheetViews>
    <sheetView topLeftCell="A2" zoomScale="80" zoomScaleNormal="80" workbookViewId="0">
      <pane xSplit="15" ySplit="5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08984375" defaultRowHeight="21" outlineLevelRow="1" outlineLevelCol="1"/>
  <cols>
    <col min="1" max="1" width="17.7265625" style="194" customWidth="1"/>
    <col min="2" max="2" width="24.90625" style="2" hidden="1" customWidth="1"/>
    <col min="3" max="3" width="21.36328125" style="2" hidden="1" customWidth="1"/>
    <col min="4" max="4" width="13.453125" style="1" hidden="1" customWidth="1"/>
    <col min="5" max="5" width="10.36328125" style="1" hidden="1" customWidth="1"/>
    <col min="6" max="9" width="11.08984375" style="3" hidden="1" customWidth="1"/>
    <col min="10" max="10" width="31.90625" style="4" hidden="1" customWidth="1"/>
    <col min="11" max="14" width="11.08984375" style="3" hidden="1" customWidth="1"/>
    <col min="15" max="15" width="15.453125" style="3" hidden="1" customWidth="1"/>
    <col min="16" max="16" width="11.1796875" style="3" customWidth="1"/>
    <col min="17" max="17" width="9.1796875" style="3" customWidth="1"/>
    <col min="18" max="19" width="15.7265625" style="5" hidden="1" customWidth="1" outlineLevel="1"/>
    <col min="20" max="20" width="9.90625" style="3" customWidth="1" collapsed="1"/>
    <col min="21" max="21" width="10" style="3" customWidth="1"/>
    <col min="22" max="23" width="9.08984375" style="3" customWidth="1"/>
    <col min="24" max="29" width="9.08984375" style="6" customWidth="1"/>
    <col min="30" max="30" width="8.7265625" style="6" hidden="1" customWidth="1" outlineLevel="1"/>
    <col min="31" max="33" width="9.1796875" style="6" hidden="1" customWidth="1" outlineLevel="1"/>
    <col min="34" max="34" width="8.7265625" style="153" hidden="1" customWidth="1" outlineLevel="1"/>
    <col min="35" max="35" width="9.08984375" style="7" collapsed="1"/>
    <col min="36" max="358" width="9.08984375" style="7"/>
    <col min="359" max="16384" width="9.08984375" style="8"/>
  </cols>
  <sheetData>
    <row r="1" spans="1:358" ht="21.75" hidden="1" customHeight="1">
      <c r="AH1" s="7"/>
    </row>
    <row r="2" spans="1:358" ht="24.75" hidden="1" customHeight="1" thickBo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2"/>
      <c r="S2" s="12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 thickBo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7"/>
      <c r="S3" s="17"/>
      <c r="T3" s="14"/>
      <c r="U3" s="14"/>
      <c r="V3" s="14"/>
      <c r="W3" s="14"/>
      <c r="AH3" s="7"/>
    </row>
    <row r="4" spans="1:358" ht="15.75" customHeight="1">
      <c r="AH4" s="7"/>
    </row>
    <row r="5" spans="1:358" ht="21" customHeight="1">
      <c r="A5" s="231"/>
      <c r="B5" s="26" t="s">
        <v>1</v>
      </c>
      <c r="C5" s="26" t="s">
        <v>2</v>
      </c>
      <c r="D5" s="27"/>
      <c r="E5" s="678" t="s">
        <v>3</v>
      </c>
      <c r="F5" s="673" t="s">
        <v>4</v>
      </c>
      <c r="G5" s="673" t="s">
        <v>5</v>
      </c>
      <c r="H5" s="680" t="s">
        <v>6</v>
      </c>
      <c r="I5" s="673" t="s">
        <v>7</v>
      </c>
      <c r="J5" s="28" t="s">
        <v>2</v>
      </c>
      <c r="K5" s="673" t="s">
        <v>8</v>
      </c>
      <c r="L5" s="250" t="s">
        <v>9</v>
      </c>
      <c r="M5" s="250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10</v>
      </c>
      <c r="S5" s="29" t="s">
        <v>11</v>
      </c>
      <c r="T5" s="30" t="s">
        <v>16</v>
      </c>
      <c r="U5" s="673" t="s">
        <v>64</v>
      </c>
      <c r="V5" s="673" t="s">
        <v>65</v>
      </c>
      <c r="W5" s="673" t="s">
        <v>66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73" t="s">
        <v>78</v>
      </c>
      <c r="AD5" s="671" t="s">
        <v>79</v>
      </c>
      <c r="AE5" s="671" t="s">
        <v>80</v>
      </c>
      <c r="AF5" s="671" t="s">
        <v>81</v>
      </c>
      <c r="AG5" s="671" t="s">
        <v>82</v>
      </c>
      <c r="AH5" s="671">
        <v>2016</v>
      </c>
      <c r="AI5" s="677" t="s">
        <v>93</v>
      </c>
    </row>
    <row r="6" spans="1:358" ht="18.75" customHeight="1" thickBot="1">
      <c r="A6" s="232"/>
      <c r="B6" s="32" t="s">
        <v>18</v>
      </c>
      <c r="C6" s="32"/>
      <c r="D6" s="27"/>
      <c r="E6" s="679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>
        <v>42401</v>
      </c>
      <c r="S6" s="187">
        <v>42430</v>
      </c>
      <c r="T6" s="188"/>
      <c r="U6" s="674"/>
      <c r="V6" s="674"/>
      <c r="W6" s="674"/>
      <c r="X6" s="674"/>
      <c r="Y6" s="674"/>
      <c r="Z6" s="674"/>
      <c r="AA6" s="674"/>
      <c r="AB6" s="674"/>
      <c r="AC6" s="674"/>
      <c r="AD6" s="672"/>
      <c r="AE6" s="672"/>
      <c r="AF6" s="672"/>
      <c r="AG6" s="672"/>
      <c r="AH6" s="672"/>
      <c r="AI6" s="677"/>
    </row>
    <row r="7" spans="1:358" ht="18.75" customHeigh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2"/>
      <c r="T7" s="22"/>
      <c r="U7" s="24"/>
      <c r="V7" s="24"/>
      <c r="W7" s="24"/>
      <c r="X7" s="24"/>
      <c r="Y7" s="23"/>
      <c r="Z7" s="24"/>
      <c r="AA7" s="24"/>
      <c r="AB7" s="24"/>
      <c r="AC7" s="23"/>
      <c r="AD7" s="24"/>
      <c r="AE7" s="24"/>
      <c r="AF7" s="24"/>
      <c r="AG7" s="23"/>
      <c r="AH7" s="203"/>
      <c r="AI7" s="169"/>
    </row>
    <row r="8" spans="1:358" ht="21.5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214"/>
      <c r="T8" s="215"/>
      <c r="U8" s="39"/>
      <c r="V8" s="39"/>
      <c r="W8" s="39"/>
      <c r="X8" s="39"/>
      <c r="Y8" s="38"/>
      <c r="Z8" s="38"/>
      <c r="AA8" s="38"/>
      <c r="AB8" s="38"/>
      <c r="AC8" s="38"/>
      <c r="AD8" s="40"/>
      <c r="AE8" s="40"/>
      <c r="AF8" s="40"/>
      <c r="AG8" s="40"/>
      <c r="AH8" s="40"/>
    </row>
    <row r="9" spans="1:358" s="46" customFormat="1" ht="18.75" hidden="1" customHeight="1" outlineLevel="1">
      <c r="A9" s="681"/>
      <c r="B9" s="682"/>
      <c r="C9" s="682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16"/>
      <c r="T9" s="217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44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26.5</v>
      </c>
      <c r="Q10" s="181">
        <v>26</v>
      </c>
      <c r="R10" s="189" t="s">
        <v>120</v>
      </c>
      <c r="S10" s="185" t="s">
        <v>121</v>
      </c>
      <c r="T10" s="180">
        <v>27</v>
      </c>
      <c r="U10" s="189">
        <v>28.5</v>
      </c>
      <c r="V10" s="189">
        <v>30</v>
      </c>
      <c r="W10" s="189">
        <v>30.5</v>
      </c>
      <c r="X10" s="189">
        <v>31</v>
      </c>
      <c r="Y10" s="189">
        <v>33</v>
      </c>
      <c r="Z10" s="189">
        <v>33.5</v>
      </c>
      <c r="AA10" s="189">
        <v>38</v>
      </c>
      <c r="AB10" s="189">
        <v>39.5</v>
      </c>
      <c r="AC10" s="189">
        <v>40</v>
      </c>
      <c r="AD10" s="190">
        <f>AVERAGE(P10:T10)</f>
        <v>26.5</v>
      </c>
      <c r="AE10" s="190">
        <f>AVERAGE(U10:W10)</f>
        <v>29.666666666666668</v>
      </c>
      <c r="AF10" s="190">
        <f>AVERAGE(X10:Z10)</f>
        <v>32.5</v>
      </c>
      <c r="AG10" s="190">
        <f>AVERAGE(AA10:AC10)</f>
        <v>39.166666666666664</v>
      </c>
      <c r="AH10" s="190">
        <f>AVERAGE(P10:AC10)</f>
        <v>31.958333333333332</v>
      </c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26.7</v>
      </c>
      <c r="Q11" s="183">
        <v>27</v>
      </c>
      <c r="R11" s="183" t="s">
        <v>97</v>
      </c>
      <c r="S11" s="185" t="s">
        <v>98</v>
      </c>
      <c r="T11" s="186">
        <v>25</v>
      </c>
      <c r="U11" s="183">
        <v>24.5</v>
      </c>
      <c r="V11" s="183">
        <v>27</v>
      </c>
      <c r="W11" s="183">
        <v>30</v>
      </c>
      <c r="X11" s="183">
        <v>33</v>
      </c>
      <c r="Y11" s="183">
        <v>35.5</v>
      </c>
      <c r="Z11" s="183">
        <v>36</v>
      </c>
      <c r="AA11" s="183">
        <v>38</v>
      </c>
      <c r="AB11" s="183">
        <v>38.299999999999997</v>
      </c>
      <c r="AC11" s="183">
        <v>40</v>
      </c>
      <c r="AD11" s="190">
        <f>AVERAGE(P11:T11)</f>
        <v>26.233333333333334</v>
      </c>
      <c r="AE11" s="190">
        <f t="shared" ref="AE11:AE13" si="1">AVERAGE(U11:W11)</f>
        <v>27.166666666666668</v>
      </c>
      <c r="AF11" s="190">
        <f t="shared" ref="AF11:AF13" si="2">AVERAGE(X11:Z11)</f>
        <v>34.833333333333336</v>
      </c>
      <c r="AG11" s="190">
        <f t="shared" ref="AG11:AG13" si="3">AVERAGE(AA11:AC11)</f>
        <v>38.766666666666666</v>
      </c>
      <c r="AH11" s="190">
        <f>AVERAGE(P11:AC11)</f>
        <v>31.75</v>
      </c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27</v>
      </c>
      <c r="Q12" s="189">
        <v>29</v>
      </c>
      <c r="R12" s="189" t="s">
        <v>94</v>
      </c>
      <c r="S12" s="185" t="s">
        <v>94</v>
      </c>
      <c r="T12" s="180">
        <v>32</v>
      </c>
      <c r="U12" s="183">
        <v>35</v>
      </c>
      <c r="V12" s="183">
        <v>35</v>
      </c>
      <c r="W12" s="183">
        <v>35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189">
        <v>40</v>
      </c>
      <c r="AD12" s="190">
        <f>AVERAGE(P12:T12)</f>
        <v>29.333333333333332</v>
      </c>
      <c r="AE12" s="190">
        <f t="shared" si="1"/>
        <v>35</v>
      </c>
      <c r="AF12" s="190">
        <f t="shared" si="2"/>
        <v>37</v>
      </c>
      <c r="AG12" s="190">
        <f t="shared" si="3"/>
        <v>40</v>
      </c>
      <c r="AH12" s="190">
        <f>AVERAGE(P12:AC12)</f>
        <v>35.333333333333336</v>
      </c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</v>
      </c>
      <c r="Q13" s="189">
        <v>28</v>
      </c>
      <c r="R13" s="189" t="s">
        <v>125</v>
      </c>
      <c r="S13" s="226" t="s">
        <v>126</v>
      </c>
      <c r="T13" s="225">
        <v>29</v>
      </c>
      <c r="U13" s="189">
        <v>31</v>
      </c>
      <c r="V13" s="189">
        <v>32</v>
      </c>
      <c r="W13" s="189">
        <v>35</v>
      </c>
      <c r="X13" s="189">
        <v>37</v>
      </c>
      <c r="Y13" s="189">
        <v>40</v>
      </c>
      <c r="Z13" s="189">
        <v>40</v>
      </c>
      <c r="AA13" s="189">
        <v>40</v>
      </c>
      <c r="AB13" s="189">
        <v>43</v>
      </c>
      <c r="AC13" s="189">
        <v>45</v>
      </c>
      <c r="AD13" s="190">
        <f>AVERAGE(P13:T13)</f>
        <v>27.666666666666668</v>
      </c>
      <c r="AE13" s="190">
        <f t="shared" si="1"/>
        <v>32.666666666666664</v>
      </c>
      <c r="AF13" s="190">
        <f t="shared" si="2"/>
        <v>39</v>
      </c>
      <c r="AG13" s="190">
        <f t="shared" si="3"/>
        <v>42.666666666666664</v>
      </c>
      <c r="AH13" s="190">
        <f>AVERAGE(P13:AC13)</f>
        <v>35.5</v>
      </c>
    </row>
    <row r="14" spans="1:358" s="62" customFormat="1" ht="19.5" hidden="1" customHeight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4">AVERAGE(J10:J13)</f>
        <v>#DIV/0!</v>
      </c>
      <c r="K14" s="59">
        <f t="shared" si="4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5">AVERAGE(O10:O13)</f>
        <v>37</v>
      </c>
      <c r="P14" s="59">
        <f>AVERAGE(P10:P13)</f>
        <v>26.55</v>
      </c>
      <c r="Q14" s="59">
        <f>AVERAGE(Q10:Q13)</f>
        <v>27.5</v>
      </c>
      <c r="R14" s="59"/>
      <c r="S14" s="60"/>
      <c r="T14" s="60">
        <f>AVERAGE(T10:T13)</f>
        <v>28.25</v>
      </c>
      <c r="U14" s="59">
        <f>AVERAGE(U10:U13)</f>
        <v>29.75</v>
      </c>
      <c r="V14" s="59">
        <f t="shared" ref="V14:AC14" si="6">AVERAGE(V10:V13)</f>
        <v>31</v>
      </c>
      <c r="W14" s="59">
        <f t="shared" si="6"/>
        <v>32.625</v>
      </c>
      <c r="X14" s="59">
        <f t="shared" si="6"/>
        <v>34.5</v>
      </c>
      <c r="Y14" s="59">
        <f t="shared" si="6"/>
        <v>36.375</v>
      </c>
      <c r="Z14" s="59">
        <f t="shared" si="6"/>
        <v>36.625</v>
      </c>
      <c r="AA14" s="59">
        <f t="shared" si="6"/>
        <v>39</v>
      </c>
      <c r="AB14" s="59">
        <f t="shared" si="6"/>
        <v>40.200000000000003</v>
      </c>
      <c r="AC14" s="59">
        <f t="shared" si="6"/>
        <v>41.25</v>
      </c>
      <c r="AD14" s="59">
        <f>AVERAGE(AD10:AD13)</f>
        <v>27.433333333333334</v>
      </c>
      <c r="AE14" s="59">
        <f t="shared" ref="AE14" si="7">AVERAGE(AE10:AE13)</f>
        <v>31.125</v>
      </c>
      <c r="AF14" s="59">
        <f>AVERAGE(AF10:AF13)</f>
        <v>35.833333333333336</v>
      </c>
      <c r="AG14" s="59">
        <f>AVERAGE(AG10:AG13)</f>
        <v>40.15</v>
      </c>
      <c r="AH14" s="193">
        <f>AVERAGE(AH10:AH13)</f>
        <v>33.635416666666664</v>
      </c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" collapsed="1" thickBot="1">
      <c r="A15" s="227" t="s">
        <v>86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26.55</v>
      </c>
      <c r="Q15" s="164">
        <f>Q14</f>
        <v>27.5</v>
      </c>
      <c r="R15" s="164"/>
      <c r="S15" s="164"/>
      <c r="T15" s="164">
        <f>T14</f>
        <v>28.25</v>
      </c>
      <c r="U15" s="164">
        <f t="shared" ref="U15:AC15" si="8">U14</f>
        <v>29.75</v>
      </c>
      <c r="V15" s="164">
        <f t="shared" si="8"/>
        <v>31</v>
      </c>
      <c r="W15" s="164">
        <f t="shared" si="8"/>
        <v>32.625</v>
      </c>
      <c r="X15" s="164">
        <f t="shared" si="8"/>
        <v>34.5</v>
      </c>
      <c r="Y15" s="164">
        <f t="shared" si="8"/>
        <v>36.375</v>
      </c>
      <c r="Z15" s="164">
        <f t="shared" si="8"/>
        <v>36.625</v>
      </c>
      <c r="AA15" s="164">
        <f t="shared" si="8"/>
        <v>39</v>
      </c>
      <c r="AB15" s="164">
        <f t="shared" si="8"/>
        <v>40.200000000000003</v>
      </c>
      <c r="AC15" s="164">
        <f t="shared" si="8"/>
        <v>41.25</v>
      </c>
      <c r="AD15" s="164">
        <f>AVERAGE(P15:Q15,T15)</f>
        <v>27.433333333333334</v>
      </c>
      <c r="AE15" s="164">
        <f>AVERAGE(U15:W15)</f>
        <v>31.125</v>
      </c>
      <c r="AF15" s="164">
        <f>AVERAGE(X15:Z15)</f>
        <v>35.833333333333336</v>
      </c>
      <c r="AG15" s="164">
        <f>AVERAGE(AA15:AC15)</f>
        <v>40.15</v>
      </c>
      <c r="AH15" s="164">
        <f>AVERAGE(P15:Q15,T15:AC15)</f>
        <v>33.635416666666664</v>
      </c>
      <c r="AI15" s="169">
        <v>54</v>
      </c>
      <c r="AJ15" s="179"/>
      <c r="AK15" s="179"/>
    </row>
    <row r="16" spans="1:358" ht="21.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67"/>
      <c r="T16" s="67"/>
      <c r="U16" s="24"/>
      <c r="V16" s="24"/>
      <c r="W16" s="24"/>
      <c r="X16" s="24"/>
      <c r="Y16" s="23"/>
      <c r="Z16" s="23"/>
      <c r="AA16" s="23"/>
      <c r="AB16" s="23"/>
      <c r="AC16" s="23"/>
      <c r="AD16" s="23"/>
      <c r="AE16" s="23"/>
      <c r="AF16" s="23"/>
      <c r="AG16" s="23"/>
      <c r="AH16" s="7"/>
      <c r="AI16" s="169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673" t="s">
        <v>3</v>
      </c>
      <c r="F17" s="673" t="s">
        <v>4</v>
      </c>
      <c r="G17" s="673" t="s">
        <v>5</v>
      </c>
      <c r="H17" s="673" t="s">
        <v>6</v>
      </c>
      <c r="I17" s="673" t="s">
        <v>7</v>
      </c>
      <c r="J17" s="28" t="s">
        <v>2</v>
      </c>
      <c r="K17" s="673" t="s">
        <v>8</v>
      </c>
      <c r="L17" s="250" t="s">
        <v>9</v>
      </c>
      <c r="M17" s="250" t="s">
        <v>9</v>
      </c>
      <c r="N17" s="673" t="s">
        <v>12</v>
      </c>
      <c r="O17" s="673" t="s">
        <v>13</v>
      </c>
      <c r="P17" s="673" t="s">
        <v>14</v>
      </c>
      <c r="Q17" s="673" t="s">
        <v>15</v>
      </c>
      <c r="R17" s="673" t="s">
        <v>10</v>
      </c>
      <c r="S17" s="29" t="s">
        <v>11</v>
      </c>
      <c r="T17" s="30" t="s">
        <v>16</v>
      </c>
      <c r="U17" s="673" t="s">
        <v>64</v>
      </c>
      <c r="V17" s="673" t="s">
        <v>65</v>
      </c>
      <c r="W17" s="673" t="s">
        <v>66</v>
      </c>
      <c r="X17" s="673" t="s">
        <v>67</v>
      </c>
      <c r="Y17" s="673" t="s">
        <v>68</v>
      </c>
      <c r="Z17" s="673" t="s">
        <v>69</v>
      </c>
      <c r="AA17" s="673" t="s">
        <v>70</v>
      </c>
      <c r="AB17" s="673" t="s">
        <v>77</v>
      </c>
      <c r="AC17" s="673" t="s">
        <v>78</v>
      </c>
      <c r="AD17" s="671" t="s">
        <v>79</v>
      </c>
      <c r="AE17" s="671" t="s">
        <v>80</v>
      </c>
      <c r="AF17" s="671" t="s">
        <v>81</v>
      </c>
      <c r="AG17" s="671" t="s">
        <v>82</v>
      </c>
      <c r="AH17" s="671">
        <v>2016</v>
      </c>
      <c r="AI17" s="169"/>
    </row>
    <row r="18" spans="1:358" ht="16.5" hidden="1" customHeight="1" outlineLevel="1">
      <c r="A18" s="232"/>
      <c r="B18" s="68"/>
      <c r="C18" s="68"/>
      <c r="D18" s="27"/>
      <c r="E18" s="674"/>
      <c r="F18" s="674"/>
      <c r="G18" s="674"/>
      <c r="H18" s="674"/>
      <c r="I18" s="674"/>
      <c r="J18" s="69" t="str">
        <f>$J$6</f>
        <v>(8-12 Jun)</v>
      </c>
      <c r="K18" s="674"/>
      <c r="L18" s="33" t="s">
        <v>20</v>
      </c>
      <c r="M18" s="33" t="s">
        <v>63</v>
      </c>
      <c r="N18" s="674"/>
      <c r="O18" s="674"/>
      <c r="P18" s="674"/>
      <c r="Q18" s="674"/>
      <c r="R18" s="674">
        <v>42370</v>
      </c>
      <c r="S18" s="187">
        <v>42401</v>
      </c>
      <c r="T18" s="188"/>
      <c r="U18" s="674"/>
      <c r="V18" s="674"/>
      <c r="W18" s="674"/>
      <c r="X18" s="674"/>
      <c r="Y18" s="674"/>
      <c r="Z18" s="674"/>
      <c r="AA18" s="674"/>
      <c r="AB18" s="674"/>
      <c r="AC18" s="674"/>
      <c r="AD18" s="672"/>
      <c r="AE18" s="672"/>
      <c r="AF18" s="672"/>
      <c r="AG18" s="672"/>
      <c r="AH18" s="672"/>
      <c r="AI18" s="169"/>
    </row>
    <row r="19" spans="1:358" ht="21" hidden="1" customHeight="1" outlineLevel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73"/>
      <c r="T19" s="73"/>
      <c r="U19" s="39"/>
      <c r="V19" s="39"/>
      <c r="W19" s="39"/>
      <c r="X19" s="39"/>
      <c r="Y19" s="38"/>
      <c r="Z19" s="38"/>
      <c r="AA19" s="38"/>
      <c r="AB19" s="38"/>
      <c r="AC19" s="38"/>
      <c r="AD19" s="40"/>
      <c r="AE19" s="40"/>
      <c r="AF19" s="40"/>
      <c r="AG19" s="40"/>
      <c r="AH19" s="40"/>
      <c r="AI19" s="169"/>
    </row>
    <row r="20" spans="1:358" s="77" customFormat="1" ht="21" hidden="1" customHeight="1" outlineLevel="1">
      <c r="A20" s="675"/>
      <c r="B20" s="676"/>
      <c r="C20" s="676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216"/>
      <c r="T20" s="217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169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9.5</v>
      </c>
      <c r="Q21" s="189">
        <v>8.5</v>
      </c>
      <c r="R21" s="189" t="s">
        <v>122</v>
      </c>
      <c r="S21" s="185" t="s">
        <v>123</v>
      </c>
      <c r="T21" s="186">
        <v>6</v>
      </c>
      <c r="U21" s="189">
        <v>4.5</v>
      </c>
      <c r="V21" s="189">
        <v>3.25</v>
      </c>
      <c r="W21" s="189">
        <v>4.63</v>
      </c>
      <c r="X21" s="189">
        <v>4.38</v>
      </c>
      <c r="Y21" s="189">
        <v>3.88</v>
      </c>
      <c r="Z21" s="189">
        <v>3.13</v>
      </c>
      <c r="AA21" s="189">
        <v>2.75</v>
      </c>
      <c r="AB21" s="189">
        <v>3.05</v>
      </c>
      <c r="AC21" s="189">
        <v>3.38</v>
      </c>
      <c r="AD21" s="190">
        <f>AVERAGE(P21:T21)</f>
        <v>8</v>
      </c>
      <c r="AE21" s="190">
        <f>AVERAGE(U21:W21)</f>
        <v>4.126666666666666</v>
      </c>
      <c r="AF21" s="190">
        <f>AVERAGE(X21:Z21)</f>
        <v>3.7966666666666669</v>
      </c>
      <c r="AG21" s="190">
        <f>AVERAGE(AA21:AC21)</f>
        <v>3.06</v>
      </c>
      <c r="AH21" s="190">
        <f>AVERAGE(P21:AC21)</f>
        <v>4.7458333333333345</v>
      </c>
      <c r="AI21" s="169"/>
    </row>
    <row r="22" spans="1:358" ht="66" hidden="1" customHeight="1" outlineLevel="1">
      <c r="A22" s="47" t="s">
        <v>24</v>
      </c>
      <c r="B22" s="48">
        <f t="shared" ref="B22" si="9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10.35</v>
      </c>
      <c r="Q22" s="183">
        <v>8.3000000000000007</v>
      </c>
      <c r="R22" s="183" t="s">
        <v>99</v>
      </c>
      <c r="S22" s="185" t="s">
        <v>100</v>
      </c>
      <c r="T22" s="186">
        <v>7.8</v>
      </c>
      <c r="U22" s="183">
        <v>7.4</v>
      </c>
      <c r="V22" s="183">
        <v>7.3</v>
      </c>
      <c r="W22" s="183">
        <v>6</v>
      </c>
      <c r="X22" s="183">
        <v>6</v>
      </c>
      <c r="Y22" s="183">
        <v>5</v>
      </c>
      <c r="Z22" s="183">
        <v>4</v>
      </c>
      <c r="AA22" s="183">
        <v>4</v>
      </c>
      <c r="AB22" s="183">
        <v>4.2</v>
      </c>
      <c r="AC22" s="183">
        <v>4.5</v>
      </c>
      <c r="AD22" s="190">
        <f>AVERAGE(P22:T22)</f>
        <v>8.8166666666666664</v>
      </c>
      <c r="AE22" s="190">
        <f>AVERAGE(U22:W22)</f>
        <v>6.8999999999999995</v>
      </c>
      <c r="AF22" s="190">
        <f t="shared" ref="AF22:AF24" si="10">AVERAGE(X22:Z22)</f>
        <v>5</v>
      </c>
      <c r="AG22" s="190">
        <f t="shared" ref="AG22:AG24" si="11">AVERAGE(AA22:AC22)</f>
        <v>4.2333333333333334</v>
      </c>
      <c r="AH22" s="190">
        <f>AVERAGE(P22:AC22)</f>
        <v>6.2375000000000007</v>
      </c>
      <c r="AI22" s="169"/>
    </row>
    <row r="23" spans="1:358" ht="62.25" hidden="1" customHeight="1" outlineLevel="1">
      <c r="A23" s="47" t="s">
        <v>25</v>
      </c>
      <c r="B23" s="78">
        <f t="shared" ref="B23" si="12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11</v>
      </c>
      <c r="Q23" s="189">
        <v>9</v>
      </c>
      <c r="R23" s="189" t="s">
        <v>30</v>
      </c>
      <c r="S23" s="185" t="s">
        <v>30</v>
      </c>
      <c r="T23" s="186">
        <v>7</v>
      </c>
      <c r="U23" s="189">
        <v>5</v>
      </c>
      <c r="V23" s="189">
        <v>5</v>
      </c>
      <c r="W23" s="189">
        <v>5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189">
        <v>4</v>
      </c>
      <c r="AD23" s="190">
        <f>AVERAGE(P23:T23)</f>
        <v>9</v>
      </c>
      <c r="AE23" s="190">
        <f>AVERAGE(U23:W23)</f>
        <v>5</v>
      </c>
      <c r="AF23" s="190">
        <f t="shared" si="10"/>
        <v>4.5</v>
      </c>
      <c r="AG23" s="190">
        <f t="shared" si="11"/>
        <v>4</v>
      </c>
      <c r="AH23" s="190">
        <f>AVERAGE(P23:AC23)</f>
        <v>5.625</v>
      </c>
      <c r="AI23" s="169"/>
    </row>
    <row r="24" spans="1:358" ht="66" hidden="1" customHeight="1" outlineLevel="1" thickBot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11.5</v>
      </c>
      <c r="Q24" s="189">
        <v>10</v>
      </c>
      <c r="R24" s="189" t="s">
        <v>127</v>
      </c>
      <c r="S24" s="185" t="s">
        <v>128</v>
      </c>
      <c r="T24" s="186">
        <v>9</v>
      </c>
      <c r="U24" s="189">
        <v>8</v>
      </c>
      <c r="V24" s="189">
        <v>6</v>
      </c>
      <c r="W24" s="189">
        <v>5</v>
      </c>
      <c r="X24" s="189">
        <v>5</v>
      </c>
      <c r="Y24" s="189">
        <v>4</v>
      </c>
      <c r="Z24" s="189">
        <v>3</v>
      </c>
      <c r="AA24" s="189">
        <v>2</v>
      </c>
      <c r="AB24" s="189">
        <v>2</v>
      </c>
      <c r="AC24" s="189">
        <v>2.5</v>
      </c>
      <c r="AD24" s="190">
        <f>AVERAGE(P24:T24)</f>
        <v>10.166666666666666</v>
      </c>
      <c r="AE24" s="190">
        <f t="shared" ref="AE24" si="13">AVERAGE(U24:W24)</f>
        <v>6.333333333333333</v>
      </c>
      <c r="AF24" s="190">
        <f t="shared" si="10"/>
        <v>4</v>
      </c>
      <c r="AG24" s="190">
        <f t="shared" si="11"/>
        <v>2.1666666666666665</v>
      </c>
      <c r="AH24" s="190">
        <f>AVERAGE(P24:AC24)</f>
        <v>5.666666666666667</v>
      </c>
      <c r="AI24" s="169"/>
    </row>
    <row r="25" spans="1:358" ht="26.25" hidden="1" customHeight="1" outlineLevel="1" thickBot="1">
      <c r="A25" s="245" t="s">
        <v>31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10.5875</v>
      </c>
      <c r="Q25" s="59">
        <f>AVERAGE(Q21:Q24)</f>
        <v>8.9499999999999993</v>
      </c>
      <c r="R25" s="59"/>
      <c r="S25" s="59"/>
      <c r="T25" s="59">
        <f t="shared" ref="T25" si="14">AVERAGE(T21:T24)</f>
        <v>7.45</v>
      </c>
      <c r="U25" s="59">
        <f>AVERAGE(U21:U24)</f>
        <v>6.2249999999999996</v>
      </c>
      <c r="V25" s="59">
        <f t="shared" ref="V25:AC25" si="15">AVERAGE(V21:V24)</f>
        <v>5.3875000000000002</v>
      </c>
      <c r="W25" s="59">
        <f t="shared" si="15"/>
        <v>5.1574999999999998</v>
      </c>
      <c r="X25" s="59">
        <f t="shared" si="15"/>
        <v>4.97</v>
      </c>
      <c r="Y25" s="59">
        <f t="shared" si="15"/>
        <v>4.3449999999999998</v>
      </c>
      <c r="Z25" s="59">
        <f t="shared" si="15"/>
        <v>3.6574999999999998</v>
      </c>
      <c r="AA25" s="59">
        <f t="shared" si="15"/>
        <v>3.1875</v>
      </c>
      <c r="AB25" s="59">
        <f t="shared" si="15"/>
        <v>3.3125</v>
      </c>
      <c r="AC25" s="59">
        <f t="shared" si="15"/>
        <v>3.5949999999999998</v>
      </c>
      <c r="AD25" s="59">
        <f>AVERAGE(AD21:AD24)</f>
        <v>8.9958333333333336</v>
      </c>
      <c r="AE25" s="59">
        <f>AVERAGE(AE21:AE24)</f>
        <v>5.589999999999999</v>
      </c>
      <c r="AF25" s="59">
        <f t="shared" ref="AF25:AG25" si="16">AVERAGE(AF21:AF24)</f>
        <v>4.3241666666666667</v>
      </c>
      <c r="AG25" s="59">
        <f t="shared" si="16"/>
        <v>3.3649999999999998</v>
      </c>
      <c r="AH25" s="193">
        <f>AVERAGE(AH21:AH24)</f>
        <v>5.5687500000000005</v>
      </c>
      <c r="AI25" s="169"/>
    </row>
    <row r="26" spans="1:358" ht="19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10.5875</v>
      </c>
      <c r="Q26" s="164">
        <f>Q25</f>
        <v>8.9499999999999993</v>
      </c>
      <c r="R26" s="164"/>
      <c r="S26" s="164"/>
      <c r="T26" s="164">
        <f>T25</f>
        <v>7.45</v>
      </c>
      <c r="U26" s="164">
        <f t="shared" ref="U26:AC26" si="17">U25</f>
        <v>6.2249999999999996</v>
      </c>
      <c r="V26" s="164">
        <f t="shared" si="17"/>
        <v>5.3875000000000002</v>
      </c>
      <c r="W26" s="164">
        <f t="shared" si="17"/>
        <v>5.1574999999999998</v>
      </c>
      <c r="X26" s="164">
        <f t="shared" si="17"/>
        <v>4.97</v>
      </c>
      <c r="Y26" s="164">
        <f t="shared" si="17"/>
        <v>4.3449999999999998</v>
      </c>
      <c r="Z26" s="164">
        <f t="shared" si="17"/>
        <v>3.6574999999999998</v>
      </c>
      <c r="AA26" s="164">
        <f t="shared" si="17"/>
        <v>3.1875</v>
      </c>
      <c r="AB26" s="164">
        <f t="shared" si="17"/>
        <v>3.3125</v>
      </c>
      <c r="AC26" s="164">
        <f t="shared" si="17"/>
        <v>3.5949999999999998</v>
      </c>
      <c r="AD26" s="164">
        <f>AVERAGE(P26:Q26,T26)</f>
        <v>8.9958333333333336</v>
      </c>
      <c r="AE26" s="164">
        <f>AVERAGE(U26:W26)</f>
        <v>5.59</v>
      </c>
      <c r="AF26" s="164">
        <f>AVERAGE(X26:Z26)</f>
        <v>4.3241666666666667</v>
      </c>
      <c r="AG26" s="164">
        <f>AVERAGE(AA26:AC26)</f>
        <v>3.3649999999999998</v>
      </c>
      <c r="AH26" s="164">
        <f>AVERAGE(P26:Q26,T26:AC26)</f>
        <v>5.5687500000000005</v>
      </c>
      <c r="AI26" s="169">
        <v>-1</v>
      </c>
    </row>
    <row r="27" spans="1:358" ht="21.5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67"/>
      <c r="T27" s="67"/>
      <c r="U27" s="24"/>
      <c r="V27" s="24"/>
      <c r="W27" s="24"/>
      <c r="X27" s="24"/>
      <c r="Y27" s="23"/>
      <c r="Z27" s="23"/>
      <c r="AA27" s="23"/>
      <c r="AB27" s="23"/>
      <c r="AC27" s="23"/>
      <c r="AD27" s="23"/>
      <c r="AE27" s="23"/>
      <c r="AF27" s="23"/>
      <c r="AG27" s="23"/>
      <c r="AH27" s="7"/>
      <c r="AI27" s="169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673" t="s">
        <v>3</v>
      </c>
      <c r="F28" s="673" t="s">
        <v>4</v>
      </c>
      <c r="G28" s="673" t="s">
        <v>5</v>
      </c>
      <c r="H28" s="673" t="s">
        <v>6</v>
      </c>
      <c r="I28" s="673" t="s">
        <v>7</v>
      </c>
      <c r="J28" s="28" t="s">
        <v>2</v>
      </c>
      <c r="K28" s="673" t="s">
        <v>8</v>
      </c>
      <c r="L28" s="250" t="s">
        <v>9</v>
      </c>
      <c r="M28" s="250" t="s">
        <v>9</v>
      </c>
      <c r="N28" s="673" t="s">
        <v>12</v>
      </c>
      <c r="O28" s="673" t="s">
        <v>13</v>
      </c>
      <c r="P28" s="673" t="s">
        <v>14</v>
      </c>
      <c r="Q28" s="673" t="s">
        <v>15</v>
      </c>
      <c r="R28" s="673" t="s">
        <v>10</v>
      </c>
      <c r="S28" s="29" t="s">
        <v>11</v>
      </c>
      <c r="T28" s="30" t="s">
        <v>16</v>
      </c>
      <c r="U28" s="673" t="s">
        <v>64</v>
      </c>
      <c r="V28" s="673" t="s">
        <v>65</v>
      </c>
      <c r="W28" s="673" t="s">
        <v>66</v>
      </c>
      <c r="X28" s="673" t="s">
        <v>67</v>
      </c>
      <c r="Y28" s="673" t="s">
        <v>68</v>
      </c>
      <c r="Z28" s="673" t="s">
        <v>69</v>
      </c>
      <c r="AA28" s="673" t="s">
        <v>70</v>
      </c>
      <c r="AB28" s="673" t="s">
        <v>77</v>
      </c>
      <c r="AC28" s="673" t="s">
        <v>78</v>
      </c>
      <c r="AD28" s="671" t="s">
        <v>79</v>
      </c>
      <c r="AE28" s="671" t="s">
        <v>80</v>
      </c>
      <c r="AF28" s="671" t="s">
        <v>81</v>
      </c>
      <c r="AG28" s="671" t="s">
        <v>82</v>
      </c>
      <c r="AH28" s="671">
        <v>2016</v>
      </c>
      <c r="AI28" s="169"/>
    </row>
    <row r="29" spans="1:358" ht="16.5" hidden="1" customHeight="1" outlineLevel="1">
      <c r="A29" s="31"/>
      <c r="B29" s="68"/>
      <c r="C29" s="68"/>
      <c r="D29" s="27"/>
      <c r="E29" s="674"/>
      <c r="F29" s="674"/>
      <c r="G29" s="674"/>
      <c r="H29" s="674"/>
      <c r="I29" s="674"/>
      <c r="J29" s="69" t="str">
        <f>$J$6</f>
        <v>(8-12 Jun)</v>
      </c>
      <c r="K29" s="674"/>
      <c r="L29" s="33" t="s">
        <v>20</v>
      </c>
      <c r="M29" s="33" t="s">
        <v>63</v>
      </c>
      <c r="N29" s="674"/>
      <c r="O29" s="674"/>
      <c r="P29" s="674"/>
      <c r="Q29" s="674"/>
      <c r="R29" s="674">
        <f>R6</f>
        <v>42401</v>
      </c>
      <c r="S29" s="187">
        <f>S6</f>
        <v>42430</v>
      </c>
      <c r="T29" s="188"/>
      <c r="U29" s="674"/>
      <c r="V29" s="674"/>
      <c r="W29" s="674"/>
      <c r="X29" s="674"/>
      <c r="Y29" s="674"/>
      <c r="Z29" s="674"/>
      <c r="AA29" s="674"/>
      <c r="AB29" s="674"/>
      <c r="AC29" s="674"/>
      <c r="AD29" s="672"/>
      <c r="AE29" s="672"/>
      <c r="AF29" s="672"/>
      <c r="AG29" s="672"/>
      <c r="AH29" s="672"/>
      <c r="AI29" s="169"/>
    </row>
    <row r="30" spans="1:358" ht="21" hidden="1" customHeight="1" outlineLevel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73"/>
      <c r="T30" s="73"/>
      <c r="U30" s="39"/>
      <c r="V30" s="39"/>
      <c r="W30" s="39"/>
      <c r="X30" s="39"/>
      <c r="Y30" s="38"/>
      <c r="Z30" s="38"/>
      <c r="AA30" s="38"/>
      <c r="AB30" s="38"/>
      <c r="AC30" s="38"/>
      <c r="AD30" s="40"/>
      <c r="AE30" s="40"/>
      <c r="AF30" s="40"/>
      <c r="AG30" s="40"/>
      <c r="AH30" s="40"/>
      <c r="AI30" s="169"/>
    </row>
    <row r="31" spans="1:358" s="77" customFormat="1" ht="21" hidden="1" customHeight="1" outlineLevel="1">
      <c r="A31" s="683"/>
      <c r="B31" s="684"/>
      <c r="C31" s="684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218"/>
      <c r="T31" s="219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169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</v>
      </c>
      <c r="Q32" s="189">
        <v>23.5</v>
      </c>
      <c r="R32" s="189" t="s">
        <v>88</v>
      </c>
      <c r="S32" s="185" t="s">
        <v>89</v>
      </c>
      <c r="T32" s="186">
        <v>22</v>
      </c>
      <c r="U32" s="189">
        <v>23.5</v>
      </c>
      <c r="V32" s="189">
        <v>24</v>
      </c>
      <c r="W32" s="189">
        <v>22</v>
      </c>
      <c r="X32" s="189">
        <v>20</v>
      </c>
      <c r="Y32" s="189">
        <v>18</v>
      </c>
      <c r="Z32" s="189">
        <v>17</v>
      </c>
      <c r="AA32" s="189">
        <v>17.25</v>
      </c>
      <c r="AB32" s="189">
        <v>17</v>
      </c>
      <c r="AC32" s="189">
        <v>17</v>
      </c>
      <c r="AD32" s="190">
        <f>AVERAGE(P32:T32)</f>
        <v>22.833333333333332</v>
      </c>
      <c r="AE32" s="190">
        <f>AVERAGE(U32:W32)</f>
        <v>23.166666666666668</v>
      </c>
      <c r="AF32" s="190">
        <f>AVERAGE(X32:Z32)</f>
        <v>18.333333333333332</v>
      </c>
      <c r="AG32" s="190">
        <f>AVERAGE(AA32:AC32)</f>
        <v>17.083333333333332</v>
      </c>
      <c r="AH32" s="190">
        <f>AVERAGE(P32:AC32)</f>
        <v>20.354166666666668</v>
      </c>
      <c r="AI32" s="169"/>
    </row>
    <row r="33" spans="1:358" ht="54.75" hidden="1" customHeight="1" outlineLevel="1">
      <c r="A33" s="47" t="s">
        <v>24</v>
      </c>
      <c r="B33" s="78">
        <f t="shared" ref="B33" si="18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</v>
      </c>
      <c r="Q33" s="183">
        <v>20.5</v>
      </c>
      <c r="R33" s="183" t="s">
        <v>101</v>
      </c>
      <c r="S33" s="185" t="s">
        <v>102</v>
      </c>
      <c r="T33" s="186">
        <v>19</v>
      </c>
      <c r="U33" s="183">
        <v>18</v>
      </c>
      <c r="V33" s="183">
        <v>19.5</v>
      </c>
      <c r="W33" s="183">
        <v>22</v>
      </c>
      <c r="X33" s="183">
        <v>21.5</v>
      </c>
      <c r="Y33" s="183">
        <v>19.8</v>
      </c>
      <c r="Z33" s="183">
        <v>18</v>
      </c>
      <c r="AA33" s="183">
        <v>17.5</v>
      </c>
      <c r="AB33" s="183">
        <v>16</v>
      </c>
      <c r="AC33" s="183">
        <v>16</v>
      </c>
      <c r="AD33" s="190">
        <f>AVERAGE(P33:T33)</f>
        <v>21.033333333333335</v>
      </c>
      <c r="AE33" s="190">
        <f t="shared" ref="AE33:AE35" si="19">AVERAGE(U33:W33)</f>
        <v>19.833333333333332</v>
      </c>
      <c r="AF33" s="190">
        <f t="shared" ref="AF33:AF35" si="20">AVERAGE(X33:Z33)</f>
        <v>19.766666666666666</v>
      </c>
      <c r="AG33" s="190">
        <f t="shared" ref="AG33:AG35" si="21">AVERAGE(AA33:AC33)</f>
        <v>16.5</v>
      </c>
      <c r="AH33" s="190">
        <f>AVERAGE(P33:AC33)</f>
        <v>19.283333333333335</v>
      </c>
      <c r="AI33" s="169"/>
    </row>
    <row r="34" spans="1:358" ht="54.75" hidden="1" customHeight="1" outlineLevel="1">
      <c r="A34" s="47" t="s">
        <v>25</v>
      </c>
      <c r="B34" s="48">
        <f t="shared" ref="B34" si="22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</v>
      </c>
      <c r="Q34" s="189">
        <v>20</v>
      </c>
      <c r="R34" s="189" t="s">
        <v>96</v>
      </c>
      <c r="S34" s="185" t="s">
        <v>96</v>
      </c>
      <c r="T34" s="186">
        <v>19</v>
      </c>
      <c r="U34" s="189">
        <v>18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189">
        <v>17.5</v>
      </c>
      <c r="AD34" s="190">
        <f>AVERAGE(P34:T34)</f>
        <v>20.666666666666668</v>
      </c>
      <c r="AE34" s="190">
        <f t="shared" si="19"/>
        <v>18.833333333333332</v>
      </c>
      <c r="AF34" s="190">
        <f t="shared" si="20"/>
        <v>19</v>
      </c>
      <c r="AG34" s="190">
        <f t="shared" si="21"/>
        <v>17.5</v>
      </c>
      <c r="AH34" s="190">
        <f>AVERAGE(P34:AC34)</f>
        <v>19</v>
      </c>
      <c r="AI34" s="169"/>
    </row>
    <row r="35" spans="1:358" ht="47.25" hidden="1" customHeight="1" outlineLevel="1" thickBot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24</v>
      </c>
      <c r="Q35" s="189">
        <v>23</v>
      </c>
      <c r="R35" s="189" t="s">
        <v>129</v>
      </c>
      <c r="S35" s="185" t="s">
        <v>130</v>
      </c>
      <c r="T35" s="186">
        <v>20</v>
      </c>
      <c r="U35" s="189">
        <v>19</v>
      </c>
      <c r="V35" s="189">
        <v>18</v>
      </c>
      <c r="W35" s="189">
        <v>19</v>
      </c>
      <c r="X35" s="189">
        <v>21</v>
      </c>
      <c r="Y35" s="189">
        <v>18</v>
      </c>
      <c r="Z35" s="189">
        <v>16.5</v>
      </c>
      <c r="AA35" s="189">
        <v>16</v>
      </c>
      <c r="AB35" s="189">
        <v>15.5</v>
      </c>
      <c r="AC35" s="189">
        <v>15</v>
      </c>
      <c r="AD35" s="190">
        <f>AVERAGE(P35:T35)</f>
        <v>22.333333333333332</v>
      </c>
      <c r="AE35" s="190">
        <f t="shared" si="19"/>
        <v>18.666666666666668</v>
      </c>
      <c r="AF35" s="190">
        <f t="shared" si="20"/>
        <v>18.5</v>
      </c>
      <c r="AG35" s="190">
        <f t="shared" si="21"/>
        <v>15.5</v>
      </c>
      <c r="AH35" s="190">
        <f>AVERAGE(P35:AC35)</f>
        <v>18.75</v>
      </c>
      <c r="AI35" s="169"/>
    </row>
    <row r="36" spans="1:358" s="62" customFormat="1" ht="19.5" hidden="1" customHeight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Q36" si="23">AVERAGE(J32:J35)</f>
        <v>#DIV/0!</v>
      </c>
      <c r="K36" s="59">
        <f t="shared" si="23"/>
        <v>16.482500000000002</v>
      </c>
      <c r="L36" s="59">
        <f t="shared" si="23"/>
        <v>17.25</v>
      </c>
      <c r="M36" s="59">
        <f t="shared" si="23"/>
        <v>16.372499999999999</v>
      </c>
      <c r="N36" s="59">
        <f t="shared" si="23"/>
        <v>15.8125</v>
      </c>
      <c r="O36" s="59">
        <f t="shared" si="23"/>
        <v>18.166666666666668</v>
      </c>
      <c r="P36" s="59">
        <f t="shared" si="23"/>
        <v>23.4</v>
      </c>
      <c r="Q36" s="59">
        <f t="shared" si="23"/>
        <v>21.75</v>
      </c>
      <c r="R36" s="59"/>
      <c r="S36" s="60"/>
      <c r="T36" s="60">
        <f t="shared" ref="T36:AC36" si="24">AVERAGE(T32:T35)</f>
        <v>20</v>
      </c>
      <c r="U36" s="59">
        <f t="shared" si="24"/>
        <v>19.625</v>
      </c>
      <c r="V36" s="59">
        <f t="shared" si="24"/>
        <v>20</v>
      </c>
      <c r="W36" s="59">
        <f t="shared" si="24"/>
        <v>20.75</v>
      </c>
      <c r="X36" s="59">
        <f t="shared" si="24"/>
        <v>20.625</v>
      </c>
      <c r="Y36" s="59">
        <f t="shared" si="24"/>
        <v>18.7</v>
      </c>
      <c r="Z36" s="59">
        <f t="shared" si="24"/>
        <v>17.375</v>
      </c>
      <c r="AA36" s="59">
        <f t="shared" si="24"/>
        <v>17.0625</v>
      </c>
      <c r="AB36" s="59">
        <f t="shared" si="24"/>
        <v>16.5</v>
      </c>
      <c r="AC36" s="59">
        <f t="shared" si="24"/>
        <v>16.375</v>
      </c>
      <c r="AD36" s="59">
        <f>AVERAGE(AD32:AD35)</f>
        <v>21.716666666666665</v>
      </c>
      <c r="AE36" s="59">
        <f t="shared" ref="AE36:AG36" si="25">AVERAGE(AE32:AE35)</f>
        <v>20.125</v>
      </c>
      <c r="AF36" s="59">
        <f t="shared" si="25"/>
        <v>18.899999999999999</v>
      </c>
      <c r="AG36" s="59">
        <f t="shared" si="25"/>
        <v>16.645833333333332</v>
      </c>
      <c r="AH36" s="193">
        <f>AVERAGE(AH32:AH35)</f>
        <v>19.346875000000001</v>
      </c>
      <c r="AI36" s="170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9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23.4</v>
      </c>
      <c r="Q37" s="164">
        <f>Q36</f>
        <v>21.75</v>
      </c>
      <c r="R37" s="164"/>
      <c r="S37" s="164"/>
      <c r="T37" s="164">
        <f>T36</f>
        <v>20</v>
      </c>
      <c r="U37" s="164">
        <f t="shared" ref="U37:AC37" si="26">U36</f>
        <v>19.625</v>
      </c>
      <c r="V37" s="164">
        <f t="shared" si="26"/>
        <v>20</v>
      </c>
      <c r="W37" s="164">
        <f t="shared" si="26"/>
        <v>20.75</v>
      </c>
      <c r="X37" s="164">
        <f t="shared" si="26"/>
        <v>20.625</v>
      </c>
      <c r="Y37" s="164">
        <f t="shared" si="26"/>
        <v>18.7</v>
      </c>
      <c r="Z37" s="164">
        <f t="shared" si="26"/>
        <v>17.375</v>
      </c>
      <c r="AA37" s="164">
        <f t="shared" si="26"/>
        <v>17.0625</v>
      </c>
      <c r="AB37" s="164">
        <f t="shared" si="26"/>
        <v>16.5</v>
      </c>
      <c r="AC37" s="164">
        <f t="shared" si="26"/>
        <v>16.375</v>
      </c>
      <c r="AD37" s="164">
        <f>AVERAGE(P37:Q37,T37)</f>
        <v>21.716666666666669</v>
      </c>
      <c r="AE37" s="164">
        <f>AVERAGE(U37:W37)</f>
        <v>20.125</v>
      </c>
      <c r="AF37" s="164">
        <f>AVERAGE(X37:Z37)</f>
        <v>18.900000000000002</v>
      </c>
      <c r="AG37" s="164">
        <f>AVERAGE(AA37:AC37)</f>
        <v>16.645833333333332</v>
      </c>
      <c r="AH37" s="164">
        <f>AVERAGE(P37:Q37,T37:AC37)</f>
        <v>19.346875000000001</v>
      </c>
      <c r="AI37" s="169">
        <v>16</v>
      </c>
    </row>
    <row r="38" spans="1:358" ht="21.5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67"/>
      <c r="T38" s="67"/>
      <c r="U38" s="24"/>
      <c r="V38" s="24"/>
      <c r="W38" s="24"/>
      <c r="X38" s="24"/>
      <c r="Y38" s="23"/>
      <c r="Z38" s="23"/>
      <c r="AA38" s="23"/>
      <c r="AB38" s="23"/>
      <c r="AC38" s="23"/>
      <c r="AD38" s="23"/>
      <c r="AE38" s="23"/>
      <c r="AF38" s="23"/>
      <c r="AG38" s="23"/>
      <c r="AH38" s="7"/>
      <c r="AI38" s="169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673" t="s">
        <v>3</v>
      </c>
      <c r="F39" s="673" t="s">
        <v>4</v>
      </c>
      <c r="G39" s="673" t="s">
        <v>5</v>
      </c>
      <c r="H39" s="673" t="s">
        <v>6</v>
      </c>
      <c r="I39" s="673" t="s">
        <v>7</v>
      </c>
      <c r="J39" s="28" t="s">
        <v>2</v>
      </c>
      <c r="K39" s="673" t="s">
        <v>8</v>
      </c>
      <c r="L39" s="250" t="s">
        <v>9</v>
      </c>
      <c r="M39" s="250" t="s">
        <v>9</v>
      </c>
      <c r="N39" s="673" t="s">
        <v>12</v>
      </c>
      <c r="O39" s="673" t="s">
        <v>13</v>
      </c>
      <c r="P39" s="673" t="s">
        <v>14</v>
      </c>
      <c r="Q39" s="673" t="s">
        <v>15</v>
      </c>
      <c r="R39" s="673" t="s">
        <v>10</v>
      </c>
      <c r="S39" s="29" t="s">
        <v>11</v>
      </c>
      <c r="T39" s="30" t="s">
        <v>16</v>
      </c>
      <c r="U39" s="673" t="s">
        <v>64</v>
      </c>
      <c r="V39" s="673" t="s">
        <v>65</v>
      </c>
      <c r="W39" s="673" t="s">
        <v>66</v>
      </c>
      <c r="X39" s="673" t="s">
        <v>67</v>
      </c>
      <c r="Y39" s="673" t="s">
        <v>68</v>
      </c>
      <c r="Z39" s="673" t="s">
        <v>69</v>
      </c>
      <c r="AA39" s="673" t="s">
        <v>70</v>
      </c>
      <c r="AB39" s="673" t="s">
        <v>77</v>
      </c>
      <c r="AC39" s="673" t="s">
        <v>78</v>
      </c>
      <c r="AD39" s="671" t="s">
        <v>79</v>
      </c>
      <c r="AE39" s="671" t="s">
        <v>80</v>
      </c>
      <c r="AF39" s="671" t="s">
        <v>81</v>
      </c>
      <c r="AG39" s="671" t="s">
        <v>82</v>
      </c>
      <c r="AH39" s="671">
        <v>2016</v>
      </c>
      <c r="AI39" s="169"/>
    </row>
    <row r="40" spans="1:358" ht="16.5" hidden="1" customHeight="1" outlineLevel="1">
      <c r="A40" s="31"/>
      <c r="B40" s="68"/>
      <c r="C40" s="68"/>
      <c r="D40" s="27"/>
      <c r="E40" s="674"/>
      <c r="F40" s="674"/>
      <c r="G40" s="674"/>
      <c r="H40" s="674"/>
      <c r="I40" s="674"/>
      <c r="J40" s="69" t="str">
        <f>$J$6</f>
        <v>(8-12 Jun)</v>
      </c>
      <c r="K40" s="674"/>
      <c r="L40" s="33" t="s">
        <v>20</v>
      </c>
      <c r="M40" s="33" t="s">
        <v>63</v>
      </c>
      <c r="N40" s="674"/>
      <c r="O40" s="674"/>
      <c r="P40" s="674"/>
      <c r="Q40" s="674"/>
      <c r="R40" s="674">
        <f>R6</f>
        <v>42401</v>
      </c>
      <c r="S40" s="187">
        <f>S6</f>
        <v>42430</v>
      </c>
      <c r="T40" s="188"/>
      <c r="U40" s="674"/>
      <c r="V40" s="674"/>
      <c r="W40" s="674"/>
      <c r="X40" s="674"/>
      <c r="Y40" s="674"/>
      <c r="Z40" s="674"/>
      <c r="AA40" s="674"/>
      <c r="AB40" s="674"/>
      <c r="AC40" s="674"/>
      <c r="AD40" s="672"/>
      <c r="AE40" s="672"/>
      <c r="AF40" s="672"/>
      <c r="AG40" s="672"/>
      <c r="AH40" s="672"/>
      <c r="AI40" s="169"/>
    </row>
    <row r="41" spans="1:358" ht="21" hidden="1" customHeight="1" outlineLevel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100"/>
      <c r="T41" s="100"/>
      <c r="U41" s="39"/>
      <c r="V41" s="39"/>
      <c r="W41" s="39"/>
      <c r="X41" s="39"/>
      <c r="Y41" s="38"/>
      <c r="Z41" s="38"/>
      <c r="AA41" s="38"/>
      <c r="AB41" s="38"/>
      <c r="AC41" s="38"/>
      <c r="AD41" s="40"/>
      <c r="AE41" s="40"/>
      <c r="AF41" s="40"/>
      <c r="AG41" s="40"/>
      <c r="AH41" s="40"/>
      <c r="AI41" s="169"/>
    </row>
    <row r="42" spans="1:358" s="77" customFormat="1" ht="21" hidden="1" customHeight="1" outlineLevel="1">
      <c r="A42" s="675"/>
      <c r="B42" s="676"/>
      <c r="C42" s="676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216"/>
      <c r="T42" s="217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169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11.5</v>
      </c>
      <c r="Q43" s="189">
        <v>11</v>
      </c>
      <c r="R43" s="181" t="s">
        <v>90</v>
      </c>
      <c r="S43" s="185" t="s">
        <v>84</v>
      </c>
      <c r="T43" s="186">
        <v>10.5</v>
      </c>
      <c r="U43" s="181">
        <v>11</v>
      </c>
      <c r="V43" s="181">
        <v>11.25</v>
      </c>
      <c r="W43" s="181">
        <v>10.75</v>
      </c>
      <c r="X43" s="181">
        <v>10.5</v>
      </c>
      <c r="Y43" s="181">
        <v>10.25</v>
      </c>
      <c r="Z43" s="181">
        <v>11.25</v>
      </c>
      <c r="AA43" s="181">
        <v>12.5</v>
      </c>
      <c r="AB43" s="181">
        <v>13</v>
      </c>
      <c r="AC43" s="181">
        <v>14</v>
      </c>
      <c r="AD43" s="190">
        <f>AVERAGE(P43:T43)</f>
        <v>11</v>
      </c>
      <c r="AE43" s="190">
        <f>AVERAGE(U43:W43)</f>
        <v>11</v>
      </c>
      <c r="AF43" s="190">
        <f>AVERAGE(X43:Z43)</f>
        <v>10.666666666666666</v>
      </c>
      <c r="AG43" s="190">
        <f>AVERAGE(AA43:AC43)</f>
        <v>13.166666666666666</v>
      </c>
      <c r="AH43" s="190">
        <f>AVERAGE(P43:AC43)</f>
        <v>11.458333333333334</v>
      </c>
      <c r="AI43" s="169"/>
    </row>
    <row r="44" spans="1:358" ht="60.75" hidden="1" customHeight="1" outlineLevel="1">
      <c r="A44" s="47" t="s">
        <v>24</v>
      </c>
      <c r="B44" s="78">
        <f t="shared" ref="B44" si="27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11.3</v>
      </c>
      <c r="Q44" s="183">
        <v>12</v>
      </c>
      <c r="R44" s="175" t="s">
        <v>103</v>
      </c>
      <c r="S44" s="185" t="s">
        <v>104</v>
      </c>
      <c r="T44" s="186">
        <v>12</v>
      </c>
      <c r="U44" s="175">
        <v>11.8</v>
      </c>
      <c r="V44" s="175">
        <v>11.5</v>
      </c>
      <c r="W44" s="175">
        <v>10.8</v>
      </c>
      <c r="X44" s="175">
        <v>10.5</v>
      </c>
      <c r="Y44" s="175">
        <v>11</v>
      </c>
      <c r="Z44" s="175">
        <v>11.7</v>
      </c>
      <c r="AA44" s="175">
        <v>13</v>
      </c>
      <c r="AB44" s="175">
        <v>14</v>
      </c>
      <c r="AC44" s="175">
        <v>13.9</v>
      </c>
      <c r="AD44" s="190">
        <f>AVERAGE(P44:T44)</f>
        <v>11.766666666666666</v>
      </c>
      <c r="AE44" s="190">
        <f t="shared" ref="AE44:AE46" si="28">AVERAGE(U44:W44)</f>
        <v>11.366666666666667</v>
      </c>
      <c r="AF44" s="190">
        <f t="shared" ref="AF44:AF46" si="29">AVERAGE(X44:Z44)</f>
        <v>11.066666666666668</v>
      </c>
      <c r="AG44" s="190">
        <f t="shared" ref="AG44:AG46" si="30">AVERAGE(AA44:AC44)</f>
        <v>13.633333333333333</v>
      </c>
      <c r="AH44" s="190">
        <f>AVERAGE(P44:AC44)</f>
        <v>11.958333333333334</v>
      </c>
      <c r="AI44" s="169"/>
    </row>
    <row r="45" spans="1:358" ht="60.75" hidden="1" customHeight="1" outlineLevel="1">
      <c r="A45" s="47" t="s">
        <v>25</v>
      </c>
      <c r="B45" s="78">
        <f t="shared" ref="B45" si="31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11.5</v>
      </c>
      <c r="Q45" s="189">
        <v>11.5</v>
      </c>
      <c r="R45" s="189" t="s">
        <v>118</v>
      </c>
      <c r="S45" s="185" t="s">
        <v>36</v>
      </c>
      <c r="T45" s="186">
        <v>11.5</v>
      </c>
      <c r="U45" s="181">
        <v>11.6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181">
        <v>12</v>
      </c>
      <c r="AD45" s="190">
        <f>AVERAGE(P45:T45)</f>
        <v>11.5</v>
      </c>
      <c r="AE45" s="190">
        <f t="shared" si="28"/>
        <v>11.200000000000001</v>
      </c>
      <c r="AF45" s="190">
        <f t="shared" si="29"/>
        <v>11.166666666666666</v>
      </c>
      <c r="AG45" s="190">
        <f t="shared" si="30"/>
        <v>11.833333333333334</v>
      </c>
      <c r="AH45" s="190">
        <f>AVERAGE(P45:AC45)</f>
        <v>11.424999999999999</v>
      </c>
      <c r="AI45" s="169"/>
    </row>
    <row r="46" spans="1:358" ht="60.75" hidden="1" customHeight="1" outlineLevel="1" thickBot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11.549999999999999</v>
      </c>
      <c r="Q46" s="189">
        <v>11.899999999999999</v>
      </c>
      <c r="R46" s="181" t="s">
        <v>131</v>
      </c>
      <c r="S46" s="185" t="s">
        <v>132</v>
      </c>
      <c r="T46" s="186">
        <v>10.33</v>
      </c>
      <c r="U46" s="181">
        <v>10.199999999999999</v>
      </c>
      <c r="V46" s="181">
        <v>11.91</v>
      </c>
      <c r="W46" s="181">
        <v>12.43</v>
      </c>
      <c r="X46" s="181">
        <v>11.8</v>
      </c>
      <c r="Y46" s="181">
        <v>11.5</v>
      </c>
      <c r="Z46" s="181">
        <v>11.3</v>
      </c>
      <c r="AA46" s="181">
        <v>12.7</v>
      </c>
      <c r="AB46" s="181">
        <v>14.649999999999999</v>
      </c>
      <c r="AC46" s="181">
        <v>14.7</v>
      </c>
      <c r="AD46" s="190">
        <f>AVERAGE(P46:T46)</f>
        <v>11.259999999999998</v>
      </c>
      <c r="AE46" s="190">
        <f t="shared" si="28"/>
        <v>11.513333333333334</v>
      </c>
      <c r="AF46" s="190">
        <f t="shared" si="29"/>
        <v>11.533333333333333</v>
      </c>
      <c r="AG46" s="190">
        <f t="shared" si="30"/>
        <v>14.016666666666666</v>
      </c>
      <c r="AH46" s="190">
        <f>AVERAGE(P46:AC46)</f>
        <v>12.080833333333331</v>
      </c>
      <c r="AI46" s="169"/>
    </row>
    <row r="47" spans="1:358" s="62" customFormat="1" ht="19.5" hidden="1" customHeight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Q47" si="32">AVERAGE(J43:J46)</f>
        <v>#DIV/0!</v>
      </c>
      <c r="K47" s="157">
        <f t="shared" si="32"/>
        <v>13.11</v>
      </c>
      <c r="L47" s="157">
        <f t="shared" si="32"/>
        <v>13.435000000000002</v>
      </c>
      <c r="M47" s="157">
        <f t="shared" si="32"/>
        <v>13.345000000000001</v>
      </c>
      <c r="N47" s="157">
        <f t="shared" si="32"/>
        <v>14.229999999999999</v>
      </c>
      <c r="O47" s="157">
        <f t="shared" si="32"/>
        <v>14.25</v>
      </c>
      <c r="P47" s="157">
        <f t="shared" si="32"/>
        <v>11.462499999999999</v>
      </c>
      <c r="Q47" s="157">
        <f t="shared" si="32"/>
        <v>11.6</v>
      </c>
      <c r="R47" s="157"/>
      <c r="S47" s="158"/>
      <c r="T47" s="158">
        <f t="shared" ref="T47:AG47" si="33">AVERAGE(T43:T46)</f>
        <v>11.0825</v>
      </c>
      <c r="U47" s="59">
        <f t="shared" si="33"/>
        <v>11.149999999999999</v>
      </c>
      <c r="V47" s="59">
        <f t="shared" si="33"/>
        <v>11.414999999999999</v>
      </c>
      <c r="W47" s="59">
        <f t="shared" si="33"/>
        <v>11.244999999999999</v>
      </c>
      <c r="X47" s="59">
        <f t="shared" si="33"/>
        <v>10.95</v>
      </c>
      <c r="Y47" s="59">
        <f t="shared" si="33"/>
        <v>10.9375</v>
      </c>
      <c r="Z47" s="59">
        <f t="shared" si="33"/>
        <v>11.4375</v>
      </c>
      <c r="AA47" s="59">
        <f t="shared" si="33"/>
        <v>12.425000000000001</v>
      </c>
      <c r="AB47" s="59">
        <f t="shared" si="33"/>
        <v>13.4125</v>
      </c>
      <c r="AC47" s="59">
        <f t="shared" si="33"/>
        <v>13.649999999999999</v>
      </c>
      <c r="AD47" s="59">
        <f t="shared" si="33"/>
        <v>11.381666666666666</v>
      </c>
      <c r="AE47" s="59">
        <f t="shared" si="33"/>
        <v>11.270000000000001</v>
      </c>
      <c r="AF47" s="59">
        <f t="shared" si="33"/>
        <v>11.108333333333333</v>
      </c>
      <c r="AG47" s="59">
        <f t="shared" si="33"/>
        <v>13.1625</v>
      </c>
      <c r="AH47" s="193">
        <f>AVERAGE(AH43:AH46)</f>
        <v>11.730625</v>
      </c>
      <c r="AI47" s="169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5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11.462499999999999</v>
      </c>
      <c r="Q48" s="164">
        <f>Q47</f>
        <v>11.6</v>
      </c>
      <c r="R48" s="164"/>
      <c r="S48" s="164"/>
      <c r="T48" s="164">
        <f>T47</f>
        <v>11.0825</v>
      </c>
      <c r="U48" s="164">
        <f t="shared" ref="U48:AC48" si="34">U47</f>
        <v>11.149999999999999</v>
      </c>
      <c r="V48" s="164">
        <f t="shared" si="34"/>
        <v>11.414999999999999</v>
      </c>
      <c r="W48" s="164">
        <f t="shared" si="34"/>
        <v>11.244999999999999</v>
      </c>
      <c r="X48" s="164">
        <f t="shared" si="34"/>
        <v>10.95</v>
      </c>
      <c r="Y48" s="164">
        <f t="shared" si="34"/>
        <v>10.9375</v>
      </c>
      <c r="Z48" s="164">
        <f t="shared" si="34"/>
        <v>11.4375</v>
      </c>
      <c r="AA48" s="164">
        <f t="shared" si="34"/>
        <v>12.425000000000001</v>
      </c>
      <c r="AB48" s="164">
        <f t="shared" si="34"/>
        <v>13.4125</v>
      </c>
      <c r="AC48" s="164">
        <f t="shared" si="34"/>
        <v>13.649999999999999</v>
      </c>
      <c r="AD48" s="164">
        <f>AVERAGE(P48:Q48,T48)</f>
        <v>11.381666666666666</v>
      </c>
      <c r="AE48" s="164">
        <f>AVERAGE(U48:W48)</f>
        <v>11.269999999999998</v>
      </c>
      <c r="AF48" s="164">
        <f>AVERAGE(X48:Z48)</f>
        <v>11.108333333333334</v>
      </c>
      <c r="AG48" s="164">
        <f>AVERAGE(AA48:AC48)</f>
        <v>13.1625</v>
      </c>
      <c r="AH48" s="164">
        <f>AVERAGE(P48:Q48,T48:AC48)</f>
        <v>11.730624999999998</v>
      </c>
      <c r="AI48" s="169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5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1.8624999999999989</v>
      </c>
      <c r="Q49" s="157">
        <f t="shared" ref="Q49" si="35">Q47-Q60</f>
        <v>1.5</v>
      </c>
      <c r="R49" s="157"/>
      <c r="S49" s="159"/>
      <c r="T49" s="159">
        <f>T47-T60</f>
        <v>0.49500000000000099</v>
      </c>
      <c r="U49" s="157">
        <f t="shared" ref="U49:AH50" si="36">U47-U60</f>
        <v>9.9999999999997868E-2</v>
      </c>
      <c r="V49" s="157">
        <f t="shared" si="36"/>
        <v>-0.11250000000000071</v>
      </c>
      <c r="W49" s="157">
        <f t="shared" si="36"/>
        <v>-4.2500000000000426E-2</v>
      </c>
      <c r="X49" s="157">
        <f t="shared" si="36"/>
        <v>0.27749999999999986</v>
      </c>
      <c r="Y49" s="157">
        <f t="shared" si="36"/>
        <v>0.76249999999999929</v>
      </c>
      <c r="Z49" s="157">
        <f t="shared" si="36"/>
        <v>0.83750000000000036</v>
      </c>
      <c r="AA49" s="157">
        <f t="shared" si="36"/>
        <v>0.65000000000000036</v>
      </c>
      <c r="AB49" s="157">
        <f t="shared" si="36"/>
        <v>0.57000000000000028</v>
      </c>
      <c r="AC49" s="157">
        <f t="shared" si="36"/>
        <v>0.71999999999999886</v>
      </c>
      <c r="AD49" s="157">
        <f t="shared" si="36"/>
        <v>1.2858333333333345</v>
      </c>
      <c r="AE49" s="157">
        <f t="shared" si="36"/>
        <v>-1.8333333333332646E-2</v>
      </c>
      <c r="AF49" s="157">
        <f t="shared" si="36"/>
        <v>0.62583333333333435</v>
      </c>
      <c r="AG49" s="157">
        <f t="shared" si="36"/>
        <v>0.6466666666666665</v>
      </c>
      <c r="AH49" s="193">
        <f t="shared" si="36"/>
        <v>0.63499999999999979</v>
      </c>
      <c r="AI49" s="169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9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1.8624999999999989</v>
      </c>
      <c r="Q50" s="164">
        <f>Q48-Q61</f>
        <v>1.5</v>
      </c>
      <c r="R50" s="164"/>
      <c r="S50" s="164"/>
      <c r="T50" s="164">
        <f>T48-T61</f>
        <v>0.49500000000000099</v>
      </c>
      <c r="U50" s="164">
        <f t="shared" si="36"/>
        <v>9.9999999999997868E-2</v>
      </c>
      <c r="V50" s="164">
        <f t="shared" si="36"/>
        <v>-0.11250000000000071</v>
      </c>
      <c r="W50" s="164">
        <f t="shared" si="36"/>
        <v>-4.2500000000000426E-2</v>
      </c>
      <c r="X50" s="164">
        <f t="shared" si="36"/>
        <v>0.27749999999999986</v>
      </c>
      <c r="Y50" s="164">
        <f t="shared" si="36"/>
        <v>0.76249999999999929</v>
      </c>
      <c r="Z50" s="164">
        <f t="shared" si="36"/>
        <v>0.83750000000000036</v>
      </c>
      <c r="AA50" s="164">
        <f t="shared" si="36"/>
        <v>0.65000000000000036</v>
      </c>
      <c r="AB50" s="164">
        <f t="shared" si="36"/>
        <v>0.57000000000000028</v>
      </c>
      <c r="AC50" s="164">
        <f t="shared" si="36"/>
        <v>0.71999999999999886</v>
      </c>
      <c r="AD50" s="164">
        <f t="shared" si="36"/>
        <v>1.2858333333333327</v>
      </c>
      <c r="AE50" s="164">
        <f t="shared" si="36"/>
        <v>-1.8333333333336199E-2</v>
      </c>
      <c r="AF50" s="164">
        <f t="shared" si="36"/>
        <v>0.62583333333333435</v>
      </c>
      <c r="AG50" s="164">
        <f t="shared" si="36"/>
        <v>0.6466666666666665</v>
      </c>
      <c r="AH50" s="164">
        <f t="shared" si="36"/>
        <v>0.63499999999999979</v>
      </c>
      <c r="AI50" s="178">
        <f>AI48-AI60</f>
        <v>0.29999999999999893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5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67"/>
      <c r="T51" s="67"/>
      <c r="U51" s="24"/>
      <c r="V51" s="24"/>
      <c r="W51" s="24"/>
      <c r="X51" s="24"/>
      <c r="Y51" s="177"/>
      <c r="Z51" s="177"/>
      <c r="AA51" s="177"/>
      <c r="AB51" s="177"/>
      <c r="AC51" s="177"/>
      <c r="AD51" s="23"/>
      <c r="AE51" s="23"/>
      <c r="AF51" s="23"/>
      <c r="AG51" s="23"/>
      <c r="AH51" s="7"/>
      <c r="AI51" s="179">
        <f>AH48-AH61</f>
        <v>0.63499999999999979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673" t="s">
        <v>3</v>
      </c>
      <c r="F52" s="673" t="s">
        <v>4</v>
      </c>
      <c r="G52" s="673" t="s">
        <v>5</v>
      </c>
      <c r="H52" s="673" t="s">
        <v>6</v>
      </c>
      <c r="I52" s="673" t="s">
        <v>7</v>
      </c>
      <c r="J52" s="28" t="s">
        <v>2</v>
      </c>
      <c r="K52" s="673" t="s">
        <v>8</v>
      </c>
      <c r="L52" s="250" t="s">
        <v>9</v>
      </c>
      <c r="M52" s="250" t="s">
        <v>9</v>
      </c>
      <c r="N52" s="673" t="s">
        <v>12</v>
      </c>
      <c r="O52" s="673" t="s">
        <v>13</v>
      </c>
      <c r="P52" s="673" t="s">
        <v>14</v>
      </c>
      <c r="Q52" s="673" t="s">
        <v>15</v>
      </c>
      <c r="R52" s="673" t="s">
        <v>10</v>
      </c>
      <c r="S52" s="29" t="s">
        <v>11</v>
      </c>
      <c r="T52" s="30" t="s">
        <v>16</v>
      </c>
      <c r="U52" s="673" t="s">
        <v>64</v>
      </c>
      <c r="V52" s="673" t="s">
        <v>65</v>
      </c>
      <c r="W52" s="673" t="s">
        <v>66</v>
      </c>
      <c r="X52" s="673" t="s">
        <v>67</v>
      </c>
      <c r="Y52" s="673" t="s">
        <v>68</v>
      </c>
      <c r="Z52" s="673" t="s">
        <v>69</v>
      </c>
      <c r="AA52" s="673" t="s">
        <v>70</v>
      </c>
      <c r="AB52" s="673" t="s">
        <v>77</v>
      </c>
      <c r="AC52" s="673" t="s">
        <v>78</v>
      </c>
      <c r="AD52" s="671" t="s">
        <v>79</v>
      </c>
      <c r="AE52" s="671" t="s">
        <v>80</v>
      </c>
      <c r="AF52" s="671" t="s">
        <v>81</v>
      </c>
      <c r="AG52" s="671" t="s">
        <v>82</v>
      </c>
      <c r="AH52" s="671">
        <v>2016</v>
      </c>
    </row>
    <row r="53" spans="1:358" ht="17.25" hidden="1" customHeight="1" outlineLevel="1">
      <c r="A53" s="31"/>
      <c r="B53" s="68"/>
      <c r="C53" s="68"/>
      <c r="D53" s="27"/>
      <c r="E53" s="674"/>
      <c r="F53" s="674"/>
      <c r="G53" s="674"/>
      <c r="H53" s="674"/>
      <c r="I53" s="674"/>
      <c r="J53" s="69" t="str">
        <f>$J$6</f>
        <v>(8-12 Jun)</v>
      </c>
      <c r="K53" s="674"/>
      <c r="L53" s="33" t="s">
        <v>20</v>
      </c>
      <c r="M53" s="33" t="s">
        <v>63</v>
      </c>
      <c r="N53" s="674"/>
      <c r="O53" s="674"/>
      <c r="P53" s="674"/>
      <c r="Q53" s="674"/>
      <c r="R53" s="674">
        <f>R6</f>
        <v>42401</v>
      </c>
      <c r="S53" s="187">
        <f>S6</f>
        <v>42430</v>
      </c>
      <c r="T53" s="188"/>
      <c r="U53" s="674"/>
      <c r="V53" s="674"/>
      <c r="W53" s="674"/>
      <c r="X53" s="674"/>
      <c r="Y53" s="674"/>
      <c r="Z53" s="674"/>
      <c r="AA53" s="674"/>
      <c r="AB53" s="674"/>
      <c r="AC53" s="674"/>
      <c r="AD53" s="672"/>
      <c r="AE53" s="672"/>
      <c r="AF53" s="672"/>
      <c r="AG53" s="672"/>
      <c r="AH53" s="672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107"/>
      <c r="T54" s="107"/>
      <c r="U54" s="39"/>
      <c r="V54" s="39"/>
      <c r="W54" s="39"/>
      <c r="X54" s="39"/>
      <c r="Y54" s="38"/>
      <c r="Z54" s="38"/>
      <c r="AA54" s="38"/>
      <c r="AB54" s="38"/>
      <c r="AC54" s="38"/>
      <c r="AD54" s="40"/>
      <c r="AE54" s="40"/>
      <c r="AF54" s="40"/>
      <c r="AG54" s="40"/>
      <c r="AH54" s="40"/>
    </row>
    <row r="55" spans="1:358" s="77" customFormat="1" ht="16.5" hidden="1" customHeight="1" outlineLevel="1">
      <c r="A55" s="675"/>
      <c r="B55" s="676"/>
      <c r="C55" s="676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220"/>
      <c r="T55" s="221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9.6</v>
      </c>
      <c r="Q56" s="189">
        <v>9.5</v>
      </c>
      <c r="R56" s="189" t="s">
        <v>85</v>
      </c>
      <c r="S56" s="185" t="s">
        <v>84</v>
      </c>
      <c r="T56" s="186">
        <v>10.25</v>
      </c>
      <c r="U56" s="189">
        <v>11.5</v>
      </c>
      <c r="V56" s="189">
        <v>12</v>
      </c>
      <c r="W56" s="189">
        <v>10.75</v>
      </c>
      <c r="X56" s="189">
        <v>10.25</v>
      </c>
      <c r="Y56" s="189">
        <v>10</v>
      </c>
      <c r="Z56" s="189">
        <v>11</v>
      </c>
      <c r="AA56" s="189">
        <v>12</v>
      </c>
      <c r="AB56" s="189">
        <v>12.5</v>
      </c>
      <c r="AC56" s="189">
        <v>13</v>
      </c>
      <c r="AD56" s="190">
        <f>AVERAGE(P56:T56)</f>
        <v>9.7833333333333332</v>
      </c>
      <c r="AE56" s="190">
        <f>AVERAGE(U56:W56)</f>
        <v>11.416666666666666</v>
      </c>
      <c r="AF56" s="190">
        <f>AVERAGE(X56:Z56)</f>
        <v>10.416666666666666</v>
      </c>
      <c r="AG56" s="190">
        <f>AVERAGE(AA56:AC56)</f>
        <v>12.5</v>
      </c>
      <c r="AH56" s="190">
        <f>AVERAGE(P56:AC56)</f>
        <v>11.029166666666667</v>
      </c>
    </row>
    <row r="57" spans="1:358" ht="50.25" hidden="1" customHeight="1" outlineLevel="1">
      <c r="A57" s="47" t="s">
        <v>24</v>
      </c>
      <c r="B57" s="78">
        <f t="shared" ref="B57" si="37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9.6</v>
      </c>
      <c r="Q57" s="183">
        <v>10.9</v>
      </c>
      <c r="R57" s="183" t="s">
        <v>105</v>
      </c>
      <c r="S57" s="185" t="s">
        <v>106</v>
      </c>
      <c r="T57" s="186">
        <v>11.4</v>
      </c>
      <c r="U57" s="183">
        <v>11.700000000000001</v>
      </c>
      <c r="V57" s="183">
        <v>11.4</v>
      </c>
      <c r="W57" s="183">
        <v>10.8</v>
      </c>
      <c r="X57" s="183">
        <v>10</v>
      </c>
      <c r="Y57" s="183">
        <v>10.200000000000001</v>
      </c>
      <c r="Z57" s="183">
        <v>11.299999999999999</v>
      </c>
      <c r="AA57" s="183">
        <v>12.5</v>
      </c>
      <c r="AB57" s="183">
        <v>13.5</v>
      </c>
      <c r="AC57" s="183">
        <v>13.1</v>
      </c>
      <c r="AD57" s="190">
        <f>AVERAGE(P57:T57)</f>
        <v>10.633333333333333</v>
      </c>
      <c r="AE57" s="190">
        <f t="shared" ref="AE57:AE59" si="38">AVERAGE(U57:W57)</f>
        <v>11.300000000000002</v>
      </c>
      <c r="AF57" s="190">
        <f t="shared" ref="AF57:AF59" si="39">AVERAGE(X57:Z57)</f>
        <v>10.5</v>
      </c>
      <c r="AG57" s="190">
        <f t="shared" ref="AG57:AG59" si="40">AVERAGE(AA57:AC57)</f>
        <v>13.033333333333333</v>
      </c>
      <c r="AH57" s="190">
        <f>AVERAGE(P57:AC57)</f>
        <v>11.366666666666667</v>
      </c>
    </row>
    <row r="58" spans="1:358" ht="50.25" hidden="1" customHeight="1" outlineLevel="1">
      <c r="A58" s="47" t="s">
        <v>25</v>
      </c>
      <c r="B58" s="78">
        <f t="shared" ref="B58" si="41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9.6</v>
      </c>
      <c r="Q58" s="189">
        <v>11</v>
      </c>
      <c r="R58" s="189" t="s">
        <v>119</v>
      </c>
      <c r="S58" s="185" t="s">
        <v>40</v>
      </c>
      <c r="T58" s="186">
        <v>11</v>
      </c>
      <c r="U58" s="189">
        <v>11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189">
        <v>11.5</v>
      </c>
      <c r="AD58" s="190">
        <f>AVERAGE(P58:T58)</f>
        <v>10.533333333333333</v>
      </c>
      <c r="AE58" s="190">
        <f t="shared" si="38"/>
        <v>10.666666666666666</v>
      </c>
      <c r="AF58" s="190">
        <f t="shared" si="39"/>
        <v>10.666666666666666</v>
      </c>
      <c r="AG58" s="190">
        <f t="shared" si="40"/>
        <v>11.333333333333334</v>
      </c>
      <c r="AH58" s="190">
        <f>AVERAGE(P58:AC58)</f>
        <v>10.799999999999999</v>
      </c>
    </row>
    <row r="59" spans="1:358" ht="50.25" hidden="1" customHeight="1" outlineLevel="1" thickBot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9.6</v>
      </c>
      <c r="Q59" s="183">
        <v>9</v>
      </c>
      <c r="R59" s="183" t="s">
        <v>133</v>
      </c>
      <c r="S59" s="224" t="s">
        <v>134</v>
      </c>
      <c r="T59" s="186">
        <v>9.6999999999999993</v>
      </c>
      <c r="U59" s="183">
        <v>10</v>
      </c>
      <c r="V59" s="183">
        <v>12.21</v>
      </c>
      <c r="W59" s="189">
        <v>13.1</v>
      </c>
      <c r="X59" s="189">
        <v>11.94</v>
      </c>
      <c r="Y59" s="183">
        <v>10</v>
      </c>
      <c r="Z59" s="183">
        <v>9.1</v>
      </c>
      <c r="AA59" s="183">
        <v>11.6</v>
      </c>
      <c r="AB59" s="183">
        <v>13.87</v>
      </c>
      <c r="AC59" s="183">
        <v>14.12</v>
      </c>
      <c r="AD59" s="190">
        <f>AVERAGE(P59:T59)</f>
        <v>9.4333333333333336</v>
      </c>
      <c r="AE59" s="190">
        <f t="shared" si="38"/>
        <v>11.770000000000001</v>
      </c>
      <c r="AF59" s="190">
        <f t="shared" si="39"/>
        <v>10.346666666666666</v>
      </c>
      <c r="AG59" s="190">
        <f t="shared" si="40"/>
        <v>13.196666666666665</v>
      </c>
      <c r="AH59" s="190">
        <f>AVERAGE(P59:AC59)</f>
        <v>11.186666666666666</v>
      </c>
    </row>
    <row r="60" spans="1:358" s="62" customFormat="1" ht="19.5" hidden="1" customHeight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2">AVERAGE(J56:J59)</f>
        <v>#DIV/0!</v>
      </c>
      <c r="K60" s="157">
        <f t="shared" si="42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9.6</v>
      </c>
      <c r="Q60" s="157">
        <f>AVERAGE(Q56:Q59)</f>
        <v>10.1</v>
      </c>
      <c r="R60" s="157"/>
      <c r="S60" s="158"/>
      <c r="T60" s="158">
        <f t="shared" ref="T60:AG60" si="43">AVERAGE(T56:T59)</f>
        <v>10.587499999999999</v>
      </c>
      <c r="U60" s="59">
        <f t="shared" si="43"/>
        <v>11.05</v>
      </c>
      <c r="V60" s="59">
        <f t="shared" si="43"/>
        <v>11.5275</v>
      </c>
      <c r="W60" s="59">
        <f t="shared" si="43"/>
        <v>11.2875</v>
      </c>
      <c r="X60" s="59">
        <f t="shared" si="43"/>
        <v>10.672499999999999</v>
      </c>
      <c r="Y60" s="59">
        <f t="shared" si="43"/>
        <v>10.175000000000001</v>
      </c>
      <c r="Z60" s="59">
        <f t="shared" si="43"/>
        <v>10.6</v>
      </c>
      <c r="AA60" s="59">
        <f t="shared" si="43"/>
        <v>11.775</v>
      </c>
      <c r="AB60" s="59">
        <f t="shared" si="43"/>
        <v>12.842499999999999</v>
      </c>
      <c r="AC60" s="59">
        <f t="shared" si="43"/>
        <v>12.93</v>
      </c>
      <c r="AD60" s="108">
        <f t="shared" si="43"/>
        <v>10.095833333333331</v>
      </c>
      <c r="AE60" s="108">
        <f t="shared" si="43"/>
        <v>11.288333333333334</v>
      </c>
      <c r="AF60" s="108">
        <f t="shared" si="43"/>
        <v>10.482499999999998</v>
      </c>
      <c r="AG60" s="108">
        <f t="shared" si="43"/>
        <v>12.515833333333333</v>
      </c>
      <c r="AH60" s="193">
        <f>AVERAGE(AH56:AH59)</f>
        <v>11.095625</v>
      </c>
      <c r="AI60" s="61">
        <v>12.8</v>
      </c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9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44">O60</f>
        <v>14.15</v>
      </c>
      <c r="P61" s="164">
        <f>P60</f>
        <v>9.6</v>
      </c>
      <c r="Q61" s="164">
        <f>Q60</f>
        <v>10.1</v>
      </c>
      <c r="R61" s="164"/>
      <c r="S61" s="164"/>
      <c r="T61" s="164">
        <f>T60</f>
        <v>10.587499999999999</v>
      </c>
      <c r="U61" s="164">
        <f t="shared" ref="U61:AC61" si="45">U60</f>
        <v>11.05</v>
      </c>
      <c r="V61" s="164">
        <f t="shared" si="45"/>
        <v>11.5275</v>
      </c>
      <c r="W61" s="164">
        <f t="shared" si="45"/>
        <v>11.2875</v>
      </c>
      <c r="X61" s="164">
        <f t="shared" si="45"/>
        <v>10.672499999999999</v>
      </c>
      <c r="Y61" s="164">
        <f t="shared" si="45"/>
        <v>10.175000000000001</v>
      </c>
      <c r="Z61" s="164">
        <f t="shared" si="45"/>
        <v>10.6</v>
      </c>
      <c r="AA61" s="164">
        <f t="shared" si="45"/>
        <v>11.775</v>
      </c>
      <c r="AB61" s="164">
        <f t="shared" si="45"/>
        <v>12.842499999999999</v>
      </c>
      <c r="AC61" s="164">
        <f t="shared" si="45"/>
        <v>12.93</v>
      </c>
      <c r="AD61" s="164">
        <f>AVERAGE(P61:Q61,T61)</f>
        <v>10.095833333333333</v>
      </c>
      <c r="AE61" s="164">
        <f>AVERAGE(U61:W61)</f>
        <v>11.288333333333334</v>
      </c>
      <c r="AF61" s="164">
        <f>AVERAGE(X61:Z61)</f>
        <v>10.4825</v>
      </c>
      <c r="AG61" s="164">
        <f>AVERAGE(AA61:AC61)</f>
        <v>12.515833333333333</v>
      </c>
      <c r="AH61" s="164">
        <f>AVERAGE(P61:Q61,T61:AC61)</f>
        <v>11.095624999999998</v>
      </c>
    </row>
    <row r="62" spans="1:358" ht="21.5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67"/>
      <c r="T62" s="67"/>
      <c r="U62" s="24"/>
      <c r="V62" s="24"/>
      <c r="W62" s="24"/>
      <c r="X62" s="24"/>
      <c r="Y62" s="23"/>
      <c r="Z62" s="23"/>
      <c r="AA62" s="23"/>
      <c r="AB62" s="23"/>
      <c r="AC62" s="23"/>
      <c r="AD62" s="23"/>
      <c r="AE62" s="23"/>
      <c r="AF62" s="23"/>
      <c r="AG62" s="23"/>
      <c r="AH62" s="7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673" t="s">
        <v>3</v>
      </c>
      <c r="F63" s="673" t="s">
        <v>4</v>
      </c>
      <c r="G63" s="673" t="s">
        <v>5</v>
      </c>
      <c r="H63" s="673" t="s">
        <v>6</v>
      </c>
      <c r="I63" s="673" t="s">
        <v>7</v>
      </c>
      <c r="J63" s="28" t="s">
        <v>2</v>
      </c>
      <c r="K63" s="673" t="s">
        <v>8</v>
      </c>
      <c r="L63" s="250" t="s">
        <v>9</v>
      </c>
      <c r="M63" s="250" t="s">
        <v>9</v>
      </c>
      <c r="N63" s="673" t="s">
        <v>12</v>
      </c>
      <c r="O63" s="673" t="s">
        <v>13</v>
      </c>
      <c r="P63" s="673" t="s">
        <v>14</v>
      </c>
      <c r="Q63" s="673" t="s">
        <v>15</v>
      </c>
      <c r="R63" s="673" t="s">
        <v>10</v>
      </c>
      <c r="S63" s="29" t="s">
        <v>11</v>
      </c>
      <c r="T63" s="30" t="s">
        <v>16</v>
      </c>
      <c r="U63" s="673" t="s">
        <v>64</v>
      </c>
      <c r="V63" s="673" t="s">
        <v>65</v>
      </c>
      <c r="W63" s="673" t="s">
        <v>66</v>
      </c>
      <c r="X63" s="673" t="s">
        <v>67</v>
      </c>
      <c r="Y63" s="673" t="s">
        <v>68</v>
      </c>
      <c r="Z63" s="673" t="s">
        <v>69</v>
      </c>
      <c r="AA63" s="673" t="s">
        <v>70</v>
      </c>
      <c r="AB63" s="673" t="s">
        <v>77</v>
      </c>
      <c r="AC63" s="673" t="s">
        <v>78</v>
      </c>
      <c r="AD63" s="671" t="s">
        <v>79</v>
      </c>
      <c r="AE63" s="671" t="s">
        <v>80</v>
      </c>
      <c r="AF63" s="671" t="s">
        <v>81</v>
      </c>
      <c r="AG63" s="671" t="s">
        <v>82</v>
      </c>
      <c r="AH63" s="671">
        <v>2016</v>
      </c>
    </row>
    <row r="64" spans="1:358" ht="18.75" hidden="1" customHeight="1" outlineLevel="1">
      <c r="A64" s="31"/>
      <c r="B64" s="68"/>
      <c r="C64" s="68"/>
      <c r="D64" s="27"/>
      <c r="E64" s="674"/>
      <c r="F64" s="674"/>
      <c r="G64" s="674"/>
      <c r="H64" s="674"/>
      <c r="I64" s="674"/>
      <c r="J64" s="69" t="str">
        <f>$J$6</f>
        <v>(8-12 Jun)</v>
      </c>
      <c r="K64" s="674"/>
      <c r="L64" s="33" t="s">
        <v>20</v>
      </c>
      <c r="M64" s="33" t="s">
        <v>63</v>
      </c>
      <c r="N64" s="674"/>
      <c r="O64" s="674"/>
      <c r="P64" s="674"/>
      <c r="Q64" s="674"/>
      <c r="R64" s="674">
        <f>R6</f>
        <v>42401</v>
      </c>
      <c r="S64" s="187">
        <f>S6</f>
        <v>42430</v>
      </c>
      <c r="T64" s="188"/>
      <c r="U64" s="674"/>
      <c r="V64" s="674"/>
      <c r="W64" s="674"/>
      <c r="X64" s="674"/>
      <c r="Y64" s="674"/>
      <c r="Z64" s="674"/>
      <c r="AA64" s="674"/>
      <c r="AB64" s="674"/>
      <c r="AC64" s="674"/>
      <c r="AD64" s="672"/>
      <c r="AE64" s="672"/>
      <c r="AF64" s="672"/>
      <c r="AG64" s="672"/>
      <c r="AH64" s="672"/>
    </row>
    <row r="65" spans="1:358" ht="21" hidden="1" customHeight="1" outlineLevel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73"/>
      <c r="T65" s="73"/>
      <c r="U65" s="39"/>
      <c r="V65" s="39"/>
      <c r="W65" s="39"/>
      <c r="X65" s="39"/>
      <c r="Y65" s="38"/>
      <c r="Z65" s="38"/>
      <c r="AA65" s="38"/>
      <c r="AB65" s="38"/>
      <c r="AC65" s="38"/>
      <c r="AD65" s="38"/>
      <c r="AE65" s="40"/>
      <c r="AF65" s="40"/>
      <c r="AG65" s="40"/>
      <c r="AH65" s="40"/>
    </row>
    <row r="66" spans="1:358" s="77" customFormat="1" ht="18.75" hidden="1" customHeight="1" outlineLevel="1">
      <c r="A66" s="675"/>
      <c r="B66" s="676"/>
      <c r="C66" s="676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218"/>
      <c r="T66" s="219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</v>
      </c>
      <c r="Q67" s="183">
        <v>-3</v>
      </c>
      <c r="R67" s="183" t="s">
        <v>91</v>
      </c>
      <c r="S67" s="185" t="s">
        <v>92</v>
      </c>
      <c r="T67" s="186">
        <v>-4</v>
      </c>
      <c r="U67" s="183">
        <v>-4.25</v>
      </c>
      <c r="V67" s="189">
        <v>-4.5</v>
      </c>
      <c r="W67" s="189">
        <v>-5</v>
      </c>
      <c r="X67" s="189">
        <v>-5.5</v>
      </c>
      <c r="Y67" s="189">
        <v>-5.5</v>
      </c>
      <c r="Z67" s="189">
        <v>-5.5</v>
      </c>
      <c r="AA67" s="189">
        <v>-5</v>
      </c>
      <c r="AB67" s="189">
        <v>-4.5</v>
      </c>
      <c r="AC67" s="189">
        <v>-4.25</v>
      </c>
      <c r="AD67" s="190">
        <f>AVERAGE(P67:T67)</f>
        <v>-3.3333333333333335</v>
      </c>
      <c r="AE67" s="190">
        <f>AVERAGE(U67:W67)</f>
        <v>-4.583333333333333</v>
      </c>
      <c r="AF67" s="190">
        <f>AVERAGE(X67:Z67)</f>
        <v>-5.5</v>
      </c>
      <c r="AG67" s="190">
        <f>AVERAGE(AA67:AC67)</f>
        <v>-4.583333333333333</v>
      </c>
      <c r="AH67" s="190">
        <f>AVERAGE(P67:AC67)</f>
        <v>-4.5</v>
      </c>
    </row>
    <row r="68" spans="1:358" ht="54.75" hidden="1" customHeight="1" outlineLevel="1">
      <c r="A68" s="47" t="s">
        <v>24</v>
      </c>
      <c r="B68" s="78">
        <f t="shared" ref="B68" si="46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-2.7</v>
      </c>
      <c r="Q68" s="189">
        <v>-3</v>
      </c>
      <c r="R68" s="189" t="s">
        <v>107</v>
      </c>
      <c r="S68" s="185" t="s">
        <v>108</v>
      </c>
      <c r="T68" s="186">
        <v>-5</v>
      </c>
      <c r="U68" s="189">
        <v>-6.2</v>
      </c>
      <c r="V68" s="189">
        <v>-6.7</v>
      </c>
      <c r="W68" s="189">
        <v>-6.7</v>
      </c>
      <c r="X68" s="189">
        <v>-7.2</v>
      </c>
      <c r="Y68" s="189">
        <v>-7.2</v>
      </c>
      <c r="Z68" s="189">
        <v>-7.1</v>
      </c>
      <c r="AA68" s="189">
        <v>-7.1</v>
      </c>
      <c r="AB68" s="189">
        <v>-6.9</v>
      </c>
      <c r="AC68" s="189">
        <v>-6.7</v>
      </c>
      <c r="AD68" s="190">
        <f>AVERAGE(P68:T68)</f>
        <v>-3.5666666666666664</v>
      </c>
      <c r="AE68" s="190">
        <f t="shared" ref="AE68:AE70" si="47">AVERAGE(U68:W68)</f>
        <v>-6.5333333333333341</v>
      </c>
      <c r="AF68" s="190">
        <f t="shared" ref="AF68:AF70" si="48">AVERAGE(X68:Z68)</f>
        <v>-7.166666666666667</v>
      </c>
      <c r="AG68" s="190">
        <f t="shared" ref="AG68:AG70" si="49">AVERAGE(AA68:AC68)</f>
        <v>-6.8999999999999995</v>
      </c>
      <c r="AH68" s="190">
        <f>AVERAGE(P68:AC68)</f>
        <v>-6.0416666666666679</v>
      </c>
    </row>
    <row r="69" spans="1:358" ht="54.75" hidden="1" customHeight="1" outlineLevel="1">
      <c r="A69" s="47" t="s">
        <v>25</v>
      </c>
      <c r="B69" s="78">
        <f t="shared" ref="B69" si="50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-5.5</v>
      </c>
      <c r="Q69" s="183">
        <v>-5.5</v>
      </c>
      <c r="R69" s="183" t="s">
        <v>43</v>
      </c>
      <c r="S69" s="185" t="s">
        <v>44</v>
      </c>
      <c r="T69" s="186">
        <v>-6</v>
      </c>
      <c r="U69" s="183">
        <v>-6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189">
        <v>-6.5</v>
      </c>
      <c r="AD69" s="190">
        <f>AVERAGE(P69:T69)</f>
        <v>-5.666666666666667</v>
      </c>
      <c r="AE69" s="190">
        <f t="shared" si="47"/>
        <v>-6.333333333333333</v>
      </c>
      <c r="AF69" s="190">
        <f t="shared" si="48"/>
        <v>-6.166666666666667</v>
      </c>
      <c r="AG69" s="190">
        <f t="shared" si="49"/>
        <v>-6.333333333333333</v>
      </c>
      <c r="AH69" s="190">
        <f>AVERAGE(P69:AC69)</f>
        <v>-6.125</v>
      </c>
    </row>
    <row r="70" spans="1:358" ht="54.75" hidden="1" customHeight="1" outlineLevel="1" thickBot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-5.5</v>
      </c>
      <c r="Q70" s="189">
        <v>-6.86</v>
      </c>
      <c r="R70" s="189" t="s">
        <v>135</v>
      </c>
      <c r="S70" s="185" t="s">
        <v>136</v>
      </c>
      <c r="T70" s="186">
        <v>-7.8</v>
      </c>
      <c r="U70" s="189">
        <v>-7.5</v>
      </c>
      <c r="V70" s="189">
        <v>-7.5</v>
      </c>
      <c r="W70" s="189">
        <v>-7.4</v>
      </c>
      <c r="X70" s="189">
        <v>-7.4</v>
      </c>
      <c r="Y70" s="189">
        <v>-7.5</v>
      </c>
      <c r="Z70" s="189">
        <v>-7.6</v>
      </c>
      <c r="AA70" s="189">
        <v>-7.6</v>
      </c>
      <c r="AB70" s="189">
        <v>-7.2</v>
      </c>
      <c r="AC70" s="189">
        <v>-7</v>
      </c>
      <c r="AD70" s="190">
        <f>AVERAGE(P70:T70)</f>
        <v>-6.72</v>
      </c>
      <c r="AE70" s="190">
        <f t="shared" si="47"/>
        <v>-7.4666666666666659</v>
      </c>
      <c r="AF70" s="190">
        <f t="shared" si="48"/>
        <v>-7.5</v>
      </c>
      <c r="AG70" s="190">
        <f t="shared" si="49"/>
        <v>-7.2666666666666666</v>
      </c>
      <c r="AH70" s="190">
        <f>AVERAGE(P70:AC70)</f>
        <v>-7.2383333333333324</v>
      </c>
    </row>
    <row r="71" spans="1:358" s="62" customFormat="1" ht="19.5" hidden="1" customHeight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Q71" si="51">AVERAGE(K67:K70)</f>
        <v>-8.1550000000000011</v>
      </c>
      <c r="L71" s="59">
        <f t="shared" si="51"/>
        <v>-8.1550000000000011</v>
      </c>
      <c r="M71" s="59">
        <f t="shared" si="51"/>
        <v>-8.33</v>
      </c>
      <c r="N71" s="59">
        <f t="shared" si="51"/>
        <v>-6.9175000000000004</v>
      </c>
      <c r="O71" s="59">
        <f t="shared" si="51"/>
        <v>-6.7333333333333334</v>
      </c>
      <c r="P71" s="59">
        <v>-3</v>
      </c>
      <c r="Q71" s="59">
        <f t="shared" si="51"/>
        <v>-4.59</v>
      </c>
      <c r="R71" s="59"/>
      <c r="S71" s="60"/>
      <c r="T71" s="60">
        <f t="shared" ref="T71:AG71" si="52">AVERAGE(T67:T70)</f>
        <v>-5.7</v>
      </c>
      <c r="U71" s="59">
        <f t="shared" si="52"/>
        <v>-5.9874999999999998</v>
      </c>
      <c r="V71" s="59">
        <f t="shared" si="52"/>
        <v>-6.3</v>
      </c>
      <c r="W71" s="59">
        <f t="shared" si="52"/>
        <v>-6.4</v>
      </c>
      <c r="X71" s="59">
        <f t="shared" si="52"/>
        <v>-6.65</v>
      </c>
      <c r="Y71" s="59">
        <f t="shared" si="52"/>
        <v>-6.55</v>
      </c>
      <c r="Z71" s="59">
        <f t="shared" si="52"/>
        <v>-6.5500000000000007</v>
      </c>
      <c r="AA71" s="59">
        <f t="shared" si="52"/>
        <v>-6.4250000000000007</v>
      </c>
      <c r="AB71" s="59">
        <f t="shared" si="52"/>
        <v>-6.2749999999999995</v>
      </c>
      <c r="AC71" s="59">
        <f t="shared" si="52"/>
        <v>-6.1124999999999998</v>
      </c>
      <c r="AD71" s="59">
        <f t="shared" si="52"/>
        <v>-4.8216666666666663</v>
      </c>
      <c r="AE71" s="59">
        <f t="shared" si="52"/>
        <v>-6.2291666666666661</v>
      </c>
      <c r="AF71" s="59">
        <f t="shared" si="52"/>
        <v>-6.5833333333333339</v>
      </c>
      <c r="AG71" s="59">
        <f t="shared" si="52"/>
        <v>-6.270833333333333</v>
      </c>
      <c r="AH71" s="193">
        <f>AVERAGE(AH67:AH70)</f>
        <v>-5.9762500000000003</v>
      </c>
      <c r="AI71" s="61">
        <v>-6.5</v>
      </c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9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v>-3</v>
      </c>
      <c r="Q72" s="164">
        <f>Q71</f>
        <v>-4.59</v>
      </c>
      <c r="R72" s="164"/>
      <c r="S72" s="164"/>
      <c r="T72" s="164">
        <f>T71</f>
        <v>-5.7</v>
      </c>
      <c r="U72" s="164">
        <f t="shared" ref="U72:AC72" si="53">U71</f>
        <v>-5.9874999999999998</v>
      </c>
      <c r="V72" s="164">
        <f t="shared" si="53"/>
        <v>-6.3</v>
      </c>
      <c r="W72" s="164">
        <f t="shared" si="53"/>
        <v>-6.4</v>
      </c>
      <c r="X72" s="164">
        <f t="shared" si="53"/>
        <v>-6.65</v>
      </c>
      <c r="Y72" s="164">
        <f t="shared" si="53"/>
        <v>-6.55</v>
      </c>
      <c r="Z72" s="164">
        <f t="shared" si="53"/>
        <v>-6.5500000000000007</v>
      </c>
      <c r="AA72" s="164">
        <f t="shared" si="53"/>
        <v>-6.4250000000000007</v>
      </c>
      <c r="AB72" s="164">
        <f t="shared" si="53"/>
        <v>-6.2749999999999995</v>
      </c>
      <c r="AC72" s="164">
        <f t="shared" si="53"/>
        <v>-6.1124999999999998</v>
      </c>
      <c r="AD72" s="164">
        <f>AVERAGE(P72:Q72,T72)</f>
        <v>-4.43</v>
      </c>
      <c r="AE72" s="164">
        <f>AVERAGE(U72:W72)</f>
        <v>-6.229166666666667</v>
      </c>
      <c r="AF72" s="164">
        <f>AVERAGE(X72:Z72)</f>
        <v>-6.583333333333333</v>
      </c>
      <c r="AG72" s="164">
        <f>AVERAGE(AA72:AC72)</f>
        <v>-6.270833333333333</v>
      </c>
      <c r="AH72" s="164">
        <f>AVERAGE(P72:Q72,T72:AC72)</f>
        <v>-5.878333333333333</v>
      </c>
    </row>
    <row r="73" spans="1:358" ht="21.5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67"/>
      <c r="T73" s="67"/>
      <c r="U73" s="24"/>
      <c r="V73" s="24"/>
      <c r="W73" s="24"/>
      <c r="X73" s="24"/>
      <c r="Y73" s="23"/>
      <c r="Z73" s="23"/>
      <c r="AA73" s="23"/>
      <c r="AB73" s="23"/>
      <c r="AC73" s="23"/>
      <c r="AD73" s="23"/>
      <c r="AE73" s="23"/>
      <c r="AF73" s="23"/>
      <c r="AG73" s="23"/>
      <c r="AH73" s="7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673" t="s">
        <v>3</v>
      </c>
      <c r="F74" s="673" t="s">
        <v>4</v>
      </c>
      <c r="G74" s="673" t="s">
        <v>5</v>
      </c>
      <c r="H74" s="673" t="s">
        <v>6</v>
      </c>
      <c r="I74" s="673" t="s">
        <v>7</v>
      </c>
      <c r="J74" s="28" t="s">
        <v>2</v>
      </c>
      <c r="K74" s="673" t="s">
        <v>8</v>
      </c>
      <c r="L74" s="250" t="s">
        <v>9</v>
      </c>
      <c r="M74" s="250" t="s">
        <v>9</v>
      </c>
      <c r="N74" s="673" t="s">
        <v>12</v>
      </c>
      <c r="O74" s="673" t="s">
        <v>13</v>
      </c>
      <c r="P74" s="673" t="s">
        <v>14</v>
      </c>
      <c r="Q74" s="673" t="s">
        <v>15</v>
      </c>
      <c r="R74" s="673" t="s">
        <v>10</v>
      </c>
      <c r="S74" s="29" t="s">
        <v>11</v>
      </c>
      <c r="T74" s="30" t="s">
        <v>16</v>
      </c>
      <c r="U74" s="673" t="s">
        <v>64</v>
      </c>
      <c r="V74" s="673" t="s">
        <v>65</v>
      </c>
      <c r="W74" s="673" t="s">
        <v>66</v>
      </c>
      <c r="X74" s="673" t="s">
        <v>67</v>
      </c>
      <c r="Y74" s="673" t="s">
        <v>68</v>
      </c>
      <c r="Z74" s="673" t="s">
        <v>69</v>
      </c>
      <c r="AA74" s="673" t="s">
        <v>70</v>
      </c>
      <c r="AB74" s="673" t="s">
        <v>77</v>
      </c>
      <c r="AC74" s="673" t="s">
        <v>78</v>
      </c>
      <c r="AD74" s="671" t="s">
        <v>79</v>
      </c>
      <c r="AE74" s="671" t="s">
        <v>80</v>
      </c>
      <c r="AF74" s="671" t="s">
        <v>81</v>
      </c>
      <c r="AG74" s="671" t="s">
        <v>82</v>
      </c>
      <c r="AH74" s="671">
        <v>2016</v>
      </c>
    </row>
    <row r="75" spans="1:358" ht="21.75" hidden="1" customHeight="1" outlineLevel="1">
      <c r="A75" s="31"/>
      <c r="B75" s="68"/>
      <c r="C75" s="68"/>
      <c r="D75" s="116"/>
      <c r="E75" s="674"/>
      <c r="F75" s="674"/>
      <c r="G75" s="674"/>
      <c r="H75" s="674"/>
      <c r="I75" s="674"/>
      <c r="J75" s="69" t="str">
        <f>$J$6</f>
        <v>(8-12 Jun)</v>
      </c>
      <c r="K75" s="674"/>
      <c r="L75" s="33" t="s">
        <v>20</v>
      </c>
      <c r="M75" s="33" t="s">
        <v>63</v>
      </c>
      <c r="N75" s="674"/>
      <c r="O75" s="674"/>
      <c r="P75" s="674"/>
      <c r="Q75" s="674"/>
      <c r="R75" s="674">
        <f>R6</f>
        <v>42401</v>
      </c>
      <c r="S75" s="187">
        <f>S6</f>
        <v>42430</v>
      </c>
      <c r="T75" s="188"/>
      <c r="U75" s="674"/>
      <c r="V75" s="674"/>
      <c r="W75" s="674"/>
      <c r="X75" s="674"/>
      <c r="Y75" s="674"/>
      <c r="Z75" s="674"/>
      <c r="AA75" s="674"/>
      <c r="AB75" s="674"/>
      <c r="AC75" s="674"/>
      <c r="AD75" s="672"/>
      <c r="AE75" s="672"/>
      <c r="AF75" s="672"/>
      <c r="AG75" s="672"/>
      <c r="AH75" s="672"/>
    </row>
    <row r="76" spans="1:358" ht="21" hidden="1" customHeight="1" outlineLevel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122"/>
      <c r="T76" s="122"/>
      <c r="U76" s="39"/>
      <c r="V76" s="39"/>
      <c r="W76" s="39"/>
      <c r="X76" s="39"/>
      <c r="Y76" s="38"/>
      <c r="Z76" s="38"/>
      <c r="AA76" s="38"/>
      <c r="AB76" s="38"/>
      <c r="AC76" s="38"/>
      <c r="AD76" s="40"/>
      <c r="AE76" s="40"/>
      <c r="AF76" s="40"/>
      <c r="AG76" s="40"/>
      <c r="AH76" s="40"/>
    </row>
    <row r="77" spans="1:358" s="77" customFormat="1" ht="21" hidden="1" customHeight="1" outlineLevel="1">
      <c r="A77" s="675"/>
      <c r="B77" s="676"/>
      <c r="C77" s="676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216"/>
      <c r="T77" s="217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189">
        <v>2.2999999999999998</v>
      </c>
      <c r="R78" s="189"/>
      <c r="S78" s="124"/>
      <c r="T78" s="124">
        <v>2.2000000000000002</v>
      </c>
      <c r="U78" s="189">
        <v>2</v>
      </c>
      <c r="V78" s="189">
        <v>2</v>
      </c>
      <c r="W78" s="189">
        <v>2</v>
      </c>
      <c r="X78" s="189">
        <v>2</v>
      </c>
      <c r="Y78" s="189">
        <v>2</v>
      </c>
      <c r="Z78" s="189">
        <v>2.25</v>
      </c>
      <c r="AA78" s="189">
        <v>2.25</v>
      </c>
      <c r="AB78" s="189">
        <v>2.25</v>
      </c>
      <c r="AC78" s="189">
        <v>2</v>
      </c>
      <c r="AD78" s="190">
        <f>AVERAGE(P78:T78)</f>
        <v>2.6666666666666665</v>
      </c>
      <c r="AE78" s="190">
        <f>AVERAGE(U78:W78)</f>
        <v>2</v>
      </c>
      <c r="AF78" s="190">
        <f>AVERAGE(X78:Z78)</f>
        <v>2.0833333333333335</v>
      </c>
      <c r="AG78" s="190">
        <f>AVERAGE(AA78:AC78)</f>
        <v>2.1666666666666665</v>
      </c>
      <c r="AH78" s="190">
        <f>AVERAGE(P78:AC78)</f>
        <v>2.2291666666666665</v>
      </c>
    </row>
    <row r="79" spans="1:358" ht="42.75" hidden="1" customHeight="1" outlineLevel="1">
      <c r="A79" s="47" t="s">
        <v>24</v>
      </c>
      <c r="B79" s="78">
        <f t="shared" ref="B79" si="54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189">
        <v>3</v>
      </c>
      <c r="R79" s="189"/>
      <c r="S79" s="124"/>
      <c r="T79" s="124">
        <v>2.7</v>
      </c>
      <c r="U79" s="189">
        <v>2.8</v>
      </c>
      <c r="V79" s="189">
        <v>2.5</v>
      </c>
      <c r="W79" s="189">
        <v>2.2000000000000002</v>
      </c>
      <c r="X79" s="189">
        <v>1.9</v>
      </c>
      <c r="Y79" s="189">
        <v>1.9</v>
      </c>
      <c r="Z79" s="189">
        <v>2</v>
      </c>
      <c r="AA79" s="189">
        <v>2.2999999999999998</v>
      </c>
      <c r="AB79" s="189">
        <v>2.4</v>
      </c>
      <c r="AC79" s="189">
        <v>2.4</v>
      </c>
      <c r="AD79" s="190">
        <f>AVERAGE(P79:T79)</f>
        <v>3.0666666666666664</v>
      </c>
      <c r="AE79" s="190">
        <f t="shared" ref="AE79:AE81" si="55">AVERAGE(U79:W79)</f>
        <v>2.5</v>
      </c>
      <c r="AF79" s="190">
        <f t="shared" ref="AF79:AF81" si="56">AVERAGE(X79:Z79)</f>
        <v>1.9333333333333333</v>
      </c>
      <c r="AG79" s="190">
        <f t="shared" ref="AG79:AG81" si="57">AVERAGE(AA79:AC79)</f>
        <v>2.3666666666666667</v>
      </c>
      <c r="AH79" s="190">
        <f>AVERAGE(P79:AC79)</f>
        <v>2.4666666666666663</v>
      </c>
    </row>
    <row r="80" spans="1:358" ht="42.75" hidden="1" customHeight="1" outlineLevel="1">
      <c r="A80" s="47" t="s">
        <v>25</v>
      </c>
      <c r="B80" s="78">
        <f t="shared" ref="B80" si="58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189">
        <v>3.5</v>
      </c>
      <c r="R80" s="189" t="s">
        <v>124</v>
      </c>
      <c r="S80" s="185" t="s">
        <v>124</v>
      </c>
      <c r="T80" s="186">
        <v>3.5</v>
      </c>
      <c r="U80" s="189">
        <v>3.5</v>
      </c>
      <c r="V80" s="189">
        <v>3.5</v>
      </c>
      <c r="W80" s="189">
        <v>3.5</v>
      </c>
      <c r="X80" s="189">
        <v>3.5</v>
      </c>
      <c r="Y80" s="189">
        <v>3.5</v>
      </c>
      <c r="Z80" s="189">
        <v>3.5</v>
      </c>
      <c r="AA80" s="189">
        <v>3.5</v>
      </c>
      <c r="AB80" s="189">
        <v>3.5</v>
      </c>
      <c r="AC80" s="189">
        <v>3.5</v>
      </c>
      <c r="AD80" s="190">
        <f>AVERAGE(P80:T80)</f>
        <v>3.5</v>
      </c>
      <c r="AE80" s="190">
        <f t="shared" si="55"/>
        <v>3.5</v>
      </c>
      <c r="AF80" s="190">
        <f t="shared" si="56"/>
        <v>3.5</v>
      </c>
      <c r="AG80" s="190">
        <f t="shared" si="57"/>
        <v>3.5</v>
      </c>
      <c r="AH80" s="190">
        <f>AVERAGE(P80:AC80)</f>
        <v>3.5</v>
      </c>
    </row>
    <row r="81" spans="1:358" ht="42.75" hidden="1" customHeight="1" outlineLevel="1" thickBot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189">
        <v>2.9</v>
      </c>
      <c r="R81" s="189"/>
      <c r="S81" s="192"/>
      <c r="T81" s="192">
        <v>2.5</v>
      </c>
      <c r="U81" s="189">
        <v>2</v>
      </c>
      <c r="V81" s="189">
        <v>2</v>
      </c>
      <c r="W81" s="189">
        <v>2</v>
      </c>
      <c r="X81" s="189">
        <v>2</v>
      </c>
      <c r="Y81" s="189">
        <v>2</v>
      </c>
      <c r="Z81" s="189">
        <v>2</v>
      </c>
      <c r="AA81" s="189">
        <v>2</v>
      </c>
      <c r="AB81" s="189">
        <v>2</v>
      </c>
      <c r="AC81" s="189">
        <v>2</v>
      </c>
      <c r="AD81" s="190">
        <f>AVERAGE(P81:T81)</f>
        <v>2.9666666666666668</v>
      </c>
      <c r="AE81" s="190">
        <f t="shared" si="55"/>
        <v>2</v>
      </c>
      <c r="AF81" s="190">
        <f t="shared" si="56"/>
        <v>2</v>
      </c>
      <c r="AG81" s="190">
        <f t="shared" si="57"/>
        <v>2</v>
      </c>
      <c r="AH81" s="190">
        <f>AVERAGE(P81:AC81)</f>
        <v>2.2416666666666667</v>
      </c>
    </row>
    <row r="82" spans="1:358" s="62" customFormat="1" ht="18.75" hidden="1" customHeight="1" outlineLevel="1" thickBot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59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v>3.5</v>
      </c>
      <c r="Q82" s="59">
        <f>AVERAGE(Q78:Q81)</f>
        <v>2.9250000000000003</v>
      </c>
      <c r="R82" s="59"/>
      <c r="S82" s="60"/>
      <c r="T82" s="60">
        <f>AVERAGE(T78:T81)</f>
        <v>2.7250000000000001</v>
      </c>
      <c r="U82" s="59">
        <f t="shared" ref="U82:AD82" si="60">AVERAGE(U78:U81)</f>
        <v>2.5750000000000002</v>
      </c>
      <c r="V82" s="59">
        <f t="shared" si="60"/>
        <v>2.5</v>
      </c>
      <c r="W82" s="59">
        <f t="shared" si="60"/>
        <v>2.4249999999999998</v>
      </c>
      <c r="X82" s="59">
        <f t="shared" si="60"/>
        <v>2.35</v>
      </c>
      <c r="Y82" s="59">
        <f t="shared" si="60"/>
        <v>2.35</v>
      </c>
      <c r="Z82" s="59">
        <f t="shared" si="60"/>
        <v>2.4375</v>
      </c>
      <c r="AA82" s="59">
        <f t="shared" si="60"/>
        <v>2.5125000000000002</v>
      </c>
      <c r="AB82" s="59">
        <f t="shared" si="60"/>
        <v>2.5375000000000001</v>
      </c>
      <c r="AC82" s="59">
        <f t="shared" si="60"/>
        <v>2.4750000000000001</v>
      </c>
      <c r="AD82" s="59">
        <f t="shared" si="60"/>
        <v>3.05</v>
      </c>
      <c r="AE82" s="59">
        <f>AVERAGE(AE78:AE81)</f>
        <v>2.5</v>
      </c>
      <c r="AF82" s="59">
        <f t="shared" ref="AF82:AG82" si="61">AVERAGE(AF78:AF81)</f>
        <v>2.3791666666666664</v>
      </c>
      <c r="AG82" s="59">
        <f t="shared" si="61"/>
        <v>2.5083333333333333</v>
      </c>
      <c r="AH82" s="193">
        <f>AVERAGE(AH78:AH81)</f>
        <v>2.609375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v>3.5</v>
      </c>
      <c r="Q83" s="164">
        <f>Q82</f>
        <v>2.9250000000000003</v>
      </c>
      <c r="R83" s="164"/>
      <c r="S83" s="164"/>
      <c r="T83" s="164">
        <f>T82</f>
        <v>2.7250000000000001</v>
      </c>
      <c r="U83" s="164">
        <f t="shared" ref="U83:AC83" si="62">U82</f>
        <v>2.5750000000000002</v>
      </c>
      <c r="V83" s="164">
        <f t="shared" si="62"/>
        <v>2.5</v>
      </c>
      <c r="W83" s="164">
        <f t="shared" si="62"/>
        <v>2.4249999999999998</v>
      </c>
      <c r="X83" s="164">
        <f t="shared" si="62"/>
        <v>2.35</v>
      </c>
      <c r="Y83" s="164">
        <f t="shared" si="62"/>
        <v>2.35</v>
      </c>
      <c r="Z83" s="164">
        <f t="shared" si="62"/>
        <v>2.4375</v>
      </c>
      <c r="AA83" s="164">
        <f t="shared" si="62"/>
        <v>2.5125000000000002</v>
      </c>
      <c r="AB83" s="164">
        <f t="shared" si="62"/>
        <v>2.5375000000000001</v>
      </c>
      <c r="AC83" s="164">
        <f t="shared" si="62"/>
        <v>2.4750000000000001</v>
      </c>
      <c r="AD83" s="164">
        <f>AVERAGE(P83:Q83,T83)</f>
        <v>3.0500000000000003</v>
      </c>
      <c r="AE83" s="164">
        <f>AVERAGE(U83:W83)</f>
        <v>2.5</v>
      </c>
      <c r="AF83" s="164">
        <f>AVERAGE(X83:Z83)</f>
        <v>2.3791666666666669</v>
      </c>
      <c r="AG83" s="164">
        <f>AVERAGE(AA83:AC83)</f>
        <v>2.5083333333333333</v>
      </c>
      <c r="AH83" s="164">
        <f>AVERAGE(P83:Q83,T83:AC83)</f>
        <v>2.6093750000000004</v>
      </c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5"/>
      <c r="S84" s="125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41.25" customHeight="1">
      <c r="F85" s="127" t="s">
        <v>4</v>
      </c>
      <c r="G85" s="127" t="s">
        <v>5</v>
      </c>
      <c r="H85" s="127" t="s">
        <v>6</v>
      </c>
      <c r="I85" s="127" t="s">
        <v>7</v>
      </c>
      <c r="J85" s="28" t="s">
        <v>2</v>
      </c>
      <c r="K85" s="127" t="s">
        <v>71</v>
      </c>
      <c r="L85" s="127" t="s">
        <v>72</v>
      </c>
      <c r="M85" s="127" t="s">
        <v>73</v>
      </c>
      <c r="N85" s="127" t="s">
        <v>12</v>
      </c>
      <c r="O85" s="127" t="s">
        <v>13</v>
      </c>
      <c r="P85" s="127" t="s">
        <v>14</v>
      </c>
      <c r="Q85" s="127" t="s">
        <v>15</v>
      </c>
      <c r="R85" s="128"/>
      <c r="S85" s="128"/>
      <c r="T85" s="127" t="s">
        <v>16</v>
      </c>
      <c r="U85" s="127" t="s">
        <v>64</v>
      </c>
      <c r="V85" s="127" t="s">
        <v>65</v>
      </c>
      <c r="W85" s="127" t="s">
        <v>66</v>
      </c>
      <c r="X85" s="127" t="s">
        <v>67</v>
      </c>
      <c r="Y85" s="127" t="s">
        <v>83</v>
      </c>
      <c r="Z85" s="127" t="s">
        <v>69</v>
      </c>
      <c r="AA85" s="127" t="s">
        <v>70</v>
      </c>
      <c r="AB85" s="127" t="s">
        <v>77</v>
      </c>
      <c r="AC85" s="127" t="s">
        <v>78</v>
      </c>
      <c r="AD85" s="127" t="s">
        <v>79</v>
      </c>
      <c r="AE85" s="127" t="s">
        <v>80</v>
      </c>
      <c r="AF85" s="127" t="s">
        <v>81</v>
      </c>
      <c r="AG85" s="127" t="s">
        <v>82</v>
      </c>
      <c r="AH85" s="172">
        <v>2016</v>
      </c>
    </row>
    <row r="86" spans="1:358" ht="17.25" customHeight="1">
      <c r="A86" s="129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26.55</v>
      </c>
      <c r="Q86" s="36">
        <f t="shared" ref="Q86:AC86" si="63">Q15</f>
        <v>27.5</v>
      </c>
      <c r="R86" s="36"/>
      <c r="S86" s="36"/>
      <c r="T86" s="36">
        <f t="shared" si="63"/>
        <v>28.25</v>
      </c>
      <c r="U86" s="36">
        <f t="shared" si="63"/>
        <v>29.75</v>
      </c>
      <c r="V86" s="36">
        <f t="shared" si="63"/>
        <v>31</v>
      </c>
      <c r="W86" s="36">
        <f t="shared" si="63"/>
        <v>32.625</v>
      </c>
      <c r="X86" s="36">
        <f t="shared" si="63"/>
        <v>34.5</v>
      </c>
      <c r="Y86" s="36">
        <f t="shared" si="63"/>
        <v>36.375</v>
      </c>
      <c r="Z86" s="36">
        <f t="shared" si="63"/>
        <v>36.625</v>
      </c>
      <c r="AA86" s="36">
        <f t="shared" si="63"/>
        <v>39</v>
      </c>
      <c r="AB86" s="36">
        <f t="shared" si="63"/>
        <v>40.200000000000003</v>
      </c>
      <c r="AC86" s="36">
        <f t="shared" si="63"/>
        <v>41.25</v>
      </c>
      <c r="AD86" s="36">
        <f>AD15</f>
        <v>27.433333333333334</v>
      </c>
      <c r="AE86" s="36">
        <f t="shared" ref="AE86:AF86" si="64">AE15</f>
        <v>31.125</v>
      </c>
      <c r="AF86" s="36">
        <f t="shared" si="64"/>
        <v>35.833333333333336</v>
      </c>
      <c r="AG86" s="36">
        <f>AG15</f>
        <v>40.15</v>
      </c>
      <c r="AH86" s="173">
        <f>AVERAGE(P86:AC86)</f>
        <v>33.635416666666664</v>
      </c>
    </row>
    <row r="87" spans="1:358" ht="18.5">
      <c r="A87" s="129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37.137500000000003</v>
      </c>
      <c r="Q87" s="36">
        <f t="shared" ref="Q87:AC87" si="65">Q15+Q26</f>
        <v>36.450000000000003</v>
      </c>
      <c r="R87" s="36"/>
      <c r="S87" s="36"/>
      <c r="T87" s="36">
        <f t="shared" si="65"/>
        <v>35.700000000000003</v>
      </c>
      <c r="U87" s="36">
        <f t="shared" si="65"/>
        <v>35.975000000000001</v>
      </c>
      <c r="V87" s="36">
        <f t="shared" si="65"/>
        <v>36.387500000000003</v>
      </c>
      <c r="W87" s="36">
        <f t="shared" si="65"/>
        <v>37.782499999999999</v>
      </c>
      <c r="X87" s="36">
        <f t="shared" si="65"/>
        <v>39.47</v>
      </c>
      <c r="Y87" s="36">
        <f t="shared" si="65"/>
        <v>40.72</v>
      </c>
      <c r="Z87" s="36">
        <f t="shared" si="65"/>
        <v>40.282499999999999</v>
      </c>
      <c r="AA87" s="36">
        <f t="shared" si="65"/>
        <v>42.1875</v>
      </c>
      <c r="AB87" s="36">
        <f t="shared" si="65"/>
        <v>43.512500000000003</v>
      </c>
      <c r="AC87" s="36">
        <f t="shared" si="65"/>
        <v>44.844999999999999</v>
      </c>
      <c r="AD87" s="36">
        <f>AD15+AD26</f>
        <v>36.429166666666667</v>
      </c>
      <c r="AE87" s="36">
        <f t="shared" ref="AE87:AF87" si="66">AE15+AE26</f>
        <v>36.715000000000003</v>
      </c>
      <c r="AF87" s="36">
        <f t="shared" si="66"/>
        <v>40.157499999999999</v>
      </c>
      <c r="AG87" s="36">
        <f>AG15+AG26</f>
        <v>43.515000000000001</v>
      </c>
      <c r="AH87" s="173">
        <f t="shared" ref="AH87:AH91" si="67">AVERAGE(P87:AC87)</f>
        <v>39.204166666666673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5">
      <c r="A88" s="129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49.95</v>
      </c>
      <c r="Q88" s="36">
        <f t="shared" ref="Q88:AC88" si="68">Q37+Q15</f>
        <v>49.25</v>
      </c>
      <c r="R88" s="36"/>
      <c r="S88" s="36"/>
      <c r="T88" s="36">
        <f t="shared" si="68"/>
        <v>48.25</v>
      </c>
      <c r="U88" s="36">
        <f t="shared" si="68"/>
        <v>49.375</v>
      </c>
      <c r="V88" s="36">
        <f t="shared" si="68"/>
        <v>51</v>
      </c>
      <c r="W88" s="36">
        <f t="shared" si="68"/>
        <v>53.375</v>
      </c>
      <c r="X88" s="36">
        <f t="shared" si="68"/>
        <v>55.125</v>
      </c>
      <c r="Y88" s="36">
        <f t="shared" si="68"/>
        <v>55.075000000000003</v>
      </c>
      <c r="Z88" s="36">
        <f t="shared" si="68"/>
        <v>54</v>
      </c>
      <c r="AA88" s="36">
        <f t="shared" si="68"/>
        <v>56.0625</v>
      </c>
      <c r="AB88" s="36">
        <f t="shared" si="68"/>
        <v>56.7</v>
      </c>
      <c r="AC88" s="36">
        <f t="shared" si="68"/>
        <v>57.625</v>
      </c>
      <c r="AD88" s="36">
        <f>AD37+AD15</f>
        <v>49.150000000000006</v>
      </c>
      <c r="AE88" s="36">
        <f t="shared" ref="AE88:AF88" si="69">AE37+AE15</f>
        <v>51.25</v>
      </c>
      <c r="AF88" s="36">
        <f t="shared" si="69"/>
        <v>54.733333333333334</v>
      </c>
      <c r="AG88" s="36">
        <f>AG37+AG15</f>
        <v>56.795833333333334</v>
      </c>
      <c r="AH88" s="173">
        <f t="shared" si="67"/>
        <v>52.982291666666669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5">
      <c r="A89" s="129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38.012500000000003</v>
      </c>
      <c r="Q89" s="36">
        <f t="shared" ref="Q89:AC89" si="70">Q48+Q15</f>
        <v>39.1</v>
      </c>
      <c r="R89" s="36"/>
      <c r="S89" s="36"/>
      <c r="T89" s="36">
        <f t="shared" si="70"/>
        <v>39.332499999999996</v>
      </c>
      <c r="U89" s="36">
        <f t="shared" si="70"/>
        <v>40.9</v>
      </c>
      <c r="V89" s="36">
        <f t="shared" si="70"/>
        <v>42.414999999999999</v>
      </c>
      <c r="W89" s="36">
        <f t="shared" si="70"/>
        <v>43.87</v>
      </c>
      <c r="X89" s="36">
        <f t="shared" si="70"/>
        <v>45.45</v>
      </c>
      <c r="Y89" s="36">
        <f t="shared" si="70"/>
        <v>47.3125</v>
      </c>
      <c r="Z89" s="36">
        <f t="shared" si="70"/>
        <v>48.0625</v>
      </c>
      <c r="AA89" s="36">
        <f t="shared" si="70"/>
        <v>51.424999999999997</v>
      </c>
      <c r="AB89" s="36">
        <f t="shared" si="70"/>
        <v>53.612500000000004</v>
      </c>
      <c r="AC89" s="36">
        <f t="shared" si="70"/>
        <v>54.9</v>
      </c>
      <c r="AD89" s="36">
        <f>AD48+AD15</f>
        <v>38.814999999999998</v>
      </c>
      <c r="AE89" s="36">
        <f t="shared" ref="AE89:AF89" si="71">AE48+AE15</f>
        <v>42.394999999999996</v>
      </c>
      <c r="AF89" s="36">
        <f t="shared" si="71"/>
        <v>46.94166666666667</v>
      </c>
      <c r="AG89" s="36">
        <f>AG48+AG15</f>
        <v>53.3125</v>
      </c>
      <c r="AH89" s="173">
        <f t="shared" si="67"/>
        <v>45.366041666666668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5">
      <c r="A90" s="129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72">Q61+Q15</f>
        <v>37.6</v>
      </c>
      <c r="R90" s="36"/>
      <c r="S90" s="36"/>
      <c r="T90" s="36">
        <f t="shared" si="72"/>
        <v>38.837499999999999</v>
      </c>
      <c r="U90" s="36">
        <f t="shared" si="72"/>
        <v>40.799999999999997</v>
      </c>
      <c r="V90" s="36">
        <f t="shared" si="72"/>
        <v>42.527500000000003</v>
      </c>
      <c r="W90" s="36">
        <f t="shared" si="72"/>
        <v>43.912500000000001</v>
      </c>
      <c r="X90" s="36">
        <f t="shared" si="72"/>
        <v>45.172499999999999</v>
      </c>
      <c r="Y90" s="36">
        <f t="shared" si="72"/>
        <v>46.55</v>
      </c>
      <c r="Z90" s="36">
        <f t="shared" si="72"/>
        <v>47.225000000000001</v>
      </c>
      <c r="AA90" s="36">
        <f t="shared" si="72"/>
        <v>50.774999999999999</v>
      </c>
      <c r="AB90" s="36">
        <f t="shared" si="72"/>
        <v>53.042500000000004</v>
      </c>
      <c r="AC90" s="36">
        <f t="shared" si="72"/>
        <v>54.18</v>
      </c>
      <c r="AD90" s="36">
        <f>AD61+AD15</f>
        <v>37.529166666666669</v>
      </c>
      <c r="AE90" s="36">
        <f t="shared" ref="AE90:AF90" si="73">AE61+AE15</f>
        <v>42.413333333333334</v>
      </c>
      <c r="AF90" s="36">
        <f t="shared" si="73"/>
        <v>46.315833333333337</v>
      </c>
      <c r="AG90" s="36">
        <f>AG61+AG15</f>
        <v>52.665833333333332</v>
      </c>
      <c r="AH90" s="173">
        <f t="shared" si="67"/>
        <v>44.73104166666667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5">
      <c r="A91" s="129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149.54249999999999</v>
      </c>
      <c r="Q91" s="134">
        <f t="shared" ref="Q91:AC91" si="74">(Q72+Q15)*6.35</f>
        <v>145.4785</v>
      </c>
      <c r="R91" s="134"/>
      <c r="S91" s="134"/>
      <c r="T91" s="134">
        <f t="shared" si="74"/>
        <v>143.1925</v>
      </c>
      <c r="U91" s="134">
        <f t="shared" si="74"/>
        <v>150.891875</v>
      </c>
      <c r="V91" s="134">
        <f t="shared" si="74"/>
        <v>156.845</v>
      </c>
      <c r="W91" s="134">
        <f t="shared" si="74"/>
        <v>166.52875</v>
      </c>
      <c r="X91" s="134">
        <f t="shared" si="74"/>
        <v>176.8475</v>
      </c>
      <c r="Y91" s="134">
        <f t="shared" si="74"/>
        <v>189.38874999999999</v>
      </c>
      <c r="Z91" s="134">
        <f t="shared" si="74"/>
        <v>190.97624999999999</v>
      </c>
      <c r="AA91" s="134">
        <f t="shared" si="74"/>
        <v>206.85124999999999</v>
      </c>
      <c r="AB91" s="134">
        <f t="shared" si="74"/>
        <v>215.42375000000001</v>
      </c>
      <c r="AC91" s="134">
        <f t="shared" si="74"/>
        <v>223.12312500000002</v>
      </c>
      <c r="AD91" s="134">
        <f>(AD72+AD15)*6.35</f>
        <v>146.07116666666667</v>
      </c>
      <c r="AE91" s="134">
        <f t="shared" ref="AE91:AF91" si="75">(AE72+AE15)*6.35</f>
        <v>158.08854166666666</v>
      </c>
      <c r="AF91" s="134">
        <f t="shared" si="75"/>
        <v>185.73750000000001</v>
      </c>
      <c r="AG91" s="134">
        <f>(AG72+AG15)*6.35</f>
        <v>215.13270833333328</v>
      </c>
      <c r="AH91" s="173">
        <f t="shared" si="67"/>
        <v>176.25747916666668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8.5">
      <c r="A92" s="129" t="s">
        <v>53</v>
      </c>
      <c r="B92" s="129" t="s">
        <v>53</v>
      </c>
      <c r="C92" s="129" t="s">
        <v>53</v>
      </c>
      <c r="D92" s="130"/>
      <c r="E92" s="130"/>
      <c r="F92" s="36"/>
      <c r="G92" s="36"/>
      <c r="H92" s="36"/>
      <c r="I92" s="36"/>
      <c r="J92" s="36" t="e">
        <f>J82</f>
        <v>#DIV/0!</v>
      </c>
      <c r="K92" s="36">
        <f t="shared" ref="K92:L92" si="76">K82</f>
        <v>1.2</v>
      </c>
      <c r="L92" s="36">
        <f t="shared" si="76"/>
        <v>1.5</v>
      </c>
      <c r="M92" s="36">
        <f>M82</f>
        <v>1.625</v>
      </c>
      <c r="N92" s="36">
        <f>N83+N15</f>
        <v>47.85</v>
      </c>
      <c r="O92" s="36">
        <f>O83+O15</f>
        <v>2.0666666666666669</v>
      </c>
      <c r="P92" s="36">
        <f>P83+P15</f>
        <v>30.05</v>
      </c>
      <c r="Q92" s="36">
        <f t="shared" ref="Q92:AB92" si="77">Q83+Q15</f>
        <v>30.425000000000001</v>
      </c>
      <c r="R92" s="36"/>
      <c r="S92" s="36"/>
      <c r="T92" s="36">
        <f t="shared" si="77"/>
        <v>30.975000000000001</v>
      </c>
      <c r="U92" s="36">
        <f t="shared" si="77"/>
        <v>32.325000000000003</v>
      </c>
      <c r="V92" s="36">
        <f t="shared" si="77"/>
        <v>33.5</v>
      </c>
      <c r="W92" s="36">
        <f t="shared" si="77"/>
        <v>35.049999999999997</v>
      </c>
      <c r="X92" s="36">
        <f t="shared" si="77"/>
        <v>36.85</v>
      </c>
      <c r="Y92" s="36">
        <f t="shared" si="77"/>
        <v>38.725000000000001</v>
      </c>
      <c r="Z92" s="36">
        <f t="shared" si="77"/>
        <v>39.0625</v>
      </c>
      <c r="AA92" s="36">
        <f t="shared" si="77"/>
        <v>41.512500000000003</v>
      </c>
      <c r="AB92" s="36">
        <f t="shared" si="77"/>
        <v>42.737500000000004</v>
      </c>
      <c r="AC92" s="36">
        <f>AC83+AC15</f>
        <v>43.725000000000001</v>
      </c>
      <c r="AD92" s="36">
        <f>AD83+AD15</f>
        <v>30.483333333333334</v>
      </c>
      <c r="AE92" s="36">
        <f t="shared" ref="AE92" si="78">AE83+AE15</f>
        <v>33.625</v>
      </c>
      <c r="AF92" s="36">
        <f>AF83+AF15</f>
        <v>38.212500000000006</v>
      </c>
      <c r="AG92" s="36">
        <f>AG83+AG15</f>
        <v>42.658333333333331</v>
      </c>
      <c r="AH92" s="173">
        <f>AVERAGE(P92:AC92)</f>
        <v>36.244791666666664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6"/>
      <c r="S93" s="136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.5">
      <c r="A94" s="200" t="s">
        <v>54</v>
      </c>
      <c r="B94" s="138" t="s">
        <v>54</v>
      </c>
      <c r="C94" s="138" t="s">
        <v>54</v>
      </c>
      <c r="D94" s="139"/>
      <c r="E94" s="139"/>
      <c r="F94" s="140" t="s">
        <v>4</v>
      </c>
      <c r="G94" s="140" t="s">
        <v>5</v>
      </c>
      <c r="H94" s="140" t="s">
        <v>6</v>
      </c>
      <c r="I94" s="140" t="s">
        <v>7</v>
      </c>
      <c r="J94" s="28" t="s">
        <v>2</v>
      </c>
      <c r="K94" s="140" t="s">
        <v>9</v>
      </c>
      <c r="L94" s="140" t="s">
        <v>9</v>
      </c>
      <c r="M94" s="140" t="s">
        <v>9</v>
      </c>
      <c r="N94" s="140" t="s">
        <v>12</v>
      </c>
      <c r="O94" s="140" t="s">
        <v>13</v>
      </c>
      <c r="P94" s="140" t="s">
        <v>14</v>
      </c>
      <c r="Q94" s="140" t="s">
        <v>15</v>
      </c>
      <c r="R94" s="141"/>
      <c r="S94" s="141"/>
      <c r="T94" s="140" t="s">
        <v>16</v>
      </c>
      <c r="U94" s="140" t="s">
        <v>64</v>
      </c>
      <c r="V94" s="140" t="s">
        <v>65</v>
      </c>
      <c r="W94" s="140" t="s">
        <v>66</v>
      </c>
      <c r="X94" s="140" t="s">
        <v>67</v>
      </c>
      <c r="Y94" s="140" t="s">
        <v>68</v>
      </c>
      <c r="Z94" s="140" t="s">
        <v>69</v>
      </c>
      <c r="AA94" s="140" t="s">
        <v>70</v>
      </c>
      <c r="AB94" s="140" t="s">
        <v>77</v>
      </c>
      <c r="AC94" s="140" t="s">
        <v>78</v>
      </c>
      <c r="AD94" s="140" t="s">
        <v>79</v>
      </c>
      <c r="AE94" s="140" t="s">
        <v>80</v>
      </c>
      <c r="AF94" s="140" t="s">
        <v>81</v>
      </c>
      <c r="AG94" s="140" t="s">
        <v>82</v>
      </c>
      <c r="AH94" s="140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.5">
      <c r="A95" s="200" t="s">
        <v>56</v>
      </c>
      <c r="B95" s="138" t="s">
        <v>56</v>
      </c>
      <c r="C95" s="138" t="s">
        <v>56</v>
      </c>
      <c r="D95" s="142"/>
      <c r="E95" s="142"/>
      <c r="F95" s="143">
        <f t="shared" ref="F95" si="79">F86</f>
        <v>0</v>
      </c>
      <c r="G95" s="143">
        <f>G86</f>
        <v>56.18</v>
      </c>
      <c r="H95" s="143">
        <f t="shared" ref="H95" si="80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81">K86</f>
        <v>48.3</v>
      </c>
      <c r="L95" s="143">
        <f t="shared" si="81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26.55</v>
      </c>
      <c r="Q95" s="143">
        <f>Q86</f>
        <v>27.5</v>
      </c>
      <c r="R95" s="144"/>
      <c r="S95" s="144"/>
      <c r="T95" s="143">
        <f t="shared" ref="T95:AG95" si="82">T86</f>
        <v>28.25</v>
      </c>
      <c r="U95" s="143">
        <f t="shared" si="82"/>
        <v>29.75</v>
      </c>
      <c r="V95" s="143">
        <f t="shared" si="82"/>
        <v>31</v>
      </c>
      <c r="W95" s="143">
        <f t="shared" si="82"/>
        <v>32.625</v>
      </c>
      <c r="X95" s="143">
        <f t="shared" si="82"/>
        <v>34.5</v>
      </c>
      <c r="Y95" s="143">
        <f t="shared" si="82"/>
        <v>36.375</v>
      </c>
      <c r="Z95" s="143">
        <f t="shared" si="82"/>
        <v>36.625</v>
      </c>
      <c r="AA95" s="143">
        <f t="shared" si="82"/>
        <v>39</v>
      </c>
      <c r="AB95" s="143">
        <f t="shared" si="82"/>
        <v>40.200000000000003</v>
      </c>
      <c r="AC95" s="143">
        <f t="shared" si="82"/>
        <v>41.25</v>
      </c>
      <c r="AD95" s="143">
        <f t="shared" si="82"/>
        <v>27.433333333333334</v>
      </c>
      <c r="AE95" s="143">
        <f t="shared" si="82"/>
        <v>31.125</v>
      </c>
      <c r="AF95" s="143">
        <f t="shared" si="82"/>
        <v>35.833333333333336</v>
      </c>
      <c r="AG95" s="143">
        <f t="shared" si="82"/>
        <v>40.15</v>
      </c>
      <c r="AH95" s="173">
        <f t="shared" ref="AH95:AH101" si="83">AVERAGE(P95:AC95)</f>
        <v>33.635416666666664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.5">
      <c r="A96" s="200" t="s">
        <v>57</v>
      </c>
      <c r="B96" s="138" t="s">
        <v>57</v>
      </c>
      <c r="C96" s="138" t="s">
        <v>57</v>
      </c>
      <c r="D96" s="142"/>
      <c r="E96" s="142"/>
      <c r="F96" s="143">
        <f t="shared" ref="F96" si="84">F87-F86</f>
        <v>0</v>
      </c>
      <c r="G96" s="143">
        <f>G87-G86</f>
        <v>-3.0341000000000022</v>
      </c>
      <c r="H96" s="143">
        <f t="shared" ref="H96" si="85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86">K87-K86</f>
        <v>#REF!</v>
      </c>
      <c r="L96" s="143" t="e">
        <f t="shared" si="86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10.587500000000002</v>
      </c>
      <c r="Q96" s="143">
        <f>Q87-Q86</f>
        <v>8.9500000000000028</v>
      </c>
      <c r="R96" s="144"/>
      <c r="S96" s="144"/>
      <c r="T96" s="143">
        <f t="shared" ref="T96:AG96" si="87">T87-T86</f>
        <v>7.4500000000000028</v>
      </c>
      <c r="U96" s="143">
        <f t="shared" si="87"/>
        <v>6.2250000000000014</v>
      </c>
      <c r="V96" s="143">
        <f t="shared" si="87"/>
        <v>5.3875000000000028</v>
      </c>
      <c r="W96" s="143">
        <f t="shared" si="87"/>
        <v>5.1574999999999989</v>
      </c>
      <c r="X96" s="143">
        <f t="shared" si="87"/>
        <v>4.9699999999999989</v>
      </c>
      <c r="Y96" s="143">
        <f t="shared" si="87"/>
        <v>4.3449999999999989</v>
      </c>
      <c r="Z96" s="143">
        <f t="shared" si="87"/>
        <v>3.6574999999999989</v>
      </c>
      <c r="AA96" s="143">
        <f t="shared" si="87"/>
        <v>3.1875</v>
      </c>
      <c r="AB96" s="143">
        <f t="shared" si="87"/>
        <v>3.3125</v>
      </c>
      <c r="AC96" s="143">
        <f t="shared" si="87"/>
        <v>3.5949999999999989</v>
      </c>
      <c r="AD96" s="143">
        <f t="shared" si="87"/>
        <v>8.9958333333333336</v>
      </c>
      <c r="AE96" s="143">
        <f t="shared" si="87"/>
        <v>5.5900000000000034</v>
      </c>
      <c r="AF96" s="143">
        <f t="shared" si="87"/>
        <v>4.3241666666666632</v>
      </c>
      <c r="AG96" s="143">
        <f t="shared" si="87"/>
        <v>3.365000000000002</v>
      </c>
      <c r="AH96" s="173">
        <f t="shared" si="83"/>
        <v>5.5687500000000005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5">
      <c r="A97" s="200" t="s">
        <v>58</v>
      </c>
      <c r="B97" s="138" t="s">
        <v>58</v>
      </c>
      <c r="C97" s="138" t="s">
        <v>58</v>
      </c>
      <c r="D97" s="142"/>
      <c r="E97" s="142"/>
      <c r="F97" s="143">
        <f t="shared" ref="F97" si="88">F88-F86</f>
        <v>0</v>
      </c>
      <c r="G97" s="143">
        <f>G88-G86</f>
        <v>19.766299999999994</v>
      </c>
      <c r="H97" s="143">
        <f t="shared" ref="H97" si="89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90">K88-K86</f>
        <v>16.482500000000002</v>
      </c>
      <c r="L97" s="143">
        <f t="shared" si="90"/>
        <v>17.249999999999993</v>
      </c>
      <c r="M97" s="143">
        <f t="shared" si="90"/>
        <v>16.372499999999995</v>
      </c>
      <c r="N97" s="143">
        <f>N88-N86</f>
        <v>15.8125</v>
      </c>
      <c r="O97" s="143">
        <f>O88-O86</f>
        <v>17.5</v>
      </c>
      <c r="P97" s="143">
        <f>P88-P86</f>
        <v>23.400000000000002</v>
      </c>
      <c r="Q97" s="143">
        <f t="shared" ref="Q97" si="91">Q88-Q86</f>
        <v>21.75</v>
      </c>
      <c r="R97" s="144"/>
      <c r="S97" s="144"/>
      <c r="T97" s="143">
        <f>T88-T86</f>
        <v>20</v>
      </c>
      <c r="U97" s="143">
        <f t="shared" ref="U97:AG97" si="92">U88-U86</f>
        <v>19.625</v>
      </c>
      <c r="V97" s="143">
        <f t="shared" si="92"/>
        <v>20</v>
      </c>
      <c r="W97" s="143">
        <f t="shared" si="92"/>
        <v>20.75</v>
      </c>
      <c r="X97" s="143">
        <f t="shared" si="92"/>
        <v>20.625</v>
      </c>
      <c r="Y97" s="143">
        <f t="shared" si="92"/>
        <v>18.700000000000003</v>
      </c>
      <c r="Z97" s="143">
        <f t="shared" si="92"/>
        <v>17.375</v>
      </c>
      <c r="AA97" s="143">
        <f t="shared" si="92"/>
        <v>17.0625</v>
      </c>
      <c r="AB97" s="143">
        <f t="shared" si="92"/>
        <v>16.5</v>
      </c>
      <c r="AC97" s="143">
        <f t="shared" si="92"/>
        <v>16.375</v>
      </c>
      <c r="AD97" s="143">
        <f t="shared" si="92"/>
        <v>21.716666666666672</v>
      </c>
      <c r="AE97" s="143">
        <f t="shared" si="92"/>
        <v>20.125</v>
      </c>
      <c r="AF97" s="143">
        <f t="shared" si="92"/>
        <v>18.899999999999999</v>
      </c>
      <c r="AG97" s="143">
        <f t="shared" si="92"/>
        <v>16.645833333333336</v>
      </c>
      <c r="AH97" s="173">
        <f t="shared" si="83"/>
        <v>19.346875000000001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5">
      <c r="A98" s="200" t="s">
        <v>59</v>
      </c>
      <c r="B98" s="138" t="s">
        <v>59</v>
      </c>
      <c r="C98" s="138" t="s">
        <v>59</v>
      </c>
      <c r="D98" s="142"/>
      <c r="E98" s="142"/>
      <c r="F98" s="143">
        <f t="shared" ref="F98" si="93">F89-F86</f>
        <v>0</v>
      </c>
      <c r="G98" s="143">
        <f>G89-G86</f>
        <v>9.6289999999999978</v>
      </c>
      <c r="H98" s="143">
        <f t="shared" ref="H98" si="94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95">K89-K86</f>
        <v>13.11</v>
      </c>
      <c r="L98" s="143">
        <f t="shared" si="95"/>
        <v>13.435000000000002</v>
      </c>
      <c r="M98" s="143">
        <f t="shared" si="95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11.462500000000002</v>
      </c>
      <c r="Q98" s="143">
        <f>Q89-Q86</f>
        <v>11.600000000000001</v>
      </c>
      <c r="R98" s="144"/>
      <c r="S98" s="144"/>
      <c r="T98" s="143">
        <f t="shared" ref="T98:AG98" si="96">T89-T86</f>
        <v>11.082499999999996</v>
      </c>
      <c r="U98" s="143">
        <f t="shared" si="96"/>
        <v>11.149999999999999</v>
      </c>
      <c r="V98" s="143">
        <f t="shared" si="96"/>
        <v>11.414999999999999</v>
      </c>
      <c r="W98" s="143">
        <f t="shared" si="96"/>
        <v>11.244999999999997</v>
      </c>
      <c r="X98" s="143">
        <f t="shared" si="96"/>
        <v>10.950000000000003</v>
      </c>
      <c r="Y98" s="143">
        <f t="shared" si="96"/>
        <v>10.9375</v>
      </c>
      <c r="Z98" s="143">
        <f t="shared" si="96"/>
        <v>11.4375</v>
      </c>
      <c r="AA98" s="143">
        <f t="shared" si="96"/>
        <v>12.424999999999997</v>
      </c>
      <c r="AB98" s="143">
        <f t="shared" si="96"/>
        <v>13.412500000000001</v>
      </c>
      <c r="AC98" s="143">
        <f t="shared" si="96"/>
        <v>13.649999999999999</v>
      </c>
      <c r="AD98" s="143">
        <f t="shared" si="96"/>
        <v>11.381666666666664</v>
      </c>
      <c r="AE98" s="143">
        <f t="shared" si="96"/>
        <v>11.269999999999996</v>
      </c>
      <c r="AF98" s="143">
        <f t="shared" si="96"/>
        <v>11.108333333333334</v>
      </c>
      <c r="AG98" s="143">
        <f t="shared" si="96"/>
        <v>13.162500000000001</v>
      </c>
      <c r="AH98" s="173">
        <f t="shared" si="83"/>
        <v>11.730624999999998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.5">
      <c r="A99" s="200" t="s">
        <v>60</v>
      </c>
      <c r="B99" s="138" t="s">
        <v>60</v>
      </c>
      <c r="C99" s="138" t="s">
        <v>60</v>
      </c>
      <c r="D99" s="142"/>
      <c r="E99" s="142"/>
      <c r="F99" s="143">
        <f t="shared" ref="F99" si="97">F90-F86</f>
        <v>0</v>
      </c>
      <c r="G99" s="143">
        <f>G90-G86</f>
        <v>8.8899999999999935</v>
      </c>
      <c r="H99" s="143">
        <f t="shared" ref="H99" si="98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99">K90-K86</f>
        <v>13.350000000000001</v>
      </c>
      <c r="L99" s="143">
        <f t="shared" si="99"/>
        <v>13.75</v>
      </c>
      <c r="M99" s="143">
        <f t="shared" si="99"/>
        <v>13.07</v>
      </c>
      <c r="N99" s="143">
        <f>N90-N86</f>
        <v>14.030000000000001</v>
      </c>
      <c r="O99" s="143">
        <f>O90-O86</f>
        <v>14.15</v>
      </c>
      <c r="P99" s="143">
        <f>P90-P86</f>
        <v>9.5999999999999979</v>
      </c>
      <c r="Q99" s="143">
        <f>Q90-Q86</f>
        <v>10.100000000000001</v>
      </c>
      <c r="R99" s="144"/>
      <c r="S99" s="144"/>
      <c r="T99" s="143">
        <f t="shared" ref="T99:AG99" si="100">T90-T86</f>
        <v>10.587499999999999</v>
      </c>
      <c r="U99" s="143">
        <f t="shared" si="100"/>
        <v>11.049999999999997</v>
      </c>
      <c r="V99" s="143">
        <f t="shared" si="100"/>
        <v>11.527500000000003</v>
      </c>
      <c r="W99" s="143">
        <f t="shared" si="100"/>
        <v>11.287500000000001</v>
      </c>
      <c r="X99" s="143">
        <f t="shared" si="100"/>
        <v>10.672499999999999</v>
      </c>
      <c r="Y99" s="143">
        <f t="shared" si="100"/>
        <v>10.174999999999997</v>
      </c>
      <c r="Z99" s="143">
        <f t="shared" si="100"/>
        <v>10.600000000000001</v>
      </c>
      <c r="AA99" s="143">
        <f t="shared" si="100"/>
        <v>11.774999999999999</v>
      </c>
      <c r="AB99" s="143">
        <f t="shared" si="100"/>
        <v>12.842500000000001</v>
      </c>
      <c r="AC99" s="143">
        <f t="shared" si="100"/>
        <v>12.93</v>
      </c>
      <c r="AD99" s="143">
        <f t="shared" si="100"/>
        <v>10.095833333333335</v>
      </c>
      <c r="AE99" s="143">
        <f t="shared" si="100"/>
        <v>11.288333333333334</v>
      </c>
      <c r="AF99" s="143">
        <f t="shared" si="100"/>
        <v>10.482500000000002</v>
      </c>
      <c r="AG99" s="143">
        <f t="shared" si="100"/>
        <v>12.515833333333333</v>
      </c>
      <c r="AH99" s="173">
        <f t="shared" si="83"/>
        <v>11.095625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18.5">
      <c r="A100" s="200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101">H91-H86</f>
        <v>-8.9503004558640669</v>
      </c>
      <c r="I100" s="143">
        <f t="shared" si="101"/>
        <v>-7.8993307086614237</v>
      </c>
      <c r="J100" s="143">
        <f t="shared" ref="J100" si="102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</v>
      </c>
      <c r="Q100" s="143">
        <f>Q72</f>
        <v>-4.59</v>
      </c>
      <c r="R100" s="144"/>
      <c r="S100" s="144"/>
      <c r="T100" s="143">
        <f t="shared" ref="T100:U100" si="103">T72</f>
        <v>-5.7</v>
      </c>
      <c r="U100" s="143">
        <f t="shared" si="103"/>
        <v>-5.9874999999999998</v>
      </c>
      <c r="V100" s="143">
        <f t="shared" ref="V100:AG100" si="104">V71</f>
        <v>-6.3</v>
      </c>
      <c r="W100" s="143">
        <f t="shared" si="104"/>
        <v>-6.4</v>
      </c>
      <c r="X100" s="143">
        <f t="shared" si="104"/>
        <v>-6.65</v>
      </c>
      <c r="Y100" s="143">
        <f t="shared" si="104"/>
        <v>-6.55</v>
      </c>
      <c r="Z100" s="143">
        <f t="shared" si="104"/>
        <v>-6.5500000000000007</v>
      </c>
      <c r="AA100" s="143">
        <f t="shared" si="104"/>
        <v>-6.4250000000000007</v>
      </c>
      <c r="AB100" s="143">
        <f t="shared" si="104"/>
        <v>-6.2749999999999995</v>
      </c>
      <c r="AC100" s="143">
        <f t="shared" si="104"/>
        <v>-6.1124999999999998</v>
      </c>
      <c r="AD100" s="143">
        <f t="shared" si="104"/>
        <v>-4.8216666666666663</v>
      </c>
      <c r="AE100" s="143">
        <f t="shared" si="104"/>
        <v>-6.2291666666666661</v>
      </c>
      <c r="AF100" s="143">
        <f t="shared" si="104"/>
        <v>-6.5833333333333339</v>
      </c>
      <c r="AG100" s="143">
        <f t="shared" si="104"/>
        <v>-6.270833333333333</v>
      </c>
      <c r="AH100" s="173">
        <f t="shared" si="83"/>
        <v>-5.878333333333333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>
      <c r="A101" s="201" t="s">
        <v>62</v>
      </c>
      <c r="B101" s="145" t="s">
        <v>62</v>
      </c>
      <c r="C101" s="145" t="s">
        <v>62</v>
      </c>
      <c r="D101" s="142"/>
      <c r="E101" s="142"/>
      <c r="F101" s="143">
        <f t="shared" ref="F101" si="105">F82</f>
        <v>0</v>
      </c>
      <c r="G101" s="143">
        <f>G82</f>
        <v>0</v>
      </c>
      <c r="H101" s="143">
        <f t="shared" ref="H101" si="106">H82</f>
        <v>0</v>
      </c>
      <c r="I101" s="143">
        <f>I82</f>
        <v>0</v>
      </c>
      <c r="J101" s="143" t="e">
        <f>J82</f>
        <v>#DIV/0!</v>
      </c>
      <c r="K101" s="143">
        <f t="shared" ref="K101:M101" si="107">K82</f>
        <v>1.2</v>
      </c>
      <c r="L101" s="143">
        <f t="shared" si="107"/>
        <v>1.5</v>
      </c>
      <c r="M101" s="143">
        <f t="shared" si="107"/>
        <v>1.625</v>
      </c>
      <c r="N101" s="143">
        <f>N92-N86</f>
        <v>1.6000000000000014</v>
      </c>
      <c r="O101" s="143">
        <f>O92-O86</f>
        <v>2.0666666666666669</v>
      </c>
      <c r="P101" s="143">
        <f>P92-P86</f>
        <v>3.5</v>
      </c>
      <c r="Q101" s="143">
        <f>Q92-Q86</f>
        <v>2.9250000000000007</v>
      </c>
      <c r="R101" s="144"/>
      <c r="S101" s="144"/>
      <c r="T101" s="143">
        <f t="shared" ref="T101:AG101" si="108">T92-T86</f>
        <v>2.7250000000000014</v>
      </c>
      <c r="U101" s="143">
        <f t="shared" si="108"/>
        <v>2.5750000000000028</v>
      </c>
      <c r="V101" s="143">
        <f t="shared" si="108"/>
        <v>2.5</v>
      </c>
      <c r="W101" s="143">
        <f t="shared" si="108"/>
        <v>2.4249999999999972</v>
      </c>
      <c r="X101" s="143">
        <f t="shared" si="108"/>
        <v>2.3500000000000014</v>
      </c>
      <c r="Y101" s="143">
        <f t="shared" si="108"/>
        <v>2.3500000000000014</v>
      </c>
      <c r="Z101" s="143">
        <f t="shared" si="108"/>
        <v>2.4375</v>
      </c>
      <c r="AA101" s="143">
        <f t="shared" si="108"/>
        <v>2.5125000000000028</v>
      </c>
      <c r="AB101" s="143">
        <f t="shared" si="108"/>
        <v>2.5375000000000014</v>
      </c>
      <c r="AC101" s="143">
        <f t="shared" si="108"/>
        <v>2.4750000000000014</v>
      </c>
      <c r="AD101" s="143">
        <f>AD92-AD86</f>
        <v>3.0500000000000007</v>
      </c>
      <c r="AE101" s="143">
        <f>AE92-AE86</f>
        <v>2.5</v>
      </c>
      <c r="AF101" s="143">
        <f>AF92-AF86</f>
        <v>2.37916666666667</v>
      </c>
      <c r="AG101" s="143">
        <f t="shared" si="108"/>
        <v>2.5083333333333329</v>
      </c>
      <c r="AH101" s="173">
        <f t="shared" si="83"/>
        <v>2.6093750000000009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199"/>
      <c r="T102" s="6"/>
      <c r="U102" s="6"/>
      <c r="V102" s="6"/>
      <c r="W102" s="6"/>
      <c r="AH102" s="7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199"/>
      <c r="B103" s="146"/>
      <c r="C103" s="146"/>
      <c r="D103" s="147"/>
      <c r="E103" s="147"/>
      <c r="F103" s="140" t="s">
        <v>4</v>
      </c>
      <c r="G103" s="140" t="s">
        <v>5</v>
      </c>
      <c r="H103" s="140" t="s">
        <v>6</v>
      </c>
      <c r="I103" s="140" t="s">
        <v>7</v>
      </c>
      <c r="J103" s="32"/>
      <c r="K103" s="140" t="s">
        <v>9</v>
      </c>
      <c r="L103" s="140" t="s">
        <v>9</v>
      </c>
      <c r="M103" s="140" t="s">
        <v>70</v>
      </c>
      <c r="N103" s="140" t="s">
        <v>12</v>
      </c>
      <c r="O103" s="140" t="s">
        <v>13</v>
      </c>
      <c r="P103" s="140" t="s">
        <v>13</v>
      </c>
      <c r="Q103" s="140" t="s">
        <v>13</v>
      </c>
      <c r="R103" s="141"/>
      <c r="S103" s="141"/>
      <c r="T103" s="140"/>
      <c r="U103" s="140"/>
      <c r="V103" s="140"/>
      <c r="W103" s="140"/>
      <c r="X103" s="140" t="s">
        <v>17</v>
      </c>
      <c r="Y103" s="148"/>
      <c r="Z103" s="148"/>
      <c r="AA103" s="148"/>
      <c r="AB103" s="148"/>
      <c r="AC103" s="148"/>
      <c r="AD103" s="140" t="s">
        <v>55</v>
      </c>
      <c r="AE103" s="140" t="s">
        <v>55</v>
      </c>
      <c r="AF103" s="140"/>
      <c r="AG103" s="140" t="s">
        <v>55</v>
      </c>
      <c r="AH103" s="7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199"/>
      <c r="B104" s="149">
        <v>0.03</v>
      </c>
      <c r="C104" s="149">
        <v>0.03</v>
      </c>
      <c r="D104" s="150"/>
      <c r="E104" s="150"/>
      <c r="F104" s="151">
        <f>$B$104*$J$104</f>
        <v>-0.6</v>
      </c>
      <c r="G104" s="151">
        <f>$B$104*$J$104</f>
        <v>-0.6</v>
      </c>
      <c r="H104" s="151">
        <f>$B$104*$J$104</f>
        <v>-0.6</v>
      </c>
      <c r="I104" s="151">
        <f>$B$104*$J$104</f>
        <v>-0.6</v>
      </c>
      <c r="J104" s="36">
        <v>-20</v>
      </c>
      <c r="K104" s="151">
        <f t="shared" ref="K104:P104" si="109">$B$104*$J$104</f>
        <v>-0.6</v>
      </c>
      <c r="L104" s="151">
        <f t="shared" si="109"/>
        <v>-0.6</v>
      </c>
      <c r="M104" s="151">
        <f t="shared" si="109"/>
        <v>-0.6</v>
      </c>
      <c r="N104" s="151">
        <f t="shared" si="109"/>
        <v>-0.6</v>
      </c>
      <c r="O104" s="151">
        <f t="shared" si="109"/>
        <v>-0.6</v>
      </c>
      <c r="P104" s="151">
        <f t="shared" si="109"/>
        <v>-0.6</v>
      </c>
      <c r="Q104" s="151">
        <f>$B$104*$J$104</f>
        <v>-0.6</v>
      </c>
      <c r="R104" s="131"/>
      <c r="S104" s="131"/>
      <c r="T104" s="132"/>
      <c r="U104" s="132"/>
      <c r="V104" s="132"/>
      <c r="W104" s="132"/>
      <c r="X104" s="132">
        <v>0.94499999999999995</v>
      </c>
      <c r="Y104" s="132"/>
      <c r="Z104" s="132"/>
      <c r="AA104" s="132"/>
      <c r="AB104" s="132"/>
      <c r="AC104" s="132"/>
      <c r="AD104" s="151">
        <f>$B$104*$J$104</f>
        <v>-0.6</v>
      </c>
      <c r="AE104" s="151">
        <f>$B$104*$J$104</f>
        <v>-0.6</v>
      </c>
      <c r="AF104" s="151"/>
      <c r="AG104" s="151">
        <f>$B$104*$J$104</f>
        <v>-0.6</v>
      </c>
      <c r="AH104" s="7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199"/>
      <c r="B105" s="149">
        <v>0.03</v>
      </c>
      <c r="C105" s="149">
        <v>0.03</v>
      </c>
      <c r="D105" s="150"/>
      <c r="E105" s="150"/>
      <c r="F105" s="151">
        <f t="shared" ref="F105:I108" si="110">$B105*(F87-F$86-1.7)</f>
        <v>-5.0999999999999997E-2</v>
      </c>
      <c r="G105" s="151">
        <f t="shared" si="110"/>
        <v>-0.14202300000000007</v>
      </c>
      <c r="H105" s="151">
        <f t="shared" si="110"/>
        <v>-0.10879736842105259</v>
      </c>
      <c r="I105" s="151">
        <f t="shared" si="110"/>
        <v>-8.1000000000004332E-3</v>
      </c>
      <c r="J105" s="36"/>
      <c r="K105" s="151" t="e">
        <f t="shared" ref="K105:P108" si="111">$B105*(K87-K$86-1.7)</f>
        <v>#REF!</v>
      </c>
      <c r="L105" s="151" t="e">
        <f t="shared" si="111"/>
        <v>#REF!</v>
      </c>
      <c r="M105" s="151">
        <f t="shared" si="111"/>
        <v>-8.2500000000000837E-3</v>
      </c>
      <c r="N105" s="151">
        <f t="shared" si="111"/>
        <v>6.5249999999999989E-2</v>
      </c>
      <c r="O105" s="151">
        <f t="shared" si="111"/>
        <v>0.129</v>
      </c>
      <c r="P105" s="151">
        <f t="shared" si="111"/>
        <v>0.26662500000000006</v>
      </c>
      <c r="Q105" s="151">
        <f>$B105*(Q87-Q$86-1.7)</f>
        <v>0.21750000000000008</v>
      </c>
      <c r="R105" s="131"/>
      <c r="S105" s="131"/>
      <c r="T105" s="132"/>
      <c r="U105" s="132"/>
      <c r="V105" s="132"/>
      <c r="W105" s="132"/>
      <c r="X105" s="132" t="e">
        <v>#REF!</v>
      </c>
      <c r="Y105" s="132"/>
      <c r="Z105" s="132"/>
      <c r="AA105" s="132"/>
      <c r="AB105" s="132"/>
      <c r="AC105" s="132"/>
      <c r="AD105" s="151">
        <f t="shared" ref="AD105:AG108" si="112">$B105*(AD87-AD$86-1.7)</f>
        <v>0.21887499999999999</v>
      </c>
      <c r="AE105" s="151">
        <f t="shared" si="112"/>
        <v>0.1167000000000001</v>
      </c>
      <c r="AF105" s="151"/>
      <c r="AG105" s="151">
        <f t="shared" si="112"/>
        <v>4.9950000000000057E-2</v>
      </c>
      <c r="AH105" s="7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199"/>
      <c r="B106" s="149">
        <v>0.16</v>
      </c>
      <c r="C106" s="149">
        <v>0.16</v>
      </c>
      <c r="D106" s="150"/>
      <c r="E106" s="150"/>
      <c r="F106" s="151">
        <f t="shared" si="110"/>
        <v>-0.27200000000000002</v>
      </c>
      <c r="G106" s="151">
        <f t="shared" si="110"/>
        <v>2.8906079999999994</v>
      </c>
      <c r="H106" s="151">
        <f t="shared" si="110"/>
        <v>2.6582315789473734</v>
      </c>
      <c r="I106" s="151">
        <f t="shared" si="110"/>
        <v>2.9057599999999999</v>
      </c>
      <c r="J106" s="36"/>
      <c r="K106" s="151">
        <f t="shared" si="111"/>
        <v>2.3652000000000006</v>
      </c>
      <c r="L106" s="151">
        <f t="shared" si="111"/>
        <v>2.4879999999999991</v>
      </c>
      <c r="M106" s="151">
        <f t="shared" si="111"/>
        <v>2.3475999999999995</v>
      </c>
      <c r="N106" s="151">
        <f t="shared" si="111"/>
        <v>2.258</v>
      </c>
      <c r="O106" s="151">
        <f t="shared" si="111"/>
        <v>2.528</v>
      </c>
      <c r="P106" s="151">
        <f t="shared" si="111"/>
        <v>3.4720000000000004</v>
      </c>
      <c r="Q106" s="151">
        <f>$B106*(Q88-Q$86-1.7)</f>
        <v>3.2080000000000002</v>
      </c>
      <c r="R106" s="131"/>
      <c r="S106" s="131"/>
      <c r="T106" s="132"/>
      <c r="U106" s="132"/>
      <c r="V106" s="132"/>
      <c r="W106" s="132"/>
      <c r="X106" s="132" t="e">
        <v>#REF!</v>
      </c>
      <c r="Y106" s="132"/>
      <c r="Z106" s="132"/>
      <c r="AA106" s="132"/>
      <c r="AB106" s="132"/>
      <c r="AC106" s="132"/>
      <c r="AD106" s="151">
        <f t="shared" si="112"/>
        <v>3.2026666666666679</v>
      </c>
      <c r="AE106" s="151">
        <f t="shared" si="112"/>
        <v>2.948</v>
      </c>
      <c r="AF106" s="151"/>
      <c r="AG106" s="151">
        <f t="shared" si="112"/>
        <v>2.3913333333333338</v>
      </c>
      <c r="AH106" s="7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B107" s="149">
        <v>0.15</v>
      </c>
      <c r="C107" s="149">
        <v>0.15</v>
      </c>
      <c r="D107" s="150"/>
      <c r="E107" s="150"/>
      <c r="F107" s="151">
        <f t="shared" si="110"/>
        <v>-0.255</v>
      </c>
      <c r="G107" s="151">
        <f t="shared" si="110"/>
        <v>1.1893499999999997</v>
      </c>
      <c r="H107" s="151">
        <f t="shared" si="110"/>
        <v>1.1527499999999997</v>
      </c>
      <c r="I107" s="151">
        <f t="shared" si="110"/>
        <v>1.7877749999999986</v>
      </c>
      <c r="J107" s="36"/>
      <c r="K107" s="151">
        <f t="shared" si="111"/>
        <v>1.7115</v>
      </c>
      <c r="L107" s="151">
        <f t="shared" si="111"/>
        <v>1.7602500000000003</v>
      </c>
      <c r="M107" s="151">
        <f t="shared" si="111"/>
        <v>1.7467499999999998</v>
      </c>
      <c r="N107" s="151">
        <f t="shared" si="111"/>
        <v>1.8794999999999995</v>
      </c>
      <c r="O107" s="151">
        <f t="shared" si="111"/>
        <v>2.085</v>
      </c>
      <c r="P107" s="151">
        <f t="shared" si="111"/>
        <v>1.4643750000000004</v>
      </c>
      <c r="Q107" s="151">
        <f>$B107*(Q89-Q$86-1.7)</f>
        <v>1.4850000000000003</v>
      </c>
      <c r="R107" s="131"/>
      <c r="S107" s="131"/>
      <c r="T107" s="132"/>
      <c r="U107" s="132"/>
      <c r="V107" s="132"/>
      <c r="W107" s="132"/>
      <c r="X107" s="132" t="e">
        <v>#REF!</v>
      </c>
      <c r="Y107" s="132"/>
      <c r="Z107" s="132"/>
      <c r="AA107" s="132"/>
      <c r="AB107" s="132"/>
      <c r="AC107" s="132"/>
      <c r="AD107" s="151">
        <f t="shared" si="112"/>
        <v>1.4522499999999996</v>
      </c>
      <c r="AE107" s="151">
        <f t="shared" si="112"/>
        <v>1.4354999999999996</v>
      </c>
      <c r="AF107" s="151"/>
      <c r="AG107" s="151">
        <f t="shared" si="112"/>
        <v>1.7193750000000003</v>
      </c>
      <c r="AH107" s="7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B108" s="149">
        <v>0.39</v>
      </c>
      <c r="C108" s="149">
        <v>0.39</v>
      </c>
      <c r="D108" s="150"/>
      <c r="E108" s="150"/>
      <c r="F108" s="151">
        <f t="shared" si="110"/>
        <v>-0.66300000000000003</v>
      </c>
      <c r="G108" s="151">
        <f t="shared" si="110"/>
        <v>2.8040999999999974</v>
      </c>
      <c r="H108" s="151">
        <f t="shared" si="110"/>
        <v>3.0129552631578984</v>
      </c>
      <c r="I108" s="151">
        <f t="shared" si="110"/>
        <v>4.8371700000000013</v>
      </c>
      <c r="J108" s="36"/>
      <c r="K108" s="151">
        <f t="shared" si="111"/>
        <v>4.5435000000000008</v>
      </c>
      <c r="L108" s="151">
        <f t="shared" si="111"/>
        <v>4.6995000000000005</v>
      </c>
      <c r="M108" s="151">
        <f t="shared" si="111"/>
        <v>4.4343000000000004</v>
      </c>
      <c r="N108" s="151">
        <f t="shared" si="111"/>
        <v>4.8087000000000009</v>
      </c>
      <c r="O108" s="151">
        <f t="shared" si="111"/>
        <v>4.8555000000000001</v>
      </c>
      <c r="P108" s="151">
        <f t="shared" si="111"/>
        <v>3.0809999999999991</v>
      </c>
      <c r="Q108" s="151">
        <f>$B108*(Q90-Q$86-1.7)</f>
        <v>3.2760000000000011</v>
      </c>
      <c r="R108" s="131"/>
      <c r="S108" s="131"/>
      <c r="T108" s="132"/>
      <c r="U108" s="132"/>
      <c r="V108" s="132"/>
      <c r="W108" s="132"/>
      <c r="X108" s="132" t="e">
        <v>#REF!</v>
      </c>
      <c r="Y108" s="132"/>
      <c r="Z108" s="132"/>
      <c r="AA108" s="132"/>
      <c r="AB108" s="132"/>
      <c r="AC108" s="132"/>
      <c r="AD108" s="151">
        <f t="shared" si="112"/>
        <v>3.2743750000000009</v>
      </c>
      <c r="AE108" s="151">
        <f t="shared" si="112"/>
        <v>3.7394500000000006</v>
      </c>
      <c r="AF108" s="151"/>
      <c r="AG108" s="151">
        <f t="shared" si="112"/>
        <v>4.2181750000000005</v>
      </c>
      <c r="AH108" s="7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>
      <c r="B109" s="149">
        <v>0.12</v>
      </c>
      <c r="C109" s="149">
        <v>0.12</v>
      </c>
      <c r="D109" s="150"/>
      <c r="E109" s="150"/>
      <c r="F109" s="151">
        <f>$B$109*((F91/6.5)-(F$86-1.7))</f>
        <v>0.20399999999999999</v>
      </c>
      <c r="G109" s="151">
        <f>$B$109*((G91/6.5)-(G$86-1.7))</f>
        <v>-5.637637662992125</v>
      </c>
      <c r="H109" s="151">
        <f>$B$109*((H91/6.5)-(H$86-1.7))</f>
        <v>-4.8036857088208089</v>
      </c>
      <c r="I109" s="151">
        <f>$B$109*((I91/6.5)-(I$86-1.7))</f>
        <v>-4.5491414900060576</v>
      </c>
      <c r="J109" s="36"/>
      <c r="K109" s="151">
        <f t="shared" ref="K109:M109" si="113">$B$109*((K91/6.5)-(K$86-1.7))</f>
        <v>-0.88577076923076925</v>
      </c>
      <c r="L109" s="151">
        <f t="shared" si="113"/>
        <v>-0.88175538461538472</v>
      </c>
      <c r="M109" s="151">
        <f t="shared" si="113"/>
        <v>-0.90721384615384548</v>
      </c>
      <c r="N109" s="151">
        <f>$B$109*((N91/6.5)-(N$86-1.7))</f>
        <v>-0.73502076923076998</v>
      </c>
      <c r="O109" s="151">
        <f>$B$109*((O91/6.5)-(O$86-1.7))</f>
        <v>-0.58535384615384611</v>
      </c>
      <c r="P109" s="151">
        <f>$B$109*((P91/6.5)-(P$86-1.7))</f>
        <v>-0.22121538461538476</v>
      </c>
      <c r="Q109" s="151">
        <f>$B$109*((Q91/6.5)-(Q$86-1.7))</f>
        <v>-0.41024307692307688</v>
      </c>
      <c r="R109" s="131"/>
      <c r="S109" s="131"/>
      <c r="T109" s="132"/>
      <c r="U109" s="132"/>
      <c r="V109" s="132"/>
      <c r="W109" s="132"/>
      <c r="X109" s="132" t="e">
        <v>#REF!</v>
      </c>
      <c r="Y109" s="132"/>
      <c r="Z109" s="132"/>
      <c r="AA109" s="132"/>
      <c r="AB109" s="132"/>
      <c r="AC109" s="132"/>
      <c r="AD109" s="151">
        <f t="shared" ref="AD109:AG109" si="114">$B$109*((AD91/6.5)-(AD$86-1.7))</f>
        <v>-0.39130153846153831</v>
      </c>
      <c r="AE109" s="151">
        <f t="shared" si="114"/>
        <v>-0.61244230769230779</v>
      </c>
      <c r="AF109" s="151"/>
      <c r="AG109" s="151">
        <f t="shared" si="114"/>
        <v>-0.64231923076923125</v>
      </c>
      <c r="AH109" s="7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>
      <c r="B110" s="149">
        <v>0.03</v>
      </c>
      <c r="C110" s="149">
        <v>0.03</v>
      </c>
      <c r="D110" s="150"/>
      <c r="E110" s="150"/>
      <c r="F110" s="151">
        <f>$B110*(F93-F$86-1.7)</f>
        <v>-5.0999999999999997E-2</v>
      </c>
      <c r="G110" s="151">
        <f>$B110*(G93-G$86-1.7)</f>
        <v>-1.7363999999999999</v>
      </c>
      <c r="H110" s="151">
        <f>$B110*(H93-H$86-1.7)</f>
        <v>-1.4817236842105261</v>
      </c>
      <c r="I110" s="151">
        <f>$B110*(I93-I$86-1.7)</f>
        <v>-1.4122500000000002</v>
      </c>
      <c r="J110" s="36"/>
      <c r="K110" s="151">
        <f t="shared" ref="K110:M110" si="115">$B110*(K93-K$86-1.7)</f>
        <v>-1.5</v>
      </c>
      <c r="L110" s="151">
        <f t="shared" si="115"/>
        <v>-1.4565000000000001</v>
      </c>
      <c r="M110" s="151">
        <f t="shared" si="115"/>
        <v>-1.5100499999999999</v>
      </c>
      <c r="N110" s="151">
        <f>$B110*(N93-N$86-1.7)</f>
        <v>-1.4385000000000001</v>
      </c>
      <c r="O110" s="151">
        <f>$B110*(O93-O$86-1.7)</f>
        <v>-5.0999999999999997E-2</v>
      </c>
      <c r="P110" s="151">
        <f>$B110*(P93-P$86-1.7)</f>
        <v>-0.84749999999999992</v>
      </c>
      <c r="Q110" s="151">
        <f>$B110*(Q93-Q$86-1.7)</f>
        <v>-0.876</v>
      </c>
      <c r="R110" s="131"/>
      <c r="S110" s="131"/>
      <c r="T110" s="132"/>
      <c r="U110" s="132"/>
      <c r="V110" s="132"/>
      <c r="W110" s="132"/>
      <c r="X110" s="132" t="e">
        <v>#REF!</v>
      </c>
      <c r="Y110" s="132"/>
      <c r="Z110" s="132"/>
      <c r="AA110" s="132"/>
      <c r="AB110" s="132"/>
      <c r="AC110" s="132"/>
      <c r="AD110" s="151">
        <f t="shared" ref="AD110:AG110" si="116">$B110*(AD93-AD$86-1.7)</f>
        <v>-0.874</v>
      </c>
      <c r="AE110" s="151">
        <f t="shared" si="116"/>
        <v>-0.98475000000000001</v>
      </c>
      <c r="AF110" s="151"/>
      <c r="AG110" s="151">
        <f t="shared" si="116"/>
        <v>-1.2555000000000001</v>
      </c>
      <c r="AH110" s="7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>
      <c r="B111" s="149">
        <v>0.09</v>
      </c>
      <c r="C111" s="149">
        <v>0.09</v>
      </c>
      <c r="D111" s="150"/>
      <c r="E111" s="150"/>
      <c r="F111" s="151"/>
      <c r="G111" s="151"/>
      <c r="H111" s="151"/>
      <c r="I111" s="151"/>
      <c r="J111" s="36"/>
      <c r="K111" s="151"/>
      <c r="L111" s="151"/>
      <c r="M111" s="151"/>
      <c r="N111" s="151"/>
      <c r="O111" s="151"/>
      <c r="P111" s="151"/>
      <c r="Q111" s="151"/>
      <c r="R111" s="131"/>
      <c r="S111" s="131"/>
      <c r="T111" s="132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51"/>
      <c r="AE111" s="151"/>
      <c r="AF111" s="151"/>
      <c r="AG111" s="151"/>
      <c r="AH111" s="7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>
      <c r="B112" s="129"/>
      <c r="C112" s="129"/>
      <c r="D112" s="130"/>
      <c r="E112" s="130"/>
      <c r="F112" s="151">
        <f>SUM(F104:F110)</f>
        <v>-1.6879999999999999</v>
      </c>
      <c r="G112" s="151">
        <f>SUM(G104:G110)</f>
        <v>-1.2320026629921286</v>
      </c>
      <c r="H112" s="151">
        <f t="shared" ref="H112" si="117">SUM(H104:H110)</f>
        <v>-0.17026991934711599</v>
      </c>
      <c r="I112" s="151">
        <f>SUM(I104:I110)</f>
        <v>2.9612135099939429</v>
      </c>
      <c r="J112" s="36"/>
      <c r="K112" s="151" t="e">
        <f t="shared" ref="K112:M112" si="118">SUM(K104:K110)</f>
        <v>#REF!</v>
      </c>
      <c r="L112" s="151" t="e">
        <f t="shared" si="118"/>
        <v>#REF!</v>
      </c>
      <c r="M112" s="151">
        <f t="shared" si="118"/>
        <v>5.503136153846155</v>
      </c>
      <c r="N112" s="151">
        <f>SUM(N104:N110)</f>
        <v>6.2379292307692298</v>
      </c>
      <c r="O112" s="151">
        <f>SUM(O104:O110)</f>
        <v>8.3611461538461516</v>
      </c>
      <c r="P112" s="151">
        <f>SUM(P104:P110)</f>
        <v>6.6152846153846161</v>
      </c>
      <c r="Q112" s="151">
        <f t="shared" ref="Q112" si="119">SUM(Q104:Q110)</f>
        <v>6.3002569230769252</v>
      </c>
      <c r="R112" s="131"/>
      <c r="S112" s="131"/>
      <c r="T112" s="132"/>
      <c r="U112" s="132"/>
      <c r="V112" s="132"/>
      <c r="W112" s="132"/>
      <c r="X112" s="132" t="e">
        <v>#REF!</v>
      </c>
      <c r="Y112" s="132"/>
      <c r="Z112" s="132"/>
      <c r="AA112" s="132"/>
      <c r="AB112" s="132"/>
      <c r="AC112" s="132"/>
      <c r="AD112" s="151">
        <f t="shared" ref="AD112:AG112" si="120">SUM(AD104:AD110)</f>
        <v>6.2828651282051311</v>
      </c>
      <c r="AE112" s="151">
        <f t="shared" si="120"/>
        <v>6.0424576923076927</v>
      </c>
      <c r="AF112" s="151"/>
      <c r="AG112" s="151">
        <f t="shared" si="120"/>
        <v>5.8810141025641034</v>
      </c>
      <c r="AH112" s="7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H113" s="7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H114" s="7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H115" s="7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02"/>
      <c r="AH116" s="7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02"/>
      <c r="AH117" s="7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02"/>
      <c r="AH118" s="7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02"/>
      <c r="AH119" s="7"/>
    </row>
    <row r="120" spans="1:358">
      <c r="AH120" s="7"/>
    </row>
    <row r="121" spans="1:358">
      <c r="AH121" s="7"/>
    </row>
    <row r="122" spans="1:358">
      <c r="A122" s="199"/>
      <c r="AH122" s="7"/>
    </row>
    <row r="123" spans="1:358">
      <c r="A123" s="199"/>
      <c r="AH123" s="7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5"/>
      <c r="S124" s="5"/>
      <c r="T124" s="3"/>
      <c r="U124" s="3"/>
      <c r="V124" s="3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194"/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5"/>
      <c r="S125" s="5"/>
      <c r="T125" s="3"/>
      <c r="U125" s="3"/>
      <c r="V125" s="3"/>
      <c r="W125" s="3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194"/>
      <c r="B126" s="2"/>
      <c r="C126" s="2"/>
      <c r="F126" s="3"/>
      <c r="G126" s="3"/>
      <c r="H126" s="3"/>
      <c r="I126" s="3"/>
      <c r="J126" s="4"/>
      <c r="K126" s="3"/>
      <c r="L126" s="3"/>
      <c r="M126" s="3"/>
      <c r="N126" s="3"/>
      <c r="O126" s="3"/>
      <c r="P126" s="3"/>
      <c r="Q126" s="3"/>
      <c r="R126" s="5"/>
      <c r="S126" s="5"/>
      <c r="T126" s="3"/>
      <c r="U126" s="3"/>
      <c r="V126" s="3"/>
      <c r="W126" s="3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194"/>
      <c r="B127" s="2"/>
      <c r="C127" s="2"/>
      <c r="F127" s="3"/>
      <c r="G127" s="3"/>
      <c r="H127" s="3"/>
      <c r="I127" s="3"/>
      <c r="J127" s="4"/>
      <c r="K127" s="3"/>
      <c r="L127" s="3"/>
      <c r="M127" s="3"/>
      <c r="N127" s="3"/>
      <c r="O127" s="3"/>
      <c r="P127" s="3"/>
      <c r="Q127" s="3"/>
      <c r="R127" s="5"/>
      <c r="S127" s="5"/>
      <c r="T127" s="3"/>
      <c r="U127" s="3"/>
      <c r="V127" s="3"/>
      <c r="W127" s="3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194"/>
      <c r="B128" s="2"/>
      <c r="C128" s="2"/>
      <c r="F128" s="3"/>
      <c r="G128" s="3"/>
      <c r="H128" s="3"/>
      <c r="I128" s="3"/>
      <c r="J128" s="4"/>
      <c r="K128" s="3"/>
      <c r="L128" s="3"/>
      <c r="M128" s="3"/>
      <c r="N128" s="3"/>
      <c r="O128" s="3"/>
      <c r="P128" s="3"/>
      <c r="Q128" s="3"/>
      <c r="R128" s="5"/>
      <c r="S128" s="5"/>
      <c r="T128" s="3"/>
      <c r="U128" s="3"/>
      <c r="V128" s="3"/>
      <c r="W128" s="3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194"/>
      <c r="B129" s="2"/>
      <c r="C129" s="2"/>
      <c r="F129" s="3"/>
      <c r="G129" s="3"/>
      <c r="H129" s="3"/>
      <c r="I129" s="3"/>
      <c r="J129" s="4"/>
      <c r="K129" s="3"/>
      <c r="L129" s="3"/>
      <c r="M129" s="3"/>
      <c r="N129" s="3"/>
      <c r="O129" s="3"/>
      <c r="P129" s="3"/>
      <c r="Q129" s="3"/>
      <c r="R129" s="5"/>
      <c r="S129" s="5"/>
      <c r="T129" s="3"/>
      <c r="U129" s="3"/>
      <c r="V129" s="3"/>
      <c r="W129" s="3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194"/>
      <c r="B130" s="2"/>
      <c r="C130" s="2"/>
      <c r="F130" s="3"/>
      <c r="G130" s="3"/>
      <c r="H130" s="3"/>
      <c r="I130" s="3"/>
      <c r="J130" s="4"/>
      <c r="K130" s="3"/>
      <c r="L130" s="3"/>
      <c r="M130" s="3"/>
      <c r="N130" s="3"/>
      <c r="O130" s="3"/>
      <c r="P130" s="3"/>
      <c r="Q130" s="3"/>
      <c r="R130" s="5"/>
      <c r="S130" s="5"/>
      <c r="T130" s="3"/>
      <c r="U130" s="3"/>
      <c r="V130" s="3"/>
      <c r="W130" s="3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194"/>
      <c r="B131" s="2"/>
      <c r="C131" s="2"/>
      <c r="F131" s="3"/>
      <c r="G131" s="3"/>
      <c r="H131" s="3"/>
      <c r="I131" s="3"/>
      <c r="J131" s="4"/>
      <c r="K131" s="3"/>
      <c r="L131" s="3"/>
      <c r="M131" s="3"/>
      <c r="N131" s="3"/>
      <c r="O131" s="3"/>
      <c r="P131" s="3"/>
      <c r="Q131" s="3"/>
      <c r="R131" s="5"/>
      <c r="S131" s="5"/>
      <c r="T131" s="3"/>
      <c r="U131" s="3"/>
      <c r="V131" s="3"/>
      <c r="W131" s="3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194"/>
      <c r="B132" s="2"/>
      <c r="C132" s="2"/>
      <c r="F132" s="3"/>
      <c r="G132" s="3"/>
      <c r="H132" s="3"/>
      <c r="I132" s="3"/>
      <c r="J132" s="4"/>
      <c r="K132" s="3"/>
      <c r="L132" s="3"/>
      <c r="M132" s="3"/>
      <c r="N132" s="3"/>
      <c r="O132" s="3"/>
      <c r="P132" s="3"/>
      <c r="Q132" s="3"/>
      <c r="R132" s="5"/>
      <c r="S132" s="5"/>
      <c r="T132" s="3"/>
      <c r="U132" s="3"/>
      <c r="V132" s="3"/>
      <c r="W132" s="3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194"/>
      <c r="B133" s="2"/>
      <c r="C133" s="2"/>
      <c r="F133" s="3"/>
      <c r="G133" s="3"/>
      <c r="H133" s="3"/>
      <c r="I133" s="3"/>
      <c r="J133" s="4"/>
      <c r="K133" s="3"/>
      <c r="L133" s="3"/>
      <c r="M133" s="3"/>
      <c r="N133" s="3"/>
      <c r="O133" s="3"/>
      <c r="P133" s="3"/>
      <c r="Q133" s="3"/>
      <c r="R133" s="5"/>
      <c r="S133" s="5"/>
      <c r="T133" s="3"/>
      <c r="U133" s="3"/>
      <c r="V133" s="3"/>
      <c r="W133" s="3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194"/>
      <c r="B134" s="2"/>
      <c r="C134" s="2"/>
      <c r="F134" s="3"/>
      <c r="G134" s="3"/>
      <c r="H134" s="3"/>
      <c r="I134" s="3"/>
      <c r="J134" s="4"/>
      <c r="K134" s="3"/>
      <c r="L134" s="3"/>
      <c r="M134" s="3"/>
      <c r="N134" s="3"/>
      <c r="O134" s="3"/>
      <c r="P134" s="3"/>
      <c r="Q134" s="3"/>
      <c r="R134" s="5"/>
      <c r="S134" s="5"/>
      <c r="T134" s="3"/>
      <c r="U134" s="3"/>
      <c r="V134" s="3"/>
      <c r="W134" s="3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194"/>
      <c r="B135" s="2"/>
      <c r="C135" s="2"/>
      <c r="F135" s="3"/>
      <c r="G135" s="3"/>
      <c r="H135" s="3"/>
      <c r="I135" s="3"/>
      <c r="J135" s="4"/>
      <c r="K135" s="3"/>
      <c r="L135" s="3"/>
      <c r="M135" s="3"/>
      <c r="N135" s="3"/>
      <c r="O135" s="3"/>
      <c r="P135" s="3"/>
      <c r="Q135" s="3"/>
      <c r="R135" s="5"/>
      <c r="S135" s="5"/>
      <c r="T135" s="3"/>
      <c r="U135" s="3"/>
      <c r="V135" s="3"/>
      <c r="W135" s="3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5"/>
      <c r="S136" s="5"/>
      <c r="T136" s="3"/>
      <c r="U136" s="3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R52:R53"/>
    <mergeCell ref="R63:R64"/>
    <mergeCell ref="R74:R75"/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U74:U75"/>
    <mergeCell ref="V74:V75"/>
    <mergeCell ref="W74:W75"/>
    <mergeCell ref="X74:X75"/>
    <mergeCell ref="Y74:Y75"/>
    <mergeCell ref="Z74:Z75"/>
    <mergeCell ref="K74:K75"/>
    <mergeCell ref="N74:N75"/>
    <mergeCell ref="O74:O75"/>
    <mergeCell ref="V63:V64"/>
    <mergeCell ref="AF63:AF64"/>
    <mergeCell ref="AG63:AG64"/>
    <mergeCell ref="P74:P75"/>
    <mergeCell ref="Q74:Q75"/>
    <mergeCell ref="A66:C66"/>
    <mergeCell ref="E74:E75"/>
    <mergeCell ref="F74:F75"/>
    <mergeCell ref="G74:G75"/>
    <mergeCell ref="H74:H75"/>
    <mergeCell ref="I74:I75"/>
    <mergeCell ref="AC63:AC64"/>
    <mergeCell ref="AH63:AH64"/>
    <mergeCell ref="W63:W64"/>
    <mergeCell ref="X63:X64"/>
    <mergeCell ref="Y63:Y64"/>
    <mergeCell ref="Z63:Z64"/>
    <mergeCell ref="AA63:AA64"/>
    <mergeCell ref="AB63:AB64"/>
    <mergeCell ref="AG52:AG53"/>
    <mergeCell ref="AH52:AH53"/>
    <mergeCell ref="AB52:AB53"/>
    <mergeCell ref="AC52:AC53"/>
    <mergeCell ref="AD52:AD53"/>
    <mergeCell ref="AE52:AE53"/>
    <mergeCell ref="AF52:AF53"/>
    <mergeCell ref="AD63:AD64"/>
    <mergeCell ref="AE63:AE64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U52:U53"/>
    <mergeCell ref="V52:V53"/>
    <mergeCell ref="W52:W53"/>
    <mergeCell ref="X52:X53"/>
    <mergeCell ref="Y52:Y53"/>
    <mergeCell ref="Z52:Z53"/>
    <mergeCell ref="K52:K53"/>
    <mergeCell ref="N52:N53"/>
    <mergeCell ref="O52:O53"/>
    <mergeCell ref="P52:P53"/>
    <mergeCell ref="Q52:Q53"/>
    <mergeCell ref="O63:O64"/>
    <mergeCell ref="P63:P64"/>
    <mergeCell ref="Q63:Q64"/>
    <mergeCell ref="U63:U64"/>
    <mergeCell ref="A42:C42"/>
    <mergeCell ref="E52:E53"/>
    <mergeCell ref="F52:F53"/>
    <mergeCell ref="G52:G53"/>
    <mergeCell ref="H52:H53"/>
    <mergeCell ref="I52:I53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U28:U29"/>
    <mergeCell ref="V28:V29"/>
    <mergeCell ref="W39:W40"/>
    <mergeCell ref="X39:X40"/>
    <mergeCell ref="Y39:Y40"/>
    <mergeCell ref="Z39:Z40"/>
    <mergeCell ref="AA39:AA40"/>
    <mergeCell ref="O39:O40"/>
    <mergeCell ref="P39:P40"/>
    <mergeCell ref="Q39:Q40"/>
    <mergeCell ref="U39:U40"/>
    <mergeCell ref="V39:V40"/>
    <mergeCell ref="R28:R29"/>
    <mergeCell ref="R39:R40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U17:U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R17:R18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P5:P6"/>
    <mergeCell ref="Q5:Q6"/>
    <mergeCell ref="U5:U6"/>
    <mergeCell ref="E5:E6"/>
    <mergeCell ref="F5:F6"/>
    <mergeCell ref="G5:G6"/>
    <mergeCell ref="H5:H6"/>
    <mergeCell ref="I5:I6"/>
    <mergeCell ref="K5:K6"/>
    <mergeCell ref="R5:R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T136"/>
  <sheetViews>
    <sheetView topLeftCell="A4" zoomScale="80" zoomScaleNormal="80" workbookViewId="0">
      <pane xSplit="15" ySplit="3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08984375" defaultRowHeight="21" outlineLevelRow="1" outlineLevelCol="1"/>
  <cols>
    <col min="1" max="1" width="18.1796875" style="194" customWidth="1"/>
    <col min="2" max="2" width="24.90625" style="2" hidden="1" customWidth="1"/>
    <col min="3" max="3" width="21.36328125" style="2" hidden="1" customWidth="1"/>
    <col min="4" max="4" width="13.453125" style="1" hidden="1" customWidth="1"/>
    <col min="5" max="5" width="10.36328125" style="1" hidden="1" customWidth="1"/>
    <col min="6" max="9" width="11.08984375" style="3" hidden="1" customWidth="1"/>
    <col min="10" max="10" width="31.90625" style="4" hidden="1" customWidth="1"/>
    <col min="11" max="14" width="11.08984375" style="3" hidden="1" customWidth="1"/>
    <col min="15" max="15" width="15.453125" style="3" hidden="1" customWidth="1"/>
    <col min="16" max="16" width="10.08984375" style="3" customWidth="1"/>
    <col min="17" max="17" width="9.1796875" style="3" customWidth="1"/>
    <col min="18" max="18" width="9.90625" style="3" customWidth="1"/>
    <col min="19" max="20" width="15.7265625" style="5" hidden="1" customWidth="1" outlineLevel="1"/>
    <col min="21" max="21" width="10" style="3" customWidth="1" collapsed="1"/>
    <col min="22" max="23" width="9.08984375" style="3" customWidth="1"/>
    <col min="24" max="29" width="9.08984375" style="6" customWidth="1"/>
    <col min="30" max="30" width="8.7265625" style="6" hidden="1" customWidth="1" outlineLevel="1"/>
    <col min="31" max="33" width="9.1796875" style="6" hidden="1" customWidth="1" outlineLevel="1"/>
    <col min="34" max="34" width="8.7265625" style="153" hidden="1" customWidth="1" outlineLevel="1"/>
    <col min="35" max="35" width="10.08984375" style="7" bestFit="1" customWidth="1" collapsed="1"/>
    <col min="36" max="358" width="9.08984375" style="7"/>
    <col min="359" max="16384" width="9.0898437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2"/>
      <c r="T2" s="12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7"/>
      <c r="T3" s="17"/>
      <c r="U3" s="14"/>
      <c r="V3" s="14"/>
      <c r="W3" s="14"/>
      <c r="AH3" s="7"/>
    </row>
    <row r="4" spans="1:358" ht="15.75" customHeight="1" thickBot="1">
      <c r="AH4" s="7"/>
    </row>
    <row r="5" spans="1:358" ht="21" customHeight="1">
      <c r="A5" s="231"/>
      <c r="B5" s="26" t="s">
        <v>1</v>
      </c>
      <c r="C5" s="26" t="s">
        <v>2</v>
      </c>
      <c r="D5" s="27"/>
      <c r="E5" s="678" t="s">
        <v>3</v>
      </c>
      <c r="F5" s="673" t="s">
        <v>4</v>
      </c>
      <c r="G5" s="673" t="s">
        <v>5</v>
      </c>
      <c r="H5" s="680" t="s">
        <v>6</v>
      </c>
      <c r="I5" s="673" t="s">
        <v>7</v>
      </c>
      <c r="J5" s="28" t="s">
        <v>2</v>
      </c>
      <c r="K5" s="673" t="s">
        <v>8</v>
      </c>
      <c r="L5" s="250" t="s">
        <v>9</v>
      </c>
      <c r="M5" s="250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29" t="s">
        <v>10</v>
      </c>
      <c r="T5" s="30" t="s">
        <v>11</v>
      </c>
      <c r="U5" s="673" t="s">
        <v>64</v>
      </c>
      <c r="V5" s="673" t="s">
        <v>65</v>
      </c>
      <c r="W5" s="673" t="s">
        <v>66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73" t="s">
        <v>78</v>
      </c>
      <c r="AD5" s="688" t="s">
        <v>79</v>
      </c>
      <c r="AE5" s="688" t="s">
        <v>80</v>
      </c>
      <c r="AF5" s="688" t="s">
        <v>81</v>
      </c>
      <c r="AG5" s="690" t="s">
        <v>82</v>
      </c>
      <c r="AH5" s="685">
        <v>2016</v>
      </c>
      <c r="AI5" s="687" t="s">
        <v>93</v>
      </c>
    </row>
    <row r="6" spans="1:358" ht="18.75" customHeight="1" thickBot="1">
      <c r="A6" s="232"/>
      <c r="B6" s="32" t="s">
        <v>18</v>
      </c>
      <c r="C6" s="32"/>
      <c r="D6" s="27"/>
      <c r="E6" s="679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187">
        <v>42430</v>
      </c>
      <c r="T6" s="188">
        <v>42461</v>
      </c>
      <c r="U6" s="674"/>
      <c r="V6" s="674"/>
      <c r="W6" s="674"/>
      <c r="X6" s="674"/>
      <c r="Y6" s="674"/>
      <c r="Z6" s="674"/>
      <c r="AA6" s="674"/>
      <c r="AB6" s="674"/>
      <c r="AC6" s="674"/>
      <c r="AD6" s="689"/>
      <c r="AE6" s="689"/>
      <c r="AF6" s="689"/>
      <c r="AG6" s="691"/>
      <c r="AH6" s="686"/>
      <c r="AI6" s="687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2"/>
      <c r="T7" s="22"/>
      <c r="U7" s="24"/>
      <c r="V7" s="24"/>
      <c r="W7" s="24"/>
      <c r="X7" s="24"/>
      <c r="Y7" s="23"/>
      <c r="Z7" s="24"/>
      <c r="AA7" s="24"/>
      <c r="AB7" s="24"/>
      <c r="AC7" s="23"/>
      <c r="AD7" s="24"/>
      <c r="AE7" s="24"/>
      <c r="AF7" s="24"/>
      <c r="AG7" s="24"/>
      <c r="AH7" s="238"/>
      <c r="AI7" s="251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214"/>
      <c r="T8" s="215"/>
      <c r="U8" s="39"/>
      <c r="V8" s="39"/>
      <c r="W8" s="39"/>
      <c r="X8" s="39"/>
      <c r="Y8" s="38"/>
      <c r="Z8" s="38"/>
      <c r="AA8" s="38"/>
      <c r="AB8" s="38"/>
      <c r="AC8" s="38"/>
      <c r="AD8" s="248"/>
      <c r="AE8" s="248"/>
      <c r="AF8" s="248"/>
      <c r="AG8" s="249"/>
      <c r="AH8" s="239"/>
    </row>
    <row r="9" spans="1:358" s="46" customFormat="1" ht="18.75" hidden="1" customHeight="1" outlineLevel="1">
      <c r="A9" s="681"/>
      <c r="B9" s="682"/>
      <c r="C9" s="682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16"/>
      <c r="T9" s="217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33"/>
      <c r="AH9" s="240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181">
        <v>28</v>
      </c>
      <c r="R10" s="189">
        <v>29</v>
      </c>
      <c r="S10" s="185"/>
      <c r="T10" s="180"/>
      <c r="U10" s="189">
        <v>30.5</v>
      </c>
      <c r="V10" s="189">
        <v>31</v>
      </c>
      <c r="W10" s="189">
        <v>32</v>
      </c>
      <c r="X10" s="189">
        <v>33</v>
      </c>
      <c r="Y10" s="189">
        <v>34</v>
      </c>
      <c r="Z10" s="189">
        <v>35.5</v>
      </c>
      <c r="AA10" s="189">
        <v>37</v>
      </c>
      <c r="AB10" s="189">
        <v>38.5</v>
      </c>
      <c r="AC10" s="189">
        <v>40</v>
      </c>
      <c r="AD10" s="246">
        <f>AVERAGE(P10:R10)</f>
        <v>27.936666666666667</v>
      </c>
      <c r="AE10" s="246">
        <f>AVERAGE(U10:W10)</f>
        <v>31.166666666666668</v>
      </c>
      <c r="AF10" s="246">
        <f>AVERAGE(X10:Z10)</f>
        <v>34.166666666666664</v>
      </c>
      <c r="AG10" s="247">
        <f>AVERAGE(AA10:AC10)</f>
        <v>38.5</v>
      </c>
      <c r="AH10" s="241">
        <f>AVERAGE(P10:AC10)</f>
        <v>32.942500000000003</v>
      </c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183">
        <v>29</v>
      </c>
      <c r="R11" s="183">
        <v>28</v>
      </c>
      <c r="S11" s="185"/>
      <c r="T11" s="186"/>
      <c r="U11" s="183">
        <v>28.5</v>
      </c>
      <c r="V11" s="183">
        <v>29.5</v>
      </c>
      <c r="W11" s="183">
        <v>30</v>
      </c>
      <c r="X11" s="183">
        <v>33</v>
      </c>
      <c r="Y11" s="183">
        <v>35.5</v>
      </c>
      <c r="Z11" s="183">
        <v>36</v>
      </c>
      <c r="AA11" s="183">
        <v>38</v>
      </c>
      <c r="AB11" s="183">
        <v>38.299999999999997</v>
      </c>
      <c r="AC11" s="183">
        <v>40</v>
      </c>
      <c r="AD11" s="246">
        <f t="shared" ref="AD11:AD12" si="1">AVERAGE(P11:R11)</f>
        <v>27.936666666666667</v>
      </c>
      <c r="AE11" s="246">
        <f t="shared" ref="AE11:AE13" si="2">AVERAGE(U11:W11)</f>
        <v>29.333333333333332</v>
      </c>
      <c r="AF11" s="246">
        <f t="shared" ref="AF11:AF13" si="3">AVERAGE(X11:Z11)</f>
        <v>34.833333333333336</v>
      </c>
      <c r="AG11" s="247">
        <f t="shared" ref="AG11:AG13" si="4">AVERAGE(AA11:AC11)</f>
        <v>38.766666666666666</v>
      </c>
      <c r="AH11" s="241">
        <f>AVERAGE(P11:AC11)</f>
        <v>32.717500000000001</v>
      </c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189">
        <v>29</v>
      </c>
      <c r="R12" s="189">
        <v>32</v>
      </c>
      <c r="S12" s="185" t="s">
        <v>94</v>
      </c>
      <c r="T12" s="180" t="s">
        <v>94</v>
      </c>
      <c r="U12" s="183">
        <v>35</v>
      </c>
      <c r="V12" s="183">
        <v>35</v>
      </c>
      <c r="W12" s="183">
        <v>35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189">
        <v>40</v>
      </c>
      <c r="AD12" s="246">
        <f t="shared" si="1"/>
        <v>29.27</v>
      </c>
      <c r="AE12" s="246">
        <f t="shared" si="2"/>
        <v>35</v>
      </c>
      <c r="AF12" s="246">
        <f t="shared" si="3"/>
        <v>37</v>
      </c>
      <c r="AG12" s="247">
        <f t="shared" si="4"/>
        <v>40</v>
      </c>
      <c r="AH12" s="241">
        <f>AVERAGE(P12:AC12)</f>
        <v>35.317500000000003</v>
      </c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189">
        <v>28</v>
      </c>
      <c r="R13" s="189">
        <v>29</v>
      </c>
      <c r="S13" s="226" t="s">
        <v>137</v>
      </c>
      <c r="T13" s="225" t="s">
        <v>138</v>
      </c>
      <c r="U13" s="189">
        <v>30.5</v>
      </c>
      <c r="V13" s="189">
        <v>32</v>
      </c>
      <c r="W13" s="189">
        <v>35</v>
      </c>
      <c r="X13" s="189">
        <v>37</v>
      </c>
      <c r="Y13" s="189">
        <v>37.5</v>
      </c>
      <c r="Z13" s="189">
        <v>38</v>
      </c>
      <c r="AA13" s="189">
        <v>40</v>
      </c>
      <c r="AB13" s="189">
        <v>41</v>
      </c>
      <c r="AC13" s="189">
        <v>44</v>
      </c>
      <c r="AD13" s="246">
        <f>AVERAGE(P13:R13)</f>
        <v>27.936666666666667</v>
      </c>
      <c r="AE13" s="246">
        <f t="shared" si="2"/>
        <v>32.5</v>
      </c>
      <c r="AF13" s="246">
        <f t="shared" si="3"/>
        <v>37.5</v>
      </c>
      <c r="AG13" s="247">
        <f t="shared" si="4"/>
        <v>41.666666666666664</v>
      </c>
      <c r="AH13" s="241">
        <f>AVERAGE(P13:AC13)</f>
        <v>34.900833333333331</v>
      </c>
    </row>
    <row r="14" spans="1:358" s="62" customFormat="1" ht="19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5">AVERAGE(J10:J13)</f>
        <v>#DIV/0!</v>
      </c>
      <c r="K14" s="59">
        <f t="shared" si="5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6">AVERAGE(O10:O13)</f>
        <v>37</v>
      </c>
      <c r="P14" s="59">
        <f>AVERAGE(P10:P13)</f>
        <v>26.81</v>
      </c>
      <c r="Q14" s="59">
        <f>AVERAGE(Q10:Q13)</f>
        <v>28.5</v>
      </c>
      <c r="R14" s="59">
        <f>AVERAGE(R10:R13)</f>
        <v>29.5</v>
      </c>
      <c r="S14" s="60"/>
      <c r="T14" s="60"/>
      <c r="U14" s="59">
        <f>AVERAGE(U10:U13)</f>
        <v>31.125</v>
      </c>
      <c r="V14" s="59">
        <f t="shared" ref="V14:AC14" si="7">AVERAGE(V10:V13)</f>
        <v>31.875</v>
      </c>
      <c r="W14" s="59">
        <f t="shared" si="7"/>
        <v>33</v>
      </c>
      <c r="X14" s="59">
        <f t="shared" si="7"/>
        <v>35</v>
      </c>
      <c r="Y14" s="59">
        <f t="shared" si="7"/>
        <v>36</v>
      </c>
      <c r="Z14" s="59">
        <f t="shared" si="7"/>
        <v>36.625</v>
      </c>
      <c r="AA14" s="59">
        <f t="shared" si="7"/>
        <v>38.75</v>
      </c>
      <c r="AB14" s="59">
        <f t="shared" si="7"/>
        <v>39.450000000000003</v>
      </c>
      <c r="AC14" s="59">
        <f t="shared" si="7"/>
        <v>41</v>
      </c>
      <c r="AD14" s="59">
        <f>AVERAGE(AD10:AD13)</f>
        <v>28.27</v>
      </c>
      <c r="AE14" s="59">
        <f t="shared" ref="AE14" si="8">AVERAGE(AE10:AE13)</f>
        <v>32</v>
      </c>
      <c r="AF14" s="59">
        <f>AVERAGE(AF10:AF13)</f>
        <v>35.875</v>
      </c>
      <c r="AG14" s="234">
        <f>AVERAGE(AG10:AG13)</f>
        <v>39.733333333333334</v>
      </c>
      <c r="AH14" s="242">
        <f>AVERAGE(AH10:AH13)</f>
        <v>33.969583333333333</v>
      </c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:AC15" si="9">Q14</f>
        <v>28.5</v>
      </c>
      <c r="R15" s="164">
        <v>29</v>
      </c>
      <c r="S15" s="164"/>
      <c r="T15" s="164"/>
      <c r="U15" s="164">
        <v>30</v>
      </c>
      <c r="V15" s="164">
        <v>31.1</v>
      </c>
      <c r="W15" s="164">
        <v>31.5</v>
      </c>
      <c r="X15" s="164">
        <v>33</v>
      </c>
      <c r="Y15" s="164">
        <v>34.85</v>
      </c>
      <c r="Z15" s="164">
        <f>Z14</f>
        <v>36.625</v>
      </c>
      <c r="AA15" s="164">
        <f t="shared" si="9"/>
        <v>38.75</v>
      </c>
      <c r="AB15" s="164">
        <f t="shared" si="9"/>
        <v>39.450000000000003</v>
      </c>
      <c r="AC15" s="164">
        <f t="shared" si="9"/>
        <v>41</v>
      </c>
      <c r="AD15" s="164">
        <f>AVERAGE(P15:R15)</f>
        <v>28.103333333333335</v>
      </c>
      <c r="AE15" s="164">
        <f>AVERAGE(U15:W15)</f>
        <v>30.866666666666664</v>
      </c>
      <c r="AF15" s="164">
        <f>AVERAGE(X15:Z15)</f>
        <v>34.824999999999996</v>
      </c>
      <c r="AG15" s="229">
        <f>AVERAGE(AA15:AC15)</f>
        <v>39.733333333333334</v>
      </c>
      <c r="AH15" s="243">
        <f>AVERAGE(P15:R15,U15:AC15)</f>
        <v>33.382083333333334</v>
      </c>
      <c r="AI15" s="251">
        <v>54</v>
      </c>
      <c r="AJ15" s="179"/>
      <c r="AK15" s="179"/>
    </row>
    <row r="16" spans="1:358" ht="21.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67"/>
      <c r="T16" s="67"/>
      <c r="U16" s="24"/>
      <c r="V16" s="24"/>
      <c r="W16" s="24"/>
      <c r="X16" s="24"/>
      <c r="Y16" s="23"/>
      <c r="Z16" s="23"/>
      <c r="AA16" s="23"/>
      <c r="AB16" s="23"/>
      <c r="AC16" s="23"/>
      <c r="AD16" s="23"/>
      <c r="AE16" s="23"/>
      <c r="AF16" s="23"/>
      <c r="AG16" s="24"/>
      <c r="AH16" s="238"/>
      <c r="AI16" s="251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673" t="s">
        <v>3</v>
      </c>
      <c r="F17" s="673" t="s">
        <v>4</v>
      </c>
      <c r="G17" s="673" t="s">
        <v>5</v>
      </c>
      <c r="H17" s="673" t="s">
        <v>6</v>
      </c>
      <c r="I17" s="673" t="s">
        <v>7</v>
      </c>
      <c r="J17" s="28" t="s">
        <v>2</v>
      </c>
      <c r="K17" s="673" t="s">
        <v>8</v>
      </c>
      <c r="L17" s="250" t="s">
        <v>9</v>
      </c>
      <c r="M17" s="250" t="s">
        <v>9</v>
      </c>
      <c r="N17" s="673" t="s">
        <v>12</v>
      </c>
      <c r="O17" s="673" t="s">
        <v>13</v>
      </c>
      <c r="P17" s="673" t="s">
        <v>14</v>
      </c>
      <c r="Q17" s="673" t="s">
        <v>15</v>
      </c>
      <c r="R17" s="673" t="s">
        <v>16</v>
      </c>
      <c r="S17" s="29" t="s">
        <v>10</v>
      </c>
      <c r="T17" s="30" t="s">
        <v>11</v>
      </c>
      <c r="U17" s="673" t="s">
        <v>64</v>
      </c>
      <c r="V17" s="673" t="s">
        <v>65</v>
      </c>
      <c r="W17" s="673" t="s">
        <v>66</v>
      </c>
      <c r="X17" s="673" t="s">
        <v>67</v>
      </c>
      <c r="Y17" s="673" t="s">
        <v>68</v>
      </c>
      <c r="Z17" s="673" t="s">
        <v>69</v>
      </c>
      <c r="AA17" s="673" t="s">
        <v>70</v>
      </c>
      <c r="AB17" s="673" t="s">
        <v>77</v>
      </c>
      <c r="AC17" s="673" t="s">
        <v>78</v>
      </c>
      <c r="AD17" s="688" t="s">
        <v>79</v>
      </c>
      <c r="AE17" s="688" t="s">
        <v>80</v>
      </c>
      <c r="AF17" s="688" t="s">
        <v>81</v>
      </c>
      <c r="AG17" s="690" t="s">
        <v>82</v>
      </c>
      <c r="AH17" s="692">
        <v>2016</v>
      </c>
      <c r="AI17" s="251"/>
    </row>
    <row r="18" spans="1:358" ht="16.5" hidden="1" customHeight="1" outlineLevel="1">
      <c r="A18" s="232"/>
      <c r="B18" s="68"/>
      <c r="C18" s="68"/>
      <c r="D18" s="27"/>
      <c r="E18" s="674"/>
      <c r="F18" s="674"/>
      <c r="G18" s="674"/>
      <c r="H18" s="674"/>
      <c r="I18" s="674"/>
      <c r="J18" s="69" t="str">
        <f>$J$6</f>
        <v>(8-12 Jun)</v>
      </c>
      <c r="K18" s="674"/>
      <c r="L18" s="33" t="s">
        <v>20</v>
      </c>
      <c r="M18" s="33" t="s">
        <v>63</v>
      </c>
      <c r="N18" s="674"/>
      <c r="O18" s="674"/>
      <c r="P18" s="674"/>
      <c r="Q18" s="674"/>
      <c r="R18" s="674"/>
      <c r="S18" s="187">
        <v>42430</v>
      </c>
      <c r="T18" s="188">
        <v>42461</v>
      </c>
      <c r="U18" s="674"/>
      <c r="V18" s="674"/>
      <c r="W18" s="674"/>
      <c r="X18" s="674"/>
      <c r="Y18" s="674"/>
      <c r="Z18" s="674"/>
      <c r="AA18" s="674"/>
      <c r="AB18" s="674"/>
      <c r="AC18" s="674"/>
      <c r="AD18" s="689"/>
      <c r="AE18" s="689"/>
      <c r="AF18" s="689"/>
      <c r="AG18" s="691"/>
      <c r="AH18" s="686"/>
      <c r="AI18" s="251"/>
    </row>
    <row r="19" spans="1:358" hidden="1" outlineLevel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73"/>
      <c r="T19" s="73"/>
      <c r="U19" s="39"/>
      <c r="V19" s="39"/>
      <c r="W19" s="39"/>
      <c r="X19" s="39"/>
      <c r="Y19" s="38"/>
      <c r="Z19" s="38"/>
      <c r="AA19" s="38"/>
      <c r="AB19" s="38"/>
      <c r="AC19" s="38"/>
      <c r="AD19" s="248"/>
      <c r="AE19" s="248"/>
      <c r="AF19" s="248"/>
      <c r="AG19" s="249"/>
      <c r="AH19" s="239"/>
      <c r="AI19" s="251"/>
    </row>
    <row r="20" spans="1:358" s="77" customFormat="1" ht="21" hidden="1" customHeight="1" outlineLevel="1">
      <c r="A20" s="675"/>
      <c r="B20" s="676"/>
      <c r="C20" s="676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216"/>
      <c r="T20" s="217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235"/>
      <c r="AH20" s="240"/>
      <c r="AI20" s="251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9.7899999999999991</v>
      </c>
      <c r="Q21" s="189">
        <v>4.5</v>
      </c>
      <c r="R21" s="189">
        <v>4</v>
      </c>
      <c r="S21" s="185"/>
      <c r="T21" s="186"/>
      <c r="U21" s="189">
        <v>3</v>
      </c>
      <c r="V21" s="189">
        <v>3.5</v>
      </c>
      <c r="W21" s="189">
        <v>3.5</v>
      </c>
      <c r="X21" s="189">
        <v>3</v>
      </c>
      <c r="Y21" s="189">
        <v>2</v>
      </c>
      <c r="Z21" s="189">
        <v>1</v>
      </c>
      <c r="AA21" s="189">
        <v>1.5</v>
      </c>
      <c r="AB21" s="189">
        <v>2.5</v>
      </c>
      <c r="AC21" s="189">
        <v>3</v>
      </c>
      <c r="AD21" s="246">
        <f t="shared" ref="AD21:AD23" si="10">AVERAGE(P21:R21)</f>
        <v>6.0966666666666667</v>
      </c>
      <c r="AE21" s="246">
        <f>AVERAGE(U21:W21)</f>
        <v>3.3333333333333335</v>
      </c>
      <c r="AF21" s="246">
        <f>AVERAGE(X21:Z21)</f>
        <v>2</v>
      </c>
      <c r="AG21" s="247">
        <f>AVERAGE(AA21:AC21)</f>
        <v>2.3333333333333335</v>
      </c>
      <c r="AH21" s="241">
        <f>AVERAGE(P21:AC21)</f>
        <v>3.4408333333333334</v>
      </c>
      <c r="AI21" s="251"/>
    </row>
    <row r="22" spans="1:358" ht="66" hidden="1" customHeight="1" outlineLevel="1">
      <c r="A22" s="47" t="s">
        <v>24</v>
      </c>
      <c r="B22" s="48">
        <f t="shared" ref="B22" si="11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9.7899999999999991</v>
      </c>
      <c r="Q22" s="183">
        <v>5</v>
      </c>
      <c r="R22" s="183">
        <v>4.5</v>
      </c>
      <c r="S22" s="185"/>
      <c r="T22" s="186"/>
      <c r="U22" s="183">
        <v>5</v>
      </c>
      <c r="V22" s="183">
        <v>5.5</v>
      </c>
      <c r="W22" s="183">
        <v>5</v>
      </c>
      <c r="X22" s="183">
        <v>5</v>
      </c>
      <c r="Y22" s="183">
        <v>4</v>
      </c>
      <c r="Z22" s="183">
        <v>4</v>
      </c>
      <c r="AA22" s="183">
        <v>4</v>
      </c>
      <c r="AB22" s="183">
        <v>4.5</v>
      </c>
      <c r="AC22" s="183">
        <v>4.5</v>
      </c>
      <c r="AD22" s="246">
        <f t="shared" si="10"/>
        <v>6.43</v>
      </c>
      <c r="AE22" s="246">
        <f>AVERAGE(U22:W22)</f>
        <v>5.166666666666667</v>
      </c>
      <c r="AF22" s="246">
        <f t="shared" ref="AF22:AF24" si="12">AVERAGE(X22:Z22)</f>
        <v>4.333333333333333</v>
      </c>
      <c r="AG22" s="247">
        <f t="shared" ref="AG22:AG24" si="13">AVERAGE(AA22:AC22)</f>
        <v>4.333333333333333</v>
      </c>
      <c r="AH22" s="241">
        <f>AVERAGE(P22:AC22)</f>
        <v>5.065833333333333</v>
      </c>
      <c r="AI22" s="251"/>
    </row>
    <row r="23" spans="1:358" ht="62.25" hidden="1" customHeight="1" outlineLevel="1">
      <c r="A23" s="47" t="s">
        <v>25</v>
      </c>
      <c r="B23" s="78">
        <f t="shared" ref="B23" si="14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9.7899999999999991</v>
      </c>
      <c r="Q23" s="189">
        <v>5</v>
      </c>
      <c r="R23" s="189">
        <v>5</v>
      </c>
      <c r="S23" s="185" t="s">
        <v>30</v>
      </c>
      <c r="T23" s="186" t="s">
        <v>30</v>
      </c>
      <c r="U23" s="189">
        <v>5</v>
      </c>
      <c r="V23" s="189">
        <v>5</v>
      </c>
      <c r="W23" s="189">
        <v>5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189">
        <v>4</v>
      </c>
      <c r="AD23" s="246">
        <f t="shared" si="10"/>
        <v>6.5966666666666667</v>
      </c>
      <c r="AE23" s="246">
        <f>AVERAGE(U23:W23)</f>
        <v>5</v>
      </c>
      <c r="AF23" s="246">
        <f t="shared" si="12"/>
        <v>4.5</v>
      </c>
      <c r="AG23" s="247">
        <f t="shared" si="13"/>
        <v>4</v>
      </c>
      <c r="AH23" s="241">
        <f>AVERAGE(P23:AC23)</f>
        <v>5.0241666666666669</v>
      </c>
      <c r="AI23" s="251"/>
    </row>
    <row r="24" spans="1:358" ht="66" hidden="1" customHeight="1" outlineLevel="1" thickBot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9.7899999999999991</v>
      </c>
      <c r="Q24" s="189">
        <v>5.29</v>
      </c>
      <c r="R24" s="189">
        <v>5.0999999999999996</v>
      </c>
      <c r="S24" s="185" t="s">
        <v>139</v>
      </c>
      <c r="T24" s="186" t="s">
        <v>140</v>
      </c>
      <c r="U24" s="189">
        <v>4.3</v>
      </c>
      <c r="V24" s="189">
        <v>4.2</v>
      </c>
      <c r="W24" s="189">
        <v>3.9</v>
      </c>
      <c r="X24" s="189">
        <v>3.9</v>
      </c>
      <c r="Y24" s="189">
        <v>3.9</v>
      </c>
      <c r="Z24" s="189">
        <v>3.3</v>
      </c>
      <c r="AA24" s="189">
        <v>3</v>
      </c>
      <c r="AB24" s="189">
        <v>3.5</v>
      </c>
      <c r="AC24" s="189">
        <v>4.2</v>
      </c>
      <c r="AD24" s="246">
        <f>AVERAGE(P24:R24)</f>
        <v>6.7266666666666666</v>
      </c>
      <c r="AE24" s="246">
        <f t="shared" ref="AE24" si="15">AVERAGE(U24:W24)</f>
        <v>4.1333333333333337</v>
      </c>
      <c r="AF24" s="246">
        <f t="shared" si="12"/>
        <v>3.6999999999999997</v>
      </c>
      <c r="AG24" s="247">
        <f t="shared" si="13"/>
        <v>3.5666666666666664</v>
      </c>
      <c r="AH24" s="241">
        <f>AVERAGE(P24:AC24)</f>
        <v>4.5316666666666663</v>
      </c>
      <c r="AI24" s="251"/>
    </row>
    <row r="25" spans="1:358" ht="26.25" hidden="1" customHeight="1" outlineLevel="1" thickBot="1">
      <c r="A25" s="245" t="s">
        <v>75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9.7899999999999991</v>
      </c>
      <c r="Q25" s="59">
        <f>AVERAGE(Q21:Q24)</f>
        <v>4.9474999999999998</v>
      </c>
      <c r="R25" s="59">
        <f t="shared" ref="R25" si="16">AVERAGE(R21:R24)</f>
        <v>4.6500000000000004</v>
      </c>
      <c r="S25" s="59"/>
      <c r="T25" s="59"/>
      <c r="U25" s="59">
        <f>AVERAGE(U21:U24)</f>
        <v>4.3250000000000002</v>
      </c>
      <c r="V25" s="59">
        <f t="shared" ref="V25:AC25" si="17">AVERAGE(V21:V24)</f>
        <v>4.55</v>
      </c>
      <c r="W25" s="59">
        <f t="shared" si="17"/>
        <v>4.3499999999999996</v>
      </c>
      <c r="X25" s="59">
        <f t="shared" si="17"/>
        <v>4.0999999999999996</v>
      </c>
      <c r="Y25" s="59">
        <f t="shared" si="17"/>
        <v>3.6</v>
      </c>
      <c r="Z25" s="59">
        <f t="shared" si="17"/>
        <v>3.2</v>
      </c>
      <c r="AA25" s="59">
        <f t="shared" si="17"/>
        <v>3.125</v>
      </c>
      <c r="AB25" s="59">
        <f t="shared" si="17"/>
        <v>3.625</v>
      </c>
      <c r="AC25" s="59">
        <f t="shared" si="17"/>
        <v>3.9249999999999998</v>
      </c>
      <c r="AD25" s="59">
        <f>AVERAGE(AD21:AD24)</f>
        <v>6.4625000000000004</v>
      </c>
      <c r="AE25" s="59">
        <f>AVERAGE(AE21:AE24)</f>
        <v>4.4083333333333332</v>
      </c>
      <c r="AF25" s="59">
        <f t="shared" ref="AF25:AG25" si="18">AVERAGE(AF21:AF24)</f>
        <v>3.6333333333333329</v>
      </c>
      <c r="AG25" s="234">
        <f t="shared" si="18"/>
        <v>3.5583333333333331</v>
      </c>
      <c r="AH25" s="242">
        <f>AVERAGE(AH21:AH24)</f>
        <v>4.515625</v>
      </c>
      <c r="AI25" s="251"/>
    </row>
    <row r="26" spans="1:358" ht="19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9.7899999999999991</v>
      </c>
      <c r="Q26" s="164">
        <f t="shared" ref="Q26:AC26" si="19">Q25</f>
        <v>4.9474999999999998</v>
      </c>
      <c r="R26" s="164">
        <f t="shared" si="19"/>
        <v>4.6500000000000004</v>
      </c>
      <c r="S26" s="164"/>
      <c r="T26" s="164"/>
      <c r="U26" s="164">
        <f t="shared" si="19"/>
        <v>4.3250000000000002</v>
      </c>
      <c r="V26" s="164">
        <f t="shared" si="19"/>
        <v>4.55</v>
      </c>
      <c r="W26" s="164">
        <f t="shared" si="19"/>
        <v>4.3499999999999996</v>
      </c>
      <c r="X26" s="164">
        <f t="shared" si="19"/>
        <v>4.0999999999999996</v>
      </c>
      <c r="Y26" s="164">
        <f t="shared" si="19"/>
        <v>3.6</v>
      </c>
      <c r="Z26" s="164">
        <f t="shared" si="19"/>
        <v>3.2</v>
      </c>
      <c r="AA26" s="164">
        <f t="shared" si="19"/>
        <v>3.125</v>
      </c>
      <c r="AB26" s="164">
        <f t="shared" si="19"/>
        <v>3.625</v>
      </c>
      <c r="AC26" s="164">
        <f t="shared" si="19"/>
        <v>3.9249999999999998</v>
      </c>
      <c r="AD26" s="164">
        <f>AVERAGE(P26:R26)</f>
        <v>6.4624999999999995</v>
      </c>
      <c r="AE26" s="164">
        <f>AVERAGE(U26:W26)</f>
        <v>4.4083333333333332</v>
      </c>
      <c r="AF26" s="164">
        <f>AVERAGE(X26:Z26)</f>
        <v>3.6333333333333329</v>
      </c>
      <c r="AG26" s="229">
        <f>AVERAGE(AA26:AC26)</f>
        <v>3.5583333333333336</v>
      </c>
      <c r="AH26" s="243">
        <f>AVERAGE(P26:R26,U26:AC26)</f>
        <v>4.515625</v>
      </c>
      <c r="AI26" s="251">
        <v>-1</v>
      </c>
    </row>
    <row r="27" spans="1:358" ht="21.5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67"/>
      <c r="T27" s="67"/>
      <c r="U27" s="24"/>
      <c r="V27" s="24"/>
      <c r="W27" s="24"/>
      <c r="X27" s="24"/>
      <c r="Y27" s="23"/>
      <c r="Z27" s="23"/>
      <c r="AA27" s="23"/>
      <c r="AB27" s="23"/>
      <c r="AC27" s="23"/>
      <c r="AD27" s="23"/>
      <c r="AE27" s="23"/>
      <c r="AF27" s="23"/>
      <c r="AG27" s="24"/>
      <c r="AH27" s="238"/>
      <c r="AI27" s="251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673" t="s">
        <v>3</v>
      </c>
      <c r="F28" s="673" t="s">
        <v>4</v>
      </c>
      <c r="G28" s="673" t="s">
        <v>5</v>
      </c>
      <c r="H28" s="673" t="s">
        <v>6</v>
      </c>
      <c r="I28" s="673" t="s">
        <v>7</v>
      </c>
      <c r="J28" s="28" t="s">
        <v>2</v>
      </c>
      <c r="K28" s="673" t="s">
        <v>8</v>
      </c>
      <c r="L28" s="250" t="s">
        <v>9</v>
      </c>
      <c r="M28" s="250" t="s">
        <v>9</v>
      </c>
      <c r="N28" s="673" t="s">
        <v>12</v>
      </c>
      <c r="O28" s="673" t="s">
        <v>13</v>
      </c>
      <c r="P28" s="673" t="s">
        <v>14</v>
      </c>
      <c r="Q28" s="673" t="s">
        <v>15</v>
      </c>
      <c r="R28" s="673" t="s">
        <v>16</v>
      </c>
      <c r="S28" s="29" t="s">
        <v>10</v>
      </c>
      <c r="T28" s="30" t="s">
        <v>11</v>
      </c>
      <c r="U28" s="673" t="s">
        <v>64</v>
      </c>
      <c r="V28" s="673" t="s">
        <v>65</v>
      </c>
      <c r="W28" s="673" t="s">
        <v>66</v>
      </c>
      <c r="X28" s="673" t="s">
        <v>67</v>
      </c>
      <c r="Y28" s="673" t="s">
        <v>68</v>
      </c>
      <c r="Z28" s="673" t="s">
        <v>69</v>
      </c>
      <c r="AA28" s="673" t="s">
        <v>70</v>
      </c>
      <c r="AB28" s="673" t="s">
        <v>77</v>
      </c>
      <c r="AC28" s="673" t="s">
        <v>78</v>
      </c>
      <c r="AD28" s="688" t="s">
        <v>79</v>
      </c>
      <c r="AE28" s="688" t="s">
        <v>80</v>
      </c>
      <c r="AF28" s="688" t="s">
        <v>81</v>
      </c>
      <c r="AG28" s="690" t="s">
        <v>82</v>
      </c>
      <c r="AH28" s="692">
        <v>2016</v>
      </c>
      <c r="AI28" s="251"/>
    </row>
    <row r="29" spans="1:358" ht="16.5" hidden="1" customHeight="1" outlineLevel="1">
      <c r="A29" s="31"/>
      <c r="B29" s="68"/>
      <c r="C29" s="68"/>
      <c r="D29" s="27"/>
      <c r="E29" s="674"/>
      <c r="F29" s="674"/>
      <c r="G29" s="674"/>
      <c r="H29" s="674"/>
      <c r="I29" s="674"/>
      <c r="J29" s="69" t="str">
        <f>$J$6</f>
        <v>(8-12 Jun)</v>
      </c>
      <c r="K29" s="674"/>
      <c r="L29" s="33" t="s">
        <v>20</v>
      </c>
      <c r="M29" s="33" t="s">
        <v>63</v>
      </c>
      <c r="N29" s="674"/>
      <c r="O29" s="674"/>
      <c r="P29" s="674"/>
      <c r="Q29" s="674"/>
      <c r="R29" s="674"/>
      <c r="S29" s="187">
        <v>42430</v>
      </c>
      <c r="T29" s="188">
        <v>42461</v>
      </c>
      <c r="U29" s="674"/>
      <c r="V29" s="674"/>
      <c r="W29" s="674"/>
      <c r="X29" s="674"/>
      <c r="Y29" s="674"/>
      <c r="Z29" s="674"/>
      <c r="AA29" s="674"/>
      <c r="AB29" s="674"/>
      <c r="AC29" s="674"/>
      <c r="AD29" s="689"/>
      <c r="AE29" s="689"/>
      <c r="AF29" s="689"/>
      <c r="AG29" s="691"/>
      <c r="AH29" s="686"/>
      <c r="AI29" s="251"/>
    </row>
    <row r="30" spans="1:358" hidden="1" outlineLevel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73"/>
      <c r="T30" s="73"/>
      <c r="U30" s="39"/>
      <c r="V30" s="39"/>
      <c r="W30" s="39"/>
      <c r="X30" s="39"/>
      <c r="Y30" s="38"/>
      <c r="Z30" s="38"/>
      <c r="AA30" s="38"/>
      <c r="AB30" s="38"/>
      <c r="AC30" s="38"/>
      <c r="AD30" s="248"/>
      <c r="AE30" s="248"/>
      <c r="AF30" s="248"/>
      <c r="AG30" s="249"/>
      <c r="AH30" s="239"/>
      <c r="AI30" s="251"/>
    </row>
    <row r="31" spans="1:358" s="77" customFormat="1" ht="21" hidden="1" customHeight="1" outlineLevel="1">
      <c r="A31" s="683"/>
      <c r="B31" s="684"/>
      <c r="C31" s="684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218"/>
      <c r="T31" s="219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235"/>
      <c r="AH31" s="240"/>
      <c r="AI31" s="251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23.61</v>
      </c>
      <c r="Q32" s="189">
        <v>16.25</v>
      </c>
      <c r="R32" s="189">
        <v>17.5</v>
      </c>
      <c r="S32" s="185"/>
      <c r="T32" s="186"/>
      <c r="U32" s="189">
        <v>19</v>
      </c>
      <c r="V32" s="189">
        <v>21</v>
      </c>
      <c r="W32" s="189">
        <v>20</v>
      </c>
      <c r="X32" s="189">
        <v>18.5</v>
      </c>
      <c r="Y32" s="189">
        <v>17.5</v>
      </c>
      <c r="Z32" s="189">
        <v>16</v>
      </c>
      <c r="AA32" s="189">
        <v>16</v>
      </c>
      <c r="AB32" s="189">
        <v>15</v>
      </c>
      <c r="AC32" s="189">
        <v>14.5</v>
      </c>
      <c r="AD32" s="246">
        <f t="shared" ref="AD32:AD34" si="20">AVERAGE(P32:R32)</f>
        <v>19.12</v>
      </c>
      <c r="AE32" s="246">
        <f>AVERAGE(U32:W32)</f>
        <v>20</v>
      </c>
      <c r="AF32" s="246">
        <f>AVERAGE(X32:Z32)</f>
        <v>17.333333333333332</v>
      </c>
      <c r="AG32" s="247">
        <f>AVERAGE(AA32:AC32)</f>
        <v>15.166666666666666</v>
      </c>
      <c r="AH32" s="241">
        <f>AVERAGE(P32:AC32)</f>
        <v>17.905000000000001</v>
      </c>
      <c r="AI32" s="251"/>
    </row>
    <row r="33" spans="1:358" ht="54.75" hidden="1" customHeight="1" outlineLevel="1">
      <c r="A33" s="47" t="s">
        <v>24</v>
      </c>
      <c r="B33" s="78">
        <f t="shared" ref="B33" si="21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23.61</v>
      </c>
      <c r="Q33" s="183">
        <v>15.7</v>
      </c>
      <c r="R33" s="183">
        <v>18</v>
      </c>
      <c r="S33" s="185"/>
      <c r="T33" s="186"/>
      <c r="U33" s="183">
        <v>20.5</v>
      </c>
      <c r="V33" s="183">
        <v>21</v>
      </c>
      <c r="W33" s="183">
        <v>22</v>
      </c>
      <c r="X33" s="183">
        <v>21.5</v>
      </c>
      <c r="Y33" s="183">
        <v>19.8</v>
      </c>
      <c r="Z33" s="183">
        <v>18</v>
      </c>
      <c r="AA33" s="183">
        <v>17.5</v>
      </c>
      <c r="AB33" s="183">
        <v>16</v>
      </c>
      <c r="AC33" s="183">
        <v>16</v>
      </c>
      <c r="AD33" s="246">
        <f t="shared" si="20"/>
        <v>19.103333333333335</v>
      </c>
      <c r="AE33" s="246">
        <f t="shared" ref="AE33:AE35" si="22">AVERAGE(U33:W33)</f>
        <v>21.166666666666668</v>
      </c>
      <c r="AF33" s="246">
        <f t="shared" ref="AF33:AF35" si="23">AVERAGE(X33:Z33)</f>
        <v>19.766666666666666</v>
      </c>
      <c r="AG33" s="247">
        <f t="shared" ref="AG33:AG35" si="24">AVERAGE(AA33:AC33)</f>
        <v>16.5</v>
      </c>
      <c r="AH33" s="241">
        <f>AVERAGE(P33:AC33)</f>
        <v>19.134166666666669</v>
      </c>
      <c r="AI33" s="251"/>
    </row>
    <row r="34" spans="1:358" ht="54.75" hidden="1" customHeight="1" outlineLevel="1">
      <c r="A34" s="47" t="s">
        <v>25</v>
      </c>
      <c r="B34" s="48">
        <f t="shared" ref="B34" si="25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23.61</v>
      </c>
      <c r="Q34" s="189">
        <v>16.5</v>
      </c>
      <c r="R34" s="189">
        <v>17</v>
      </c>
      <c r="S34" s="185" t="s">
        <v>96</v>
      </c>
      <c r="T34" s="186" t="s">
        <v>96</v>
      </c>
      <c r="U34" s="189">
        <v>18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189">
        <v>17.5</v>
      </c>
      <c r="AD34" s="246">
        <f t="shared" si="20"/>
        <v>19.036666666666665</v>
      </c>
      <c r="AE34" s="246">
        <f t="shared" si="22"/>
        <v>18.833333333333332</v>
      </c>
      <c r="AF34" s="246">
        <f t="shared" si="23"/>
        <v>19</v>
      </c>
      <c r="AG34" s="247">
        <f t="shared" si="24"/>
        <v>17.5</v>
      </c>
      <c r="AH34" s="241">
        <f>AVERAGE(P34:AC34)</f>
        <v>18.592500000000001</v>
      </c>
      <c r="AI34" s="251"/>
    </row>
    <row r="35" spans="1:358" ht="47.25" hidden="1" customHeight="1" outlineLevel="1" thickBot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23.61</v>
      </c>
      <c r="Q35" s="189">
        <v>15.34</v>
      </c>
      <c r="R35" s="189">
        <v>16.399999999999999</v>
      </c>
      <c r="S35" s="185" t="s">
        <v>141</v>
      </c>
      <c r="T35" s="186" t="s">
        <v>142</v>
      </c>
      <c r="U35" s="189">
        <v>16.7</v>
      </c>
      <c r="V35" s="189">
        <v>17</v>
      </c>
      <c r="W35" s="189">
        <v>17.2</v>
      </c>
      <c r="X35" s="189">
        <v>15.1</v>
      </c>
      <c r="Y35" s="189">
        <v>14</v>
      </c>
      <c r="Z35" s="189">
        <v>13.3</v>
      </c>
      <c r="AA35" s="189">
        <v>13.4</v>
      </c>
      <c r="AB35" s="189">
        <v>12.6</v>
      </c>
      <c r="AC35" s="189">
        <v>12.3</v>
      </c>
      <c r="AD35" s="246">
        <f>AVERAGE(P35:R35)</f>
        <v>18.45</v>
      </c>
      <c r="AE35" s="246">
        <f t="shared" si="22"/>
        <v>16.966666666666669</v>
      </c>
      <c r="AF35" s="246">
        <f t="shared" si="23"/>
        <v>14.133333333333335</v>
      </c>
      <c r="AG35" s="247">
        <f t="shared" si="24"/>
        <v>12.766666666666666</v>
      </c>
      <c r="AH35" s="241">
        <f>AVERAGE(P35:AC35)</f>
        <v>15.579166666666667</v>
      </c>
      <c r="AI35" s="251"/>
    </row>
    <row r="36" spans="1:358" s="62" customFormat="1" ht="19" hidden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R36" si="26">AVERAGE(J32:J35)</f>
        <v>#DIV/0!</v>
      </c>
      <c r="K36" s="59">
        <f t="shared" si="26"/>
        <v>16.482500000000002</v>
      </c>
      <c r="L36" s="59">
        <f t="shared" si="26"/>
        <v>17.25</v>
      </c>
      <c r="M36" s="59">
        <f t="shared" si="26"/>
        <v>16.372499999999999</v>
      </c>
      <c r="N36" s="59">
        <f t="shared" si="26"/>
        <v>15.8125</v>
      </c>
      <c r="O36" s="59">
        <f t="shared" si="26"/>
        <v>18.166666666666668</v>
      </c>
      <c r="P36" s="59">
        <f t="shared" si="26"/>
        <v>23.61</v>
      </c>
      <c r="Q36" s="59">
        <f t="shared" si="26"/>
        <v>15.947500000000002</v>
      </c>
      <c r="R36" s="59">
        <f t="shared" si="26"/>
        <v>17.225000000000001</v>
      </c>
      <c r="S36" s="60"/>
      <c r="T36" s="60"/>
      <c r="U36" s="59">
        <f t="shared" ref="U36:AC36" si="27">AVERAGE(U32:U35)</f>
        <v>18.55</v>
      </c>
      <c r="V36" s="59">
        <f t="shared" si="27"/>
        <v>19.375</v>
      </c>
      <c r="W36" s="59">
        <f t="shared" si="27"/>
        <v>19.8</v>
      </c>
      <c r="X36" s="59">
        <f t="shared" si="27"/>
        <v>18.774999999999999</v>
      </c>
      <c r="Y36" s="59">
        <f t="shared" si="27"/>
        <v>17.574999999999999</v>
      </c>
      <c r="Z36" s="59">
        <f t="shared" si="27"/>
        <v>16.324999999999999</v>
      </c>
      <c r="AA36" s="59">
        <f t="shared" si="27"/>
        <v>16.100000000000001</v>
      </c>
      <c r="AB36" s="59">
        <f t="shared" si="27"/>
        <v>15.275</v>
      </c>
      <c r="AC36" s="59">
        <f t="shared" si="27"/>
        <v>15.074999999999999</v>
      </c>
      <c r="AD36" s="59">
        <f>AVERAGE(AD32:AD35)</f>
        <v>18.927500000000002</v>
      </c>
      <c r="AE36" s="59">
        <f t="shared" ref="AE36:AG36" si="28">AVERAGE(AE32:AE35)</f>
        <v>19.241666666666667</v>
      </c>
      <c r="AF36" s="59">
        <f t="shared" si="28"/>
        <v>17.558333333333334</v>
      </c>
      <c r="AG36" s="234">
        <f t="shared" si="28"/>
        <v>15.483333333333333</v>
      </c>
      <c r="AH36" s="242">
        <f>AVERAGE(AH32:AH35)</f>
        <v>17.802708333333335</v>
      </c>
      <c r="AI36" s="237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9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23.61</v>
      </c>
      <c r="Q37" s="164">
        <f t="shared" ref="Q37:AC37" si="29">Q36</f>
        <v>15.947500000000002</v>
      </c>
      <c r="R37" s="164">
        <f t="shared" si="29"/>
        <v>17.225000000000001</v>
      </c>
      <c r="S37" s="164"/>
      <c r="T37" s="164"/>
      <c r="U37" s="164">
        <v>18.2</v>
      </c>
      <c r="V37" s="164">
        <v>18.850000000000001</v>
      </c>
      <c r="W37" s="164">
        <v>19.3</v>
      </c>
      <c r="X37" s="164">
        <v>18.399999999999999</v>
      </c>
      <c r="Y37" s="164">
        <v>17.5</v>
      </c>
      <c r="Z37" s="164">
        <f t="shared" si="29"/>
        <v>16.324999999999999</v>
      </c>
      <c r="AA37" s="164">
        <f t="shared" si="29"/>
        <v>16.100000000000001</v>
      </c>
      <c r="AB37" s="164">
        <f t="shared" si="29"/>
        <v>15.275</v>
      </c>
      <c r="AC37" s="164">
        <f t="shared" si="29"/>
        <v>15.074999999999999</v>
      </c>
      <c r="AD37" s="164">
        <f>AVERAGE(P37:R37)</f>
        <v>18.927500000000002</v>
      </c>
      <c r="AE37" s="164">
        <f>AVERAGE(U37:W37)</f>
        <v>18.783333333333331</v>
      </c>
      <c r="AF37" s="164">
        <f>AVERAGE(X37:Z37)</f>
        <v>17.408333333333331</v>
      </c>
      <c r="AG37" s="229">
        <f>AVERAGE(AA37:AC37)</f>
        <v>15.483333333333334</v>
      </c>
      <c r="AH37" s="243">
        <f>AVERAGE(P37:R37,U37:AC37)</f>
        <v>17.650624999999998</v>
      </c>
      <c r="AI37" s="251">
        <v>16</v>
      </c>
    </row>
    <row r="38" spans="1:358" ht="21.5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67"/>
      <c r="T38" s="67"/>
      <c r="U38" s="24"/>
      <c r="V38" s="24"/>
      <c r="W38" s="24"/>
      <c r="X38" s="24"/>
      <c r="Y38" s="23"/>
      <c r="Z38" s="23"/>
      <c r="AA38" s="23"/>
      <c r="AB38" s="23"/>
      <c r="AC38" s="23"/>
      <c r="AD38" s="23"/>
      <c r="AE38" s="23"/>
      <c r="AF38" s="23"/>
      <c r="AG38" s="24"/>
      <c r="AH38" s="238"/>
      <c r="AI38" s="251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673" t="s">
        <v>3</v>
      </c>
      <c r="F39" s="673" t="s">
        <v>4</v>
      </c>
      <c r="G39" s="673" t="s">
        <v>5</v>
      </c>
      <c r="H39" s="673" t="s">
        <v>6</v>
      </c>
      <c r="I39" s="673" t="s">
        <v>7</v>
      </c>
      <c r="J39" s="28" t="s">
        <v>2</v>
      </c>
      <c r="K39" s="673" t="s">
        <v>8</v>
      </c>
      <c r="L39" s="250" t="s">
        <v>9</v>
      </c>
      <c r="M39" s="250" t="s">
        <v>9</v>
      </c>
      <c r="N39" s="673" t="s">
        <v>12</v>
      </c>
      <c r="O39" s="673" t="s">
        <v>13</v>
      </c>
      <c r="P39" s="673" t="s">
        <v>14</v>
      </c>
      <c r="Q39" s="673" t="s">
        <v>15</v>
      </c>
      <c r="R39" s="673" t="s">
        <v>16</v>
      </c>
      <c r="S39" s="29" t="s">
        <v>10</v>
      </c>
      <c r="T39" s="30" t="s">
        <v>11</v>
      </c>
      <c r="U39" s="673" t="s">
        <v>64</v>
      </c>
      <c r="V39" s="673" t="s">
        <v>65</v>
      </c>
      <c r="W39" s="673" t="s">
        <v>66</v>
      </c>
      <c r="X39" s="673" t="s">
        <v>67</v>
      </c>
      <c r="Y39" s="673" t="s">
        <v>68</v>
      </c>
      <c r="Z39" s="673" t="s">
        <v>69</v>
      </c>
      <c r="AA39" s="673" t="s">
        <v>70</v>
      </c>
      <c r="AB39" s="673" t="s">
        <v>77</v>
      </c>
      <c r="AC39" s="673" t="s">
        <v>78</v>
      </c>
      <c r="AD39" s="688" t="s">
        <v>79</v>
      </c>
      <c r="AE39" s="688" t="s">
        <v>80</v>
      </c>
      <c r="AF39" s="688" t="s">
        <v>81</v>
      </c>
      <c r="AG39" s="690" t="s">
        <v>82</v>
      </c>
      <c r="AH39" s="692">
        <v>2016</v>
      </c>
      <c r="AI39" s="251"/>
    </row>
    <row r="40" spans="1:358" ht="16.5" hidden="1" customHeight="1" outlineLevel="1">
      <c r="A40" s="31"/>
      <c r="B40" s="68"/>
      <c r="C40" s="68"/>
      <c r="D40" s="27"/>
      <c r="E40" s="674"/>
      <c r="F40" s="674"/>
      <c r="G40" s="674"/>
      <c r="H40" s="674"/>
      <c r="I40" s="674"/>
      <c r="J40" s="69" t="str">
        <f>$J$6</f>
        <v>(8-12 Jun)</v>
      </c>
      <c r="K40" s="674"/>
      <c r="L40" s="33" t="s">
        <v>20</v>
      </c>
      <c r="M40" s="33" t="s">
        <v>63</v>
      </c>
      <c r="N40" s="674"/>
      <c r="O40" s="674"/>
      <c r="P40" s="674"/>
      <c r="Q40" s="674"/>
      <c r="R40" s="674"/>
      <c r="S40" s="187">
        <f>S6</f>
        <v>42430</v>
      </c>
      <c r="T40" s="188">
        <f>T6</f>
        <v>42461</v>
      </c>
      <c r="U40" s="674"/>
      <c r="V40" s="674"/>
      <c r="W40" s="674"/>
      <c r="X40" s="674"/>
      <c r="Y40" s="674"/>
      <c r="Z40" s="674"/>
      <c r="AA40" s="674"/>
      <c r="AB40" s="674"/>
      <c r="AC40" s="674"/>
      <c r="AD40" s="689"/>
      <c r="AE40" s="689"/>
      <c r="AF40" s="689"/>
      <c r="AG40" s="691"/>
      <c r="AH40" s="686"/>
      <c r="AI40" s="251"/>
    </row>
    <row r="41" spans="1:358" hidden="1" outlineLevel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100"/>
      <c r="T41" s="100"/>
      <c r="U41" s="39"/>
      <c r="V41" s="39"/>
      <c r="W41" s="39"/>
      <c r="X41" s="39"/>
      <c r="Y41" s="38"/>
      <c r="Z41" s="38"/>
      <c r="AA41" s="38"/>
      <c r="AB41" s="38"/>
      <c r="AC41" s="38"/>
      <c r="AD41" s="248"/>
      <c r="AE41" s="248"/>
      <c r="AF41" s="248"/>
      <c r="AG41" s="249"/>
      <c r="AH41" s="239"/>
      <c r="AI41" s="251"/>
    </row>
    <row r="42" spans="1:358" s="77" customFormat="1" ht="21" hidden="1" customHeight="1" outlineLevel="1">
      <c r="A42" s="675"/>
      <c r="B42" s="676"/>
      <c r="C42" s="676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216"/>
      <c r="T42" s="217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235"/>
      <c r="AH42" s="240"/>
      <c r="AI42" s="251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11.1</v>
      </c>
      <c r="Q43" s="189">
        <v>11.5</v>
      </c>
      <c r="R43" s="181">
        <v>11.2</v>
      </c>
      <c r="S43" s="185" t="s">
        <v>90</v>
      </c>
      <c r="T43" s="186" t="s">
        <v>84</v>
      </c>
      <c r="U43" s="181">
        <v>11</v>
      </c>
      <c r="V43" s="181">
        <v>10.5</v>
      </c>
      <c r="W43" s="181">
        <v>10</v>
      </c>
      <c r="X43" s="181">
        <v>9.25</v>
      </c>
      <c r="Y43" s="181">
        <v>9.25</v>
      </c>
      <c r="Z43" s="181">
        <v>10</v>
      </c>
      <c r="AA43" s="181">
        <v>11.5</v>
      </c>
      <c r="AB43" s="181">
        <v>12.75</v>
      </c>
      <c r="AC43" s="181">
        <v>13.5</v>
      </c>
      <c r="AD43" s="246">
        <f t="shared" ref="AD43:AD45" si="30">AVERAGE(P43:R43)</f>
        <v>11.266666666666666</v>
      </c>
      <c r="AE43" s="246">
        <f>AVERAGE(U43:W43)</f>
        <v>10.5</v>
      </c>
      <c r="AF43" s="246">
        <f>AVERAGE(X43:Z43)</f>
        <v>9.5</v>
      </c>
      <c r="AG43" s="247">
        <f>AVERAGE(AA43:AC43)</f>
        <v>12.583333333333334</v>
      </c>
      <c r="AH43" s="241">
        <f>AVERAGE(P43:AC43)</f>
        <v>10.9625</v>
      </c>
      <c r="AI43" s="251"/>
    </row>
    <row r="44" spans="1:358" ht="60.75" hidden="1" customHeight="1" outlineLevel="1">
      <c r="A44" s="47" t="s">
        <v>24</v>
      </c>
      <c r="B44" s="78">
        <f t="shared" ref="B44" si="31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11.1</v>
      </c>
      <c r="Q44" s="183">
        <v>11.4</v>
      </c>
      <c r="R44" s="175">
        <v>11.3</v>
      </c>
      <c r="S44" s="185"/>
      <c r="T44" s="186"/>
      <c r="U44" s="175">
        <v>11.3</v>
      </c>
      <c r="V44" s="175">
        <v>11.2</v>
      </c>
      <c r="W44" s="175">
        <v>10.8</v>
      </c>
      <c r="X44" s="175">
        <v>10.5</v>
      </c>
      <c r="Y44" s="175">
        <v>11</v>
      </c>
      <c r="Z44" s="175">
        <v>11.7</v>
      </c>
      <c r="AA44" s="175">
        <v>13</v>
      </c>
      <c r="AB44" s="175">
        <v>14</v>
      </c>
      <c r="AC44" s="175">
        <v>13.9</v>
      </c>
      <c r="AD44" s="246">
        <f t="shared" si="30"/>
        <v>11.266666666666666</v>
      </c>
      <c r="AE44" s="246">
        <f t="shared" ref="AE44:AE46" si="32">AVERAGE(U44:W44)</f>
        <v>11.1</v>
      </c>
      <c r="AF44" s="246">
        <f t="shared" ref="AF44:AF46" si="33">AVERAGE(X44:Z44)</f>
        <v>11.066666666666668</v>
      </c>
      <c r="AG44" s="247">
        <f t="shared" ref="AG44:AG46" si="34">AVERAGE(AA44:AC44)</f>
        <v>13.633333333333333</v>
      </c>
      <c r="AH44" s="241">
        <f>AVERAGE(P44:AC44)</f>
        <v>11.766666666666666</v>
      </c>
      <c r="AI44" s="251"/>
    </row>
    <row r="45" spans="1:358" ht="60.75" hidden="1" customHeight="1" outlineLevel="1">
      <c r="A45" s="47" t="s">
        <v>25</v>
      </c>
      <c r="B45" s="78">
        <f t="shared" ref="B45" si="35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11.1</v>
      </c>
      <c r="Q45" s="189">
        <v>10.5</v>
      </c>
      <c r="R45" s="189">
        <v>11.5</v>
      </c>
      <c r="S45" s="185" t="s">
        <v>118</v>
      </c>
      <c r="T45" s="186" t="s">
        <v>36</v>
      </c>
      <c r="U45" s="181">
        <v>11.6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181">
        <v>12</v>
      </c>
      <c r="AD45" s="246">
        <f t="shared" si="30"/>
        <v>11.033333333333333</v>
      </c>
      <c r="AE45" s="246">
        <f t="shared" si="32"/>
        <v>11.200000000000001</v>
      </c>
      <c r="AF45" s="246">
        <f t="shared" si="33"/>
        <v>11.166666666666666</v>
      </c>
      <c r="AG45" s="247">
        <f t="shared" si="34"/>
        <v>11.833333333333334</v>
      </c>
      <c r="AH45" s="241">
        <f>AVERAGE(P45:AC45)</f>
        <v>11.308333333333332</v>
      </c>
      <c r="AI45" s="251"/>
    </row>
    <row r="46" spans="1:358" ht="60.75" hidden="1" customHeight="1" outlineLevel="1" thickBot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11.1</v>
      </c>
      <c r="Q46" s="189">
        <v>11.98</v>
      </c>
      <c r="R46" s="181">
        <v>11.5</v>
      </c>
      <c r="S46" s="185" t="s">
        <v>143</v>
      </c>
      <c r="T46" s="186" t="s">
        <v>144</v>
      </c>
      <c r="U46" s="181">
        <v>10.799999999999999</v>
      </c>
      <c r="V46" s="181">
        <v>10.199999999999999</v>
      </c>
      <c r="W46" s="181">
        <v>12.43</v>
      </c>
      <c r="X46" s="181">
        <v>10.84</v>
      </c>
      <c r="Y46" s="181">
        <v>10.7</v>
      </c>
      <c r="Z46" s="181">
        <v>10.299999999999999</v>
      </c>
      <c r="AA46" s="181">
        <v>12.7</v>
      </c>
      <c r="AB46" s="181">
        <v>14.649999999999999</v>
      </c>
      <c r="AC46" s="181">
        <v>14.389999999999999</v>
      </c>
      <c r="AD46" s="246">
        <f>AVERAGE(P46:R46)</f>
        <v>11.526666666666666</v>
      </c>
      <c r="AE46" s="246">
        <f t="shared" si="32"/>
        <v>11.143333333333333</v>
      </c>
      <c r="AF46" s="246">
        <f t="shared" si="33"/>
        <v>10.613333333333332</v>
      </c>
      <c r="AG46" s="247">
        <f t="shared" si="34"/>
        <v>13.913333333333332</v>
      </c>
      <c r="AH46" s="241">
        <f>AVERAGE(P46:AC46)</f>
        <v>11.799166666666665</v>
      </c>
      <c r="AI46" s="251"/>
    </row>
    <row r="47" spans="1:358" s="62" customFormat="1" ht="19" hidden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R47" si="36">AVERAGE(J43:J46)</f>
        <v>#DIV/0!</v>
      </c>
      <c r="K47" s="157">
        <f t="shared" si="36"/>
        <v>13.11</v>
      </c>
      <c r="L47" s="157">
        <f t="shared" si="36"/>
        <v>13.435000000000002</v>
      </c>
      <c r="M47" s="157">
        <f t="shared" si="36"/>
        <v>13.345000000000001</v>
      </c>
      <c r="N47" s="157">
        <f t="shared" si="36"/>
        <v>14.229999999999999</v>
      </c>
      <c r="O47" s="157">
        <f t="shared" si="36"/>
        <v>14.25</v>
      </c>
      <c r="P47" s="157">
        <f t="shared" si="36"/>
        <v>11.1</v>
      </c>
      <c r="Q47" s="157">
        <f t="shared" si="36"/>
        <v>11.344999999999999</v>
      </c>
      <c r="R47" s="157">
        <f t="shared" si="36"/>
        <v>11.375</v>
      </c>
      <c r="S47" s="158"/>
      <c r="T47" s="158"/>
      <c r="U47" s="59">
        <f t="shared" ref="U47:AG47" si="37">AVERAGE(U43:U46)</f>
        <v>11.174999999999999</v>
      </c>
      <c r="V47" s="59">
        <f t="shared" si="37"/>
        <v>10.725000000000001</v>
      </c>
      <c r="W47" s="59">
        <f t="shared" si="37"/>
        <v>11.057500000000001</v>
      </c>
      <c r="X47" s="59">
        <f t="shared" si="37"/>
        <v>10.397500000000001</v>
      </c>
      <c r="Y47" s="59">
        <f t="shared" si="37"/>
        <v>10.487500000000001</v>
      </c>
      <c r="Z47" s="59">
        <f t="shared" si="37"/>
        <v>10.875</v>
      </c>
      <c r="AA47" s="59">
        <f t="shared" si="37"/>
        <v>12.175000000000001</v>
      </c>
      <c r="AB47" s="59">
        <f t="shared" si="37"/>
        <v>13.35</v>
      </c>
      <c r="AC47" s="59">
        <f t="shared" si="37"/>
        <v>13.4475</v>
      </c>
      <c r="AD47" s="59">
        <f t="shared" si="37"/>
        <v>11.273333333333332</v>
      </c>
      <c r="AE47" s="59">
        <f t="shared" si="37"/>
        <v>10.985833333333334</v>
      </c>
      <c r="AF47" s="59">
        <f t="shared" si="37"/>
        <v>10.586666666666666</v>
      </c>
      <c r="AG47" s="234">
        <f t="shared" si="37"/>
        <v>12.990833333333335</v>
      </c>
      <c r="AH47" s="242">
        <f>AVERAGE(AH43:AH46)</f>
        <v>11.459166666666665</v>
      </c>
      <c r="AI47" s="25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5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11.1</v>
      </c>
      <c r="Q48" s="164">
        <f t="shared" ref="Q48:Z48" si="38">Q47</f>
        <v>11.344999999999999</v>
      </c>
      <c r="R48" s="164">
        <f t="shared" si="38"/>
        <v>11.375</v>
      </c>
      <c r="S48" s="164"/>
      <c r="T48" s="164"/>
      <c r="U48" s="164">
        <f t="shared" si="38"/>
        <v>11.174999999999999</v>
      </c>
      <c r="V48" s="164">
        <f t="shared" si="38"/>
        <v>10.725000000000001</v>
      </c>
      <c r="W48" s="164">
        <v>10.5</v>
      </c>
      <c r="X48" s="164">
        <v>10.199999999999999</v>
      </c>
      <c r="Y48" s="164">
        <f t="shared" si="38"/>
        <v>10.487500000000001</v>
      </c>
      <c r="Z48" s="164">
        <f t="shared" si="38"/>
        <v>10.875</v>
      </c>
      <c r="AA48" s="164">
        <v>12</v>
      </c>
      <c r="AB48" s="164">
        <v>12.45</v>
      </c>
      <c r="AC48" s="164">
        <v>13</v>
      </c>
      <c r="AD48" s="164">
        <f>AVERAGE(P48:R48)</f>
        <v>11.273333333333333</v>
      </c>
      <c r="AE48" s="164">
        <f>AVERAGE(U48:W48)</f>
        <v>10.799999999999999</v>
      </c>
      <c r="AF48" s="164">
        <f>AVERAGE(X48:Z48)</f>
        <v>10.520833333333334</v>
      </c>
      <c r="AG48" s="229">
        <f>AVERAGE(AA48:AC48)</f>
        <v>12.483333333333334</v>
      </c>
      <c r="AH48" s="243">
        <f>AVERAGE(P48:R48,U48:AC48)</f>
        <v>11.269375000000002</v>
      </c>
      <c r="AI48" s="251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5" hidden="1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1.7599999999999998</v>
      </c>
      <c r="Q49" s="157">
        <f t="shared" ref="Q49:AC50" si="39">Q47-Q60</f>
        <v>1.8974999999999991</v>
      </c>
      <c r="R49" s="157">
        <f>R47-R60</f>
        <v>1.375</v>
      </c>
      <c r="S49" s="159"/>
      <c r="T49" s="159"/>
      <c r="U49" s="157">
        <f t="shared" ref="U49:AH50" si="40">U47-U60</f>
        <v>0.37499999999999822</v>
      </c>
      <c r="V49" s="157">
        <f t="shared" si="40"/>
        <v>0.13750000000000107</v>
      </c>
      <c r="W49" s="157">
        <f t="shared" si="40"/>
        <v>8.250000000000135E-2</v>
      </c>
      <c r="X49" s="157">
        <f t="shared" si="40"/>
        <v>-2.4999999999998579E-2</v>
      </c>
      <c r="Y49" s="157">
        <f t="shared" si="40"/>
        <v>0.5625</v>
      </c>
      <c r="Z49" s="157">
        <f t="shared" si="40"/>
        <v>0.52500000000000036</v>
      </c>
      <c r="AA49" s="157">
        <f t="shared" si="40"/>
        <v>0.65000000000000036</v>
      </c>
      <c r="AB49" s="157">
        <f t="shared" si="40"/>
        <v>0.68250000000000099</v>
      </c>
      <c r="AC49" s="157">
        <f t="shared" si="40"/>
        <v>0.64250000000000007</v>
      </c>
      <c r="AD49" s="157">
        <f t="shared" si="40"/>
        <v>1.6774999999999984</v>
      </c>
      <c r="AE49" s="157">
        <f t="shared" si="40"/>
        <v>0.19833333333333414</v>
      </c>
      <c r="AF49" s="157">
        <f t="shared" si="40"/>
        <v>0.35416666666666785</v>
      </c>
      <c r="AG49" s="236">
        <f t="shared" si="40"/>
        <v>0.65833333333333499</v>
      </c>
      <c r="AH49" s="242">
        <f t="shared" si="40"/>
        <v>0.72208333333333208</v>
      </c>
      <c r="AI49" s="25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9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1.7599999999999998</v>
      </c>
      <c r="Q50" s="164">
        <f t="shared" si="39"/>
        <v>1.8974999999999991</v>
      </c>
      <c r="R50" s="164">
        <f t="shared" si="39"/>
        <v>1.375</v>
      </c>
      <c r="S50" s="164"/>
      <c r="T50" s="164"/>
      <c r="U50" s="164">
        <f t="shared" si="39"/>
        <v>0.37499999999999822</v>
      </c>
      <c r="V50" s="164">
        <f t="shared" si="39"/>
        <v>0.13750000000000107</v>
      </c>
      <c r="W50" s="164">
        <f t="shared" si="39"/>
        <v>0.19999999999999929</v>
      </c>
      <c r="X50" s="164">
        <f t="shared" si="39"/>
        <v>-0.22250000000000014</v>
      </c>
      <c r="Y50" s="164">
        <f t="shared" si="39"/>
        <v>0.5625</v>
      </c>
      <c r="Z50" s="164">
        <f t="shared" si="39"/>
        <v>0.52500000000000036</v>
      </c>
      <c r="AA50" s="164">
        <f t="shared" si="39"/>
        <v>0.69999999999999929</v>
      </c>
      <c r="AB50" s="164">
        <f t="shared" si="39"/>
        <v>0.59999999999999964</v>
      </c>
      <c r="AC50" s="164">
        <f t="shared" si="39"/>
        <v>0.59999999999999964</v>
      </c>
      <c r="AD50" s="164">
        <f>AVERAGE(P50:R50)</f>
        <v>1.6774999999999995</v>
      </c>
      <c r="AE50" s="164">
        <f t="shared" si="40"/>
        <v>0.23749999999999716</v>
      </c>
      <c r="AF50" s="164">
        <f t="shared" si="40"/>
        <v>0.288333333333334</v>
      </c>
      <c r="AG50" s="229">
        <f t="shared" si="40"/>
        <v>0.63333333333333464</v>
      </c>
      <c r="AH50" s="243">
        <f t="shared" si="40"/>
        <v>0.70916666666666828</v>
      </c>
      <c r="AI50" s="230">
        <f>AI48-AI60</f>
        <v>0.29999999999999893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5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67"/>
      <c r="T51" s="67"/>
      <c r="U51" s="24"/>
      <c r="V51" s="24"/>
      <c r="W51" s="24"/>
      <c r="X51" s="24"/>
      <c r="Y51" s="177"/>
      <c r="Z51" s="177"/>
      <c r="AA51" s="177"/>
      <c r="AB51" s="177"/>
      <c r="AC51" s="177"/>
      <c r="AD51" s="23"/>
      <c r="AE51" s="23"/>
      <c r="AF51" s="23"/>
      <c r="AG51" s="24"/>
      <c r="AH51" s="238"/>
      <c r="AI51" s="228">
        <f>AH48-AH61</f>
        <v>0.70916666666666828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673" t="s">
        <v>3</v>
      </c>
      <c r="F52" s="673" t="s">
        <v>4</v>
      </c>
      <c r="G52" s="673" t="s">
        <v>5</v>
      </c>
      <c r="H52" s="673" t="s">
        <v>6</v>
      </c>
      <c r="I52" s="673" t="s">
        <v>7</v>
      </c>
      <c r="J52" s="28" t="s">
        <v>2</v>
      </c>
      <c r="K52" s="673" t="s">
        <v>8</v>
      </c>
      <c r="L52" s="250" t="s">
        <v>9</v>
      </c>
      <c r="M52" s="250" t="s">
        <v>9</v>
      </c>
      <c r="N52" s="673" t="s">
        <v>12</v>
      </c>
      <c r="O52" s="673" t="s">
        <v>13</v>
      </c>
      <c r="P52" s="673" t="s">
        <v>14</v>
      </c>
      <c r="Q52" s="673" t="s">
        <v>15</v>
      </c>
      <c r="R52" s="673" t="s">
        <v>16</v>
      </c>
      <c r="S52" s="29" t="s">
        <v>10</v>
      </c>
      <c r="T52" s="30" t="s">
        <v>11</v>
      </c>
      <c r="U52" s="673" t="s">
        <v>64</v>
      </c>
      <c r="V52" s="673" t="s">
        <v>65</v>
      </c>
      <c r="W52" s="673" t="s">
        <v>66</v>
      </c>
      <c r="X52" s="673" t="s">
        <v>67</v>
      </c>
      <c r="Y52" s="673" t="s">
        <v>68</v>
      </c>
      <c r="Z52" s="673" t="s">
        <v>69</v>
      </c>
      <c r="AA52" s="673" t="s">
        <v>70</v>
      </c>
      <c r="AB52" s="673" t="s">
        <v>77</v>
      </c>
      <c r="AC52" s="673" t="s">
        <v>78</v>
      </c>
      <c r="AD52" s="688" t="s">
        <v>79</v>
      </c>
      <c r="AE52" s="688" t="s">
        <v>80</v>
      </c>
      <c r="AF52" s="688" t="s">
        <v>81</v>
      </c>
      <c r="AG52" s="690" t="s">
        <v>82</v>
      </c>
      <c r="AH52" s="692">
        <v>2016</v>
      </c>
    </row>
    <row r="53" spans="1:358" ht="17.25" hidden="1" customHeight="1" outlineLevel="1">
      <c r="A53" s="31"/>
      <c r="B53" s="68"/>
      <c r="C53" s="68"/>
      <c r="D53" s="27"/>
      <c r="E53" s="674"/>
      <c r="F53" s="674"/>
      <c r="G53" s="674"/>
      <c r="H53" s="674"/>
      <c r="I53" s="674"/>
      <c r="J53" s="69" t="str">
        <f>$J$6</f>
        <v>(8-12 Jun)</v>
      </c>
      <c r="K53" s="674"/>
      <c r="L53" s="33" t="s">
        <v>20</v>
      </c>
      <c r="M53" s="33" t="s">
        <v>63</v>
      </c>
      <c r="N53" s="674"/>
      <c r="O53" s="674"/>
      <c r="P53" s="674"/>
      <c r="Q53" s="674"/>
      <c r="R53" s="674"/>
      <c r="S53" s="187">
        <f>S6</f>
        <v>42430</v>
      </c>
      <c r="T53" s="188">
        <f>T6</f>
        <v>42461</v>
      </c>
      <c r="U53" s="674"/>
      <c r="V53" s="674"/>
      <c r="W53" s="674"/>
      <c r="X53" s="674"/>
      <c r="Y53" s="674"/>
      <c r="Z53" s="674"/>
      <c r="AA53" s="674"/>
      <c r="AB53" s="674"/>
      <c r="AC53" s="674"/>
      <c r="AD53" s="689"/>
      <c r="AE53" s="689"/>
      <c r="AF53" s="689"/>
      <c r="AG53" s="691"/>
      <c r="AH53" s="686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107"/>
      <c r="T54" s="107"/>
      <c r="U54" s="39"/>
      <c r="V54" s="39"/>
      <c r="W54" s="39"/>
      <c r="X54" s="39"/>
      <c r="Y54" s="38"/>
      <c r="Z54" s="38"/>
      <c r="AA54" s="38"/>
      <c r="AB54" s="38"/>
      <c r="AC54" s="38"/>
      <c r="AD54" s="248"/>
      <c r="AE54" s="248"/>
      <c r="AF54" s="248"/>
      <c r="AG54" s="249"/>
      <c r="AH54" s="239"/>
    </row>
    <row r="55" spans="1:358" s="77" customFormat="1" ht="16.5" hidden="1" customHeight="1" outlineLevel="1">
      <c r="A55" s="675"/>
      <c r="B55" s="676"/>
      <c r="C55" s="676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220"/>
      <c r="T55" s="221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235"/>
      <c r="AH55" s="240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9.34</v>
      </c>
      <c r="Q56" s="189">
        <v>9.5</v>
      </c>
      <c r="R56" s="189">
        <v>10</v>
      </c>
      <c r="S56" s="185" t="s">
        <v>85</v>
      </c>
      <c r="T56" s="186" t="s">
        <v>84</v>
      </c>
      <c r="U56" s="189">
        <v>10.5</v>
      </c>
      <c r="V56" s="189">
        <v>10.25</v>
      </c>
      <c r="W56" s="189">
        <v>9.5</v>
      </c>
      <c r="X56" s="189">
        <v>9.25</v>
      </c>
      <c r="Y56" s="189">
        <v>9</v>
      </c>
      <c r="Z56" s="189">
        <v>10</v>
      </c>
      <c r="AA56" s="189">
        <v>11</v>
      </c>
      <c r="AB56" s="189">
        <v>12</v>
      </c>
      <c r="AC56" s="189">
        <v>12.5</v>
      </c>
      <c r="AD56" s="246">
        <f t="shared" ref="AD56:AD58" si="41">AVERAGE(P56:R56)</f>
        <v>9.6133333333333333</v>
      </c>
      <c r="AE56" s="246">
        <f>AVERAGE(U56:W56)</f>
        <v>10.083333333333334</v>
      </c>
      <c r="AF56" s="246">
        <f>AVERAGE(X56:Z56)</f>
        <v>9.4166666666666661</v>
      </c>
      <c r="AG56" s="247">
        <f>AVERAGE(AA56:AC56)</f>
        <v>11.833333333333334</v>
      </c>
      <c r="AH56" s="241">
        <f>AVERAGE(P56:AC56)</f>
        <v>10.236666666666666</v>
      </c>
    </row>
    <row r="57" spans="1:358" ht="50.25" hidden="1" customHeight="1" outlineLevel="1">
      <c r="A57" s="47" t="s">
        <v>24</v>
      </c>
      <c r="B57" s="78">
        <f t="shared" ref="B57" si="42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9.34</v>
      </c>
      <c r="Q57" s="183">
        <v>9</v>
      </c>
      <c r="R57" s="183">
        <v>9.8000000000000007</v>
      </c>
      <c r="S57" s="185"/>
      <c r="T57" s="186"/>
      <c r="U57" s="183">
        <v>11.100000000000001</v>
      </c>
      <c r="V57" s="183">
        <v>11.1</v>
      </c>
      <c r="W57" s="183">
        <v>10.8</v>
      </c>
      <c r="X57" s="183">
        <v>10</v>
      </c>
      <c r="Y57" s="183">
        <v>10.200000000000001</v>
      </c>
      <c r="Z57" s="183">
        <v>11.299999999999999</v>
      </c>
      <c r="AA57" s="183">
        <v>12.5</v>
      </c>
      <c r="AB57" s="183">
        <v>13.3</v>
      </c>
      <c r="AC57" s="183">
        <v>13.1</v>
      </c>
      <c r="AD57" s="246">
        <f t="shared" si="41"/>
        <v>9.3800000000000008</v>
      </c>
      <c r="AE57" s="246">
        <f t="shared" ref="AE57:AE59" si="43">AVERAGE(U57:W57)</f>
        <v>11</v>
      </c>
      <c r="AF57" s="246">
        <f t="shared" ref="AF57:AF59" si="44">AVERAGE(X57:Z57)</f>
        <v>10.5</v>
      </c>
      <c r="AG57" s="247">
        <f t="shared" ref="AG57:AG59" si="45">AVERAGE(AA57:AC57)</f>
        <v>12.966666666666667</v>
      </c>
      <c r="AH57" s="241">
        <f>AVERAGE(P57:AC57)</f>
        <v>10.961666666666666</v>
      </c>
    </row>
    <row r="58" spans="1:358" ht="50.25" hidden="1" customHeight="1" outlineLevel="1">
      <c r="A58" s="47" t="s">
        <v>25</v>
      </c>
      <c r="B58" s="78">
        <f t="shared" ref="B58" si="46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9.34</v>
      </c>
      <c r="Q58" s="189">
        <v>10</v>
      </c>
      <c r="R58" s="189">
        <v>11</v>
      </c>
      <c r="S58" s="185" t="s">
        <v>119</v>
      </c>
      <c r="T58" s="186" t="s">
        <v>40</v>
      </c>
      <c r="U58" s="189">
        <v>11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189">
        <v>11.5</v>
      </c>
      <c r="AD58" s="246">
        <f t="shared" si="41"/>
        <v>10.113333333333333</v>
      </c>
      <c r="AE58" s="246">
        <f t="shared" si="43"/>
        <v>10.666666666666666</v>
      </c>
      <c r="AF58" s="246">
        <f t="shared" si="44"/>
        <v>10.666666666666666</v>
      </c>
      <c r="AG58" s="247">
        <f t="shared" si="45"/>
        <v>11.333333333333334</v>
      </c>
      <c r="AH58" s="241">
        <f>AVERAGE(P58:AC58)</f>
        <v>10.695</v>
      </c>
    </row>
    <row r="59" spans="1:358" ht="50.25" hidden="1" customHeight="1" outlineLevel="1" thickBot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9.34</v>
      </c>
      <c r="Q59" s="183">
        <v>9.2899999999999991</v>
      </c>
      <c r="R59" s="183">
        <v>9.1999999999999993</v>
      </c>
      <c r="S59" s="224" t="s">
        <v>145</v>
      </c>
      <c r="T59" s="186" t="s">
        <v>146</v>
      </c>
      <c r="U59" s="183">
        <v>10.6</v>
      </c>
      <c r="V59" s="183">
        <v>10.5</v>
      </c>
      <c r="W59" s="189">
        <v>13.1</v>
      </c>
      <c r="X59" s="189">
        <v>11.94</v>
      </c>
      <c r="Y59" s="183">
        <v>10</v>
      </c>
      <c r="Z59" s="183">
        <v>9.1</v>
      </c>
      <c r="AA59" s="183">
        <v>11.6</v>
      </c>
      <c r="AB59" s="183">
        <v>13.87</v>
      </c>
      <c r="AC59" s="183">
        <v>14.12</v>
      </c>
      <c r="AD59" s="246">
        <f>AVERAGE(P59:R59)</f>
        <v>9.2766666666666655</v>
      </c>
      <c r="AE59" s="246">
        <f t="shared" si="43"/>
        <v>11.4</v>
      </c>
      <c r="AF59" s="246">
        <f t="shared" si="44"/>
        <v>10.346666666666666</v>
      </c>
      <c r="AG59" s="247">
        <f t="shared" si="45"/>
        <v>13.196666666666665</v>
      </c>
      <c r="AH59" s="241">
        <f>AVERAGE(P59:AC59)</f>
        <v>11.055</v>
      </c>
    </row>
    <row r="60" spans="1:358" s="62" customFormat="1" ht="19" hidden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7">AVERAGE(J56:J59)</f>
        <v>#DIV/0!</v>
      </c>
      <c r="K60" s="157">
        <f t="shared" si="47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9.34</v>
      </c>
      <c r="Q60" s="157">
        <f>AVERAGE(Q56:Q59)</f>
        <v>9.4474999999999998</v>
      </c>
      <c r="R60" s="157">
        <f t="shared" ref="R60" si="48">AVERAGE(R56:R59)</f>
        <v>10</v>
      </c>
      <c r="S60" s="158"/>
      <c r="T60" s="158"/>
      <c r="U60" s="59">
        <f t="shared" ref="U60:AG60" si="49">AVERAGE(U56:U59)</f>
        <v>10.8</v>
      </c>
      <c r="V60" s="59">
        <f t="shared" si="49"/>
        <v>10.5875</v>
      </c>
      <c r="W60" s="59">
        <f t="shared" si="49"/>
        <v>10.975</v>
      </c>
      <c r="X60" s="59">
        <f t="shared" si="49"/>
        <v>10.422499999999999</v>
      </c>
      <c r="Y60" s="59">
        <f t="shared" si="49"/>
        <v>9.9250000000000007</v>
      </c>
      <c r="Z60" s="59">
        <f t="shared" si="49"/>
        <v>10.35</v>
      </c>
      <c r="AA60" s="59">
        <f t="shared" si="49"/>
        <v>11.525</v>
      </c>
      <c r="AB60" s="59">
        <f t="shared" si="49"/>
        <v>12.667499999999999</v>
      </c>
      <c r="AC60" s="59">
        <f t="shared" si="49"/>
        <v>12.805</v>
      </c>
      <c r="AD60" s="59">
        <f t="shared" si="49"/>
        <v>9.5958333333333332</v>
      </c>
      <c r="AE60" s="59">
        <f t="shared" si="49"/>
        <v>10.7875</v>
      </c>
      <c r="AF60" s="59">
        <f t="shared" si="49"/>
        <v>10.232499999999998</v>
      </c>
      <c r="AG60" s="234">
        <f t="shared" si="49"/>
        <v>12.3325</v>
      </c>
      <c r="AH60" s="242">
        <f>AVERAGE(AH56:AH59)</f>
        <v>10.737083333333333</v>
      </c>
      <c r="AI60" s="61">
        <v>12.8</v>
      </c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9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50">O60</f>
        <v>14.15</v>
      </c>
      <c r="P61" s="164">
        <f>P60</f>
        <v>9.34</v>
      </c>
      <c r="Q61" s="164">
        <f t="shared" ref="Q61:Z61" si="51">Q60</f>
        <v>9.4474999999999998</v>
      </c>
      <c r="R61" s="164">
        <f t="shared" si="51"/>
        <v>10</v>
      </c>
      <c r="S61" s="164"/>
      <c r="T61" s="164"/>
      <c r="U61" s="164">
        <f t="shared" si="51"/>
        <v>10.8</v>
      </c>
      <c r="V61" s="164">
        <f t="shared" si="51"/>
        <v>10.5875</v>
      </c>
      <c r="W61" s="164">
        <v>10.3</v>
      </c>
      <c r="X61" s="164">
        <f t="shared" si="51"/>
        <v>10.422499999999999</v>
      </c>
      <c r="Y61" s="164">
        <f t="shared" si="51"/>
        <v>9.9250000000000007</v>
      </c>
      <c r="Z61" s="164">
        <f t="shared" si="51"/>
        <v>10.35</v>
      </c>
      <c r="AA61" s="164">
        <v>11.3</v>
      </c>
      <c r="AB61" s="164">
        <v>11.85</v>
      </c>
      <c r="AC61" s="164">
        <v>12.4</v>
      </c>
      <c r="AD61" s="164">
        <f>AVERAGE(P61:R61)</f>
        <v>9.5958333333333332</v>
      </c>
      <c r="AE61" s="164">
        <f>AVERAGE(U61:W61)</f>
        <v>10.562500000000002</v>
      </c>
      <c r="AF61" s="164">
        <f>AVERAGE(X61:Z61)</f>
        <v>10.2325</v>
      </c>
      <c r="AG61" s="229">
        <f>AVERAGE(AA61:AC61)</f>
        <v>11.85</v>
      </c>
      <c r="AH61" s="243">
        <f>AVERAGE(P61:R61,U61:AC61)</f>
        <v>10.560208333333334</v>
      </c>
    </row>
    <row r="62" spans="1:358" ht="21.5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67"/>
      <c r="T62" s="67"/>
      <c r="U62" s="24"/>
      <c r="V62" s="24"/>
      <c r="W62" s="24"/>
      <c r="X62" s="24"/>
      <c r="Y62" s="23"/>
      <c r="Z62" s="23"/>
      <c r="AA62" s="23"/>
      <c r="AB62" s="23"/>
      <c r="AC62" s="23"/>
      <c r="AD62" s="23"/>
      <c r="AE62" s="23"/>
      <c r="AF62" s="23"/>
      <c r="AG62" s="24"/>
      <c r="AH62" s="238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673" t="s">
        <v>3</v>
      </c>
      <c r="F63" s="673" t="s">
        <v>4</v>
      </c>
      <c r="G63" s="673" t="s">
        <v>5</v>
      </c>
      <c r="H63" s="673" t="s">
        <v>6</v>
      </c>
      <c r="I63" s="673" t="s">
        <v>7</v>
      </c>
      <c r="J63" s="28" t="s">
        <v>2</v>
      </c>
      <c r="K63" s="673" t="s">
        <v>8</v>
      </c>
      <c r="L63" s="250" t="s">
        <v>9</v>
      </c>
      <c r="M63" s="250" t="s">
        <v>9</v>
      </c>
      <c r="N63" s="673" t="s">
        <v>12</v>
      </c>
      <c r="O63" s="673" t="s">
        <v>13</v>
      </c>
      <c r="P63" s="673" t="s">
        <v>14</v>
      </c>
      <c r="Q63" s="673" t="s">
        <v>15</v>
      </c>
      <c r="R63" s="673" t="s">
        <v>16</v>
      </c>
      <c r="S63" s="29" t="s">
        <v>10</v>
      </c>
      <c r="T63" s="30" t="s">
        <v>11</v>
      </c>
      <c r="U63" s="673" t="s">
        <v>64</v>
      </c>
      <c r="V63" s="673" t="s">
        <v>65</v>
      </c>
      <c r="W63" s="673" t="s">
        <v>66</v>
      </c>
      <c r="X63" s="673" t="s">
        <v>67</v>
      </c>
      <c r="Y63" s="673" t="s">
        <v>68</v>
      </c>
      <c r="Z63" s="673" t="s">
        <v>69</v>
      </c>
      <c r="AA63" s="673" t="s">
        <v>70</v>
      </c>
      <c r="AB63" s="673" t="s">
        <v>77</v>
      </c>
      <c r="AC63" s="673" t="s">
        <v>78</v>
      </c>
      <c r="AD63" s="688" t="s">
        <v>79</v>
      </c>
      <c r="AE63" s="688" t="s">
        <v>80</v>
      </c>
      <c r="AF63" s="688" t="s">
        <v>81</v>
      </c>
      <c r="AG63" s="690" t="s">
        <v>82</v>
      </c>
      <c r="AH63" s="692">
        <v>2016</v>
      </c>
    </row>
    <row r="64" spans="1:358" ht="18.75" hidden="1" customHeight="1" outlineLevel="1">
      <c r="A64" s="31"/>
      <c r="B64" s="68"/>
      <c r="C64" s="68"/>
      <c r="D64" s="27"/>
      <c r="E64" s="674"/>
      <c r="F64" s="674"/>
      <c r="G64" s="674"/>
      <c r="H64" s="674"/>
      <c r="I64" s="674"/>
      <c r="J64" s="69" t="str">
        <f>$J$6</f>
        <v>(8-12 Jun)</v>
      </c>
      <c r="K64" s="674"/>
      <c r="L64" s="33" t="s">
        <v>20</v>
      </c>
      <c r="M64" s="33" t="s">
        <v>63</v>
      </c>
      <c r="N64" s="674"/>
      <c r="O64" s="674"/>
      <c r="P64" s="674"/>
      <c r="Q64" s="674"/>
      <c r="R64" s="674"/>
      <c r="S64" s="187">
        <f>S6</f>
        <v>42430</v>
      </c>
      <c r="T64" s="188">
        <f>T6</f>
        <v>42461</v>
      </c>
      <c r="U64" s="674"/>
      <c r="V64" s="674"/>
      <c r="W64" s="674"/>
      <c r="X64" s="674"/>
      <c r="Y64" s="674"/>
      <c r="Z64" s="674"/>
      <c r="AA64" s="674"/>
      <c r="AB64" s="674"/>
      <c r="AC64" s="674"/>
      <c r="AD64" s="689"/>
      <c r="AE64" s="689"/>
      <c r="AF64" s="689"/>
      <c r="AG64" s="691"/>
      <c r="AH64" s="686"/>
    </row>
    <row r="65" spans="1:358" hidden="1" outlineLevel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73"/>
      <c r="T65" s="73"/>
      <c r="U65" s="39"/>
      <c r="V65" s="39"/>
      <c r="W65" s="39"/>
      <c r="X65" s="39"/>
      <c r="Y65" s="38"/>
      <c r="Z65" s="38"/>
      <c r="AA65" s="38"/>
      <c r="AB65" s="38"/>
      <c r="AC65" s="38"/>
      <c r="AD65" s="248"/>
      <c r="AE65" s="248"/>
      <c r="AF65" s="248"/>
      <c r="AG65" s="249"/>
      <c r="AH65" s="239"/>
    </row>
    <row r="66" spans="1:358" s="77" customFormat="1" ht="18.5" hidden="1" outlineLevel="1">
      <c r="A66" s="675"/>
      <c r="B66" s="676"/>
      <c r="C66" s="676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218"/>
      <c r="T66" s="219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235"/>
      <c r="AH66" s="240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-3.13</v>
      </c>
      <c r="Q67" s="183">
        <v>-4.59</v>
      </c>
      <c r="R67" s="183">
        <v>-5.7</v>
      </c>
      <c r="S67" s="185"/>
      <c r="T67" s="186"/>
      <c r="U67" s="183">
        <v>-5.9874999999999998</v>
      </c>
      <c r="V67" s="189">
        <v>-6.3</v>
      </c>
      <c r="W67" s="189">
        <v>-6.4</v>
      </c>
      <c r="X67" s="189">
        <v>-6.65</v>
      </c>
      <c r="Y67" s="189">
        <v>-6.55</v>
      </c>
      <c r="Z67" s="189">
        <v>-6.5500000000000007</v>
      </c>
      <c r="AA67" s="189">
        <v>-6.4250000000000007</v>
      </c>
      <c r="AB67" s="189">
        <v>-6.2749999999999995</v>
      </c>
      <c r="AC67" s="189">
        <v>-6.1124999999999998</v>
      </c>
      <c r="AD67" s="246">
        <f t="shared" ref="AD67:AD69" si="52">AVERAGE(P67:R67)</f>
        <v>-4.4733333333333336</v>
      </c>
      <c r="AE67" s="246">
        <f>AVERAGE(U67:W67)</f>
        <v>-6.229166666666667</v>
      </c>
      <c r="AF67" s="246">
        <f>AVERAGE(X67:Z67)</f>
        <v>-6.583333333333333</v>
      </c>
      <c r="AG67" s="247">
        <f>AVERAGE(AA67:AC67)</f>
        <v>-6.270833333333333</v>
      </c>
      <c r="AH67" s="241">
        <f>AVERAGE(P67:AC67)</f>
        <v>-5.8891666666666671</v>
      </c>
    </row>
    <row r="68" spans="1:358" ht="54.75" hidden="1" customHeight="1" outlineLevel="1">
      <c r="A68" s="47" t="s">
        <v>24</v>
      </c>
      <c r="B68" s="78">
        <f t="shared" ref="B68" si="53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-3.13</v>
      </c>
      <c r="Q68" s="189">
        <v>-4.0999999999999996</v>
      </c>
      <c r="R68" s="189">
        <v>-5</v>
      </c>
      <c r="S68" s="185"/>
      <c r="T68" s="186"/>
      <c r="U68" s="189">
        <v>-5.5</v>
      </c>
      <c r="V68" s="189">
        <v>-6</v>
      </c>
      <c r="W68" s="189">
        <v>-6.5</v>
      </c>
      <c r="X68" s="189">
        <v>-7</v>
      </c>
      <c r="Y68" s="189">
        <v>-7.2</v>
      </c>
      <c r="Z68" s="189">
        <v>-7.1</v>
      </c>
      <c r="AA68" s="189">
        <v>-7.1</v>
      </c>
      <c r="AB68" s="189">
        <v>-6.9</v>
      </c>
      <c r="AC68" s="189">
        <v>-6.7</v>
      </c>
      <c r="AD68" s="246">
        <f t="shared" si="52"/>
        <v>-4.0766666666666671</v>
      </c>
      <c r="AE68" s="246">
        <f t="shared" ref="AE68:AE70" si="54">AVERAGE(U68:W68)</f>
        <v>-6</v>
      </c>
      <c r="AF68" s="246">
        <f t="shared" ref="AF68:AF70" si="55">AVERAGE(X68:Z68)</f>
        <v>-7.0999999999999988</v>
      </c>
      <c r="AG68" s="247">
        <f t="shared" ref="AG68:AG70" si="56">AVERAGE(AA68:AC68)</f>
        <v>-6.8999999999999995</v>
      </c>
      <c r="AH68" s="241">
        <f>AVERAGE(P68:AC68)</f>
        <v>-6.0191666666666679</v>
      </c>
    </row>
    <row r="69" spans="1:358" ht="54.75" hidden="1" customHeight="1" outlineLevel="1">
      <c r="A69" s="47" t="s">
        <v>25</v>
      </c>
      <c r="B69" s="78">
        <f t="shared" ref="B69" si="57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-3.13</v>
      </c>
      <c r="Q69" s="183">
        <v>-5</v>
      </c>
      <c r="R69" s="183">
        <v>-6</v>
      </c>
      <c r="S69" s="185" t="s">
        <v>43</v>
      </c>
      <c r="T69" s="186" t="s">
        <v>44</v>
      </c>
      <c r="U69" s="183">
        <v>-6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189">
        <v>-6.5</v>
      </c>
      <c r="AD69" s="246">
        <f t="shared" si="52"/>
        <v>-4.71</v>
      </c>
      <c r="AE69" s="246">
        <f t="shared" si="54"/>
        <v>-6.333333333333333</v>
      </c>
      <c r="AF69" s="246">
        <f t="shared" si="55"/>
        <v>-6.166666666666667</v>
      </c>
      <c r="AG69" s="247">
        <f t="shared" si="56"/>
        <v>-6.333333333333333</v>
      </c>
      <c r="AH69" s="241">
        <f>AVERAGE(P69:AC69)</f>
        <v>-5.8858333333333333</v>
      </c>
    </row>
    <row r="70" spans="1:358" ht="54.75" hidden="1" customHeight="1" outlineLevel="1" thickBot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-3.13</v>
      </c>
      <c r="Q70" s="189">
        <v>-4.6500000000000004</v>
      </c>
      <c r="R70" s="189">
        <v>-6.2</v>
      </c>
      <c r="S70" s="185" t="s">
        <v>147</v>
      </c>
      <c r="T70" s="186" t="s">
        <v>148</v>
      </c>
      <c r="U70" s="189">
        <v>-7.3</v>
      </c>
      <c r="V70" s="189">
        <v>-7.5</v>
      </c>
      <c r="W70" s="189">
        <v>-7.6</v>
      </c>
      <c r="X70" s="189">
        <v>-8</v>
      </c>
      <c r="Y70" s="189">
        <v>-8</v>
      </c>
      <c r="Z70" s="189">
        <v>-8</v>
      </c>
      <c r="AA70" s="189">
        <v>-7.5</v>
      </c>
      <c r="AB70" s="189">
        <v>-7.5</v>
      </c>
      <c r="AC70" s="189">
        <v>-7.5</v>
      </c>
      <c r="AD70" s="246">
        <f>AVERAGE(P70:R70)</f>
        <v>-4.66</v>
      </c>
      <c r="AE70" s="246">
        <f t="shared" si="54"/>
        <v>-7.4666666666666659</v>
      </c>
      <c r="AF70" s="246">
        <f t="shared" si="55"/>
        <v>-8</v>
      </c>
      <c r="AG70" s="247">
        <f t="shared" si="56"/>
        <v>-7.5</v>
      </c>
      <c r="AH70" s="241">
        <f>AVERAGE(P70:AC70)</f>
        <v>-6.9066666666666663</v>
      </c>
    </row>
    <row r="71" spans="1:358" s="62" customFormat="1" ht="19" hidden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R71" si="58">AVERAGE(K67:K70)</f>
        <v>-8.1550000000000011</v>
      </c>
      <c r="L71" s="59">
        <f t="shared" si="58"/>
        <v>-8.1550000000000011</v>
      </c>
      <c r="M71" s="59">
        <f t="shared" si="58"/>
        <v>-8.33</v>
      </c>
      <c r="N71" s="59">
        <f t="shared" si="58"/>
        <v>-6.9175000000000004</v>
      </c>
      <c r="O71" s="59">
        <f t="shared" si="58"/>
        <v>-6.7333333333333334</v>
      </c>
      <c r="P71" s="59">
        <f>AVERAGE(P67:P70)</f>
        <v>-3.13</v>
      </c>
      <c r="Q71" s="59">
        <f t="shared" si="58"/>
        <v>-4.585</v>
      </c>
      <c r="R71" s="59">
        <f t="shared" si="58"/>
        <v>-5.7249999999999996</v>
      </c>
      <c r="S71" s="60"/>
      <c r="T71" s="60"/>
      <c r="U71" s="59">
        <f t="shared" ref="U71:AG71" si="59">AVERAGE(U67:U70)</f>
        <v>-6.1968750000000004</v>
      </c>
      <c r="V71" s="59">
        <f t="shared" si="59"/>
        <v>-6.5750000000000002</v>
      </c>
      <c r="W71" s="59">
        <f t="shared" si="59"/>
        <v>-6.75</v>
      </c>
      <c r="X71" s="59">
        <f t="shared" si="59"/>
        <v>-7.0374999999999996</v>
      </c>
      <c r="Y71" s="59">
        <f t="shared" si="59"/>
        <v>-6.9375</v>
      </c>
      <c r="Z71" s="59">
        <f t="shared" si="59"/>
        <v>-6.9124999999999996</v>
      </c>
      <c r="AA71" s="59">
        <f t="shared" si="59"/>
        <v>-6.7562499999999996</v>
      </c>
      <c r="AB71" s="59">
        <f t="shared" si="59"/>
        <v>-6.7937500000000002</v>
      </c>
      <c r="AC71" s="59">
        <f t="shared" si="59"/>
        <v>-6.703125</v>
      </c>
      <c r="AD71" s="59">
        <f t="shared" si="59"/>
        <v>-4.4800000000000004</v>
      </c>
      <c r="AE71" s="59">
        <f t="shared" si="59"/>
        <v>-6.5072916666666663</v>
      </c>
      <c r="AF71" s="59">
        <f t="shared" si="59"/>
        <v>-6.9624999999999995</v>
      </c>
      <c r="AG71" s="234">
        <f t="shared" si="59"/>
        <v>-6.7510416666666666</v>
      </c>
      <c r="AH71" s="242">
        <f>AVERAGE(AH67:AH70)</f>
        <v>-6.1752083333333339</v>
      </c>
      <c r="AI71" s="61">
        <v>-6.5</v>
      </c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9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f>P71</f>
        <v>-3.13</v>
      </c>
      <c r="Q72" s="164">
        <f t="shared" ref="Q72:AC72" si="60">Q71</f>
        <v>-4.585</v>
      </c>
      <c r="R72" s="164">
        <f t="shared" si="60"/>
        <v>-5.7249999999999996</v>
      </c>
      <c r="S72" s="164"/>
      <c r="T72" s="164"/>
      <c r="U72" s="164">
        <f t="shared" si="60"/>
        <v>-6.1968750000000004</v>
      </c>
      <c r="V72" s="164">
        <f t="shared" si="60"/>
        <v>-6.5750000000000002</v>
      </c>
      <c r="W72" s="164">
        <f t="shared" si="60"/>
        <v>-6.75</v>
      </c>
      <c r="X72" s="164">
        <f t="shared" si="60"/>
        <v>-7.0374999999999996</v>
      </c>
      <c r="Y72" s="164">
        <f t="shared" si="60"/>
        <v>-6.9375</v>
      </c>
      <c r="Z72" s="164">
        <f t="shared" si="60"/>
        <v>-6.9124999999999996</v>
      </c>
      <c r="AA72" s="164">
        <f t="shared" si="60"/>
        <v>-6.7562499999999996</v>
      </c>
      <c r="AB72" s="164">
        <f t="shared" si="60"/>
        <v>-6.7937500000000002</v>
      </c>
      <c r="AC72" s="164">
        <f t="shared" si="60"/>
        <v>-6.703125</v>
      </c>
      <c r="AD72" s="164">
        <f>AVERAGE(P72:R72)</f>
        <v>-4.4799999999999995</v>
      </c>
      <c r="AE72" s="164">
        <f>AVERAGE(U72:W72)</f>
        <v>-6.5072916666666671</v>
      </c>
      <c r="AF72" s="164">
        <f>AVERAGE(X72:Z72)</f>
        <v>-6.9624999999999995</v>
      </c>
      <c r="AG72" s="229">
        <f>AVERAGE(AA72:AC72)</f>
        <v>-6.7510416666666666</v>
      </c>
      <c r="AH72" s="243">
        <f>AVERAGE(P72:R72,U72:AC72)</f>
        <v>-6.1752083333333339</v>
      </c>
    </row>
    <row r="73" spans="1:358" ht="21.5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67"/>
      <c r="T73" s="67"/>
      <c r="U73" s="24"/>
      <c r="V73" s="24"/>
      <c r="W73" s="24"/>
      <c r="X73" s="24"/>
      <c r="Y73" s="23"/>
      <c r="Z73" s="23"/>
      <c r="AA73" s="23"/>
      <c r="AB73" s="23"/>
      <c r="AC73" s="23"/>
      <c r="AD73" s="23"/>
      <c r="AE73" s="23"/>
      <c r="AF73" s="23"/>
      <c r="AG73" s="24"/>
      <c r="AH73" s="238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673" t="s">
        <v>3</v>
      </c>
      <c r="F74" s="673" t="s">
        <v>4</v>
      </c>
      <c r="G74" s="673" t="s">
        <v>5</v>
      </c>
      <c r="H74" s="673" t="s">
        <v>6</v>
      </c>
      <c r="I74" s="673" t="s">
        <v>7</v>
      </c>
      <c r="J74" s="28" t="s">
        <v>2</v>
      </c>
      <c r="K74" s="673" t="s">
        <v>8</v>
      </c>
      <c r="L74" s="250" t="s">
        <v>9</v>
      </c>
      <c r="M74" s="250" t="s">
        <v>9</v>
      </c>
      <c r="N74" s="673" t="s">
        <v>12</v>
      </c>
      <c r="O74" s="673" t="s">
        <v>13</v>
      </c>
      <c r="P74" s="673" t="s">
        <v>14</v>
      </c>
      <c r="Q74" s="673" t="s">
        <v>15</v>
      </c>
      <c r="R74" s="673" t="s">
        <v>16</v>
      </c>
      <c r="S74" s="29" t="s">
        <v>10</v>
      </c>
      <c r="T74" s="30" t="s">
        <v>11</v>
      </c>
      <c r="U74" s="673" t="s">
        <v>64</v>
      </c>
      <c r="V74" s="673" t="s">
        <v>65</v>
      </c>
      <c r="W74" s="673" t="s">
        <v>66</v>
      </c>
      <c r="X74" s="673" t="s">
        <v>67</v>
      </c>
      <c r="Y74" s="673" t="s">
        <v>68</v>
      </c>
      <c r="Z74" s="673" t="s">
        <v>69</v>
      </c>
      <c r="AA74" s="673" t="s">
        <v>70</v>
      </c>
      <c r="AB74" s="673" t="s">
        <v>77</v>
      </c>
      <c r="AC74" s="673" t="s">
        <v>78</v>
      </c>
      <c r="AD74" s="688" t="s">
        <v>79</v>
      </c>
      <c r="AE74" s="688" t="s">
        <v>80</v>
      </c>
      <c r="AF74" s="688" t="s">
        <v>81</v>
      </c>
      <c r="AG74" s="690" t="s">
        <v>82</v>
      </c>
      <c r="AH74" s="692">
        <v>2016</v>
      </c>
    </row>
    <row r="75" spans="1:358" ht="21.75" hidden="1" customHeight="1" outlineLevel="1">
      <c r="A75" s="31"/>
      <c r="B75" s="68"/>
      <c r="C75" s="68"/>
      <c r="D75" s="116"/>
      <c r="E75" s="674"/>
      <c r="F75" s="674"/>
      <c r="G75" s="674"/>
      <c r="H75" s="674"/>
      <c r="I75" s="674"/>
      <c r="J75" s="69" t="str">
        <f>$J$6</f>
        <v>(8-12 Jun)</v>
      </c>
      <c r="K75" s="674"/>
      <c r="L75" s="33" t="s">
        <v>20</v>
      </c>
      <c r="M75" s="33" t="s">
        <v>63</v>
      </c>
      <c r="N75" s="674"/>
      <c r="O75" s="674"/>
      <c r="P75" s="674"/>
      <c r="Q75" s="674"/>
      <c r="R75" s="674"/>
      <c r="S75" s="187">
        <f>S6</f>
        <v>42430</v>
      </c>
      <c r="T75" s="188">
        <f>T6</f>
        <v>42461</v>
      </c>
      <c r="U75" s="674"/>
      <c r="V75" s="674"/>
      <c r="W75" s="674"/>
      <c r="X75" s="674"/>
      <c r="Y75" s="674"/>
      <c r="Z75" s="674"/>
      <c r="AA75" s="674"/>
      <c r="AB75" s="674"/>
      <c r="AC75" s="674"/>
      <c r="AD75" s="689"/>
      <c r="AE75" s="689"/>
      <c r="AF75" s="689"/>
      <c r="AG75" s="691"/>
      <c r="AH75" s="686"/>
    </row>
    <row r="76" spans="1:358" hidden="1" outlineLevel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122"/>
      <c r="T76" s="122"/>
      <c r="U76" s="39"/>
      <c r="V76" s="39"/>
      <c r="W76" s="39"/>
      <c r="X76" s="39"/>
      <c r="Y76" s="38"/>
      <c r="Z76" s="38"/>
      <c r="AA76" s="38"/>
      <c r="AB76" s="38"/>
      <c r="AC76" s="38"/>
      <c r="AD76" s="248"/>
      <c r="AE76" s="248"/>
      <c r="AF76" s="248"/>
      <c r="AG76" s="249"/>
      <c r="AH76" s="239"/>
    </row>
    <row r="77" spans="1:358" s="77" customFormat="1" ht="21" hidden="1" customHeight="1" outlineLevel="1">
      <c r="A77" s="675"/>
      <c r="B77" s="676"/>
      <c r="C77" s="676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216"/>
      <c r="T77" s="217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235"/>
      <c r="AH77" s="240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189">
        <v>3.3</v>
      </c>
      <c r="R78" s="189">
        <v>3.27</v>
      </c>
      <c r="S78" s="124"/>
      <c r="T78" s="124"/>
      <c r="U78" s="189">
        <v>3.29</v>
      </c>
      <c r="V78" s="189">
        <v>3.32</v>
      </c>
      <c r="W78" s="189">
        <v>3.33</v>
      </c>
      <c r="X78" s="189">
        <v>3.25</v>
      </c>
      <c r="Y78" s="189">
        <v>3.11</v>
      </c>
      <c r="Z78" s="189">
        <v>3.1</v>
      </c>
      <c r="AA78" s="189">
        <v>3.2</v>
      </c>
      <c r="AB78" s="189">
        <v>3.25</v>
      </c>
      <c r="AC78" s="189">
        <v>3.25</v>
      </c>
      <c r="AD78" s="246">
        <f t="shared" ref="AD78:AD80" si="61">AVERAGE(P78:R78)</f>
        <v>3.3566666666666669</v>
      </c>
      <c r="AE78" s="246">
        <f>AVERAGE(U78:W78)</f>
        <v>3.313333333333333</v>
      </c>
      <c r="AF78" s="246">
        <f>AVERAGE(X78:Z78)</f>
        <v>3.1533333333333329</v>
      </c>
      <c r="AG78" s="247">
        <f>AVERAGE(AA78:AC78)</f>
        <v>3.2333333333333329</v>
      </c>
      <c r="AH78" s="241">
        <f>AVERAGE(P78:AC78)</f>
        <v>3.2641666666666667</v>
      </c>
    </row>
    <row r="79" spans="1:358" ht="42.75" hidden="1" customHeight="1" outlineLevel="1">
      <c r="A79" s="47" t="s">
        <v>24</v>
      </c>
      <c r="B79" s="78">
        <f t="shared" ref="B79" si="62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189">
        <v>3.3</v>
      </c>
      <c r="R79" s="189">
        <v>3.4</v>
      </c>
      <c r="S79" s="124"/>
      <c r="T79" s="124"/>
      <c r="U79" s="189">
        <v>3</v>
      </c>
      <c r="V79" s="189">
        <v>3.3</v>
      </c>
      <c r="W79" s="189">
        <v>3.3</v>
      </c>
      <c r="X79" s="189">
        <v>2.5</v>
      </c>
      <c r="Y79" s="189">
        <v>2</v>
      </c>
      <c r="Z79" s="189">
        <v>2</v>
      </c>
      <c r="AA79" s="189">
        <v>2.2000000000000002</v>
      </c>
      <c r="AB79" s="189">
        <v>2.2999999999999998</v>
      </c>
      <c r="AC79" s="189">
        <v>2.2999999999999998</v>
      </c>
      <c r="AD79" s="246">
        <f t="shared" si="61"/>
        <v>3.4</v>
      </c>
      <c r="AE79" s="246">
        <f t="shared" ref="AE79:AE81" si="63">AVERAGE(U79:W79)</f>
        <v>3.1999999999999997</v>
      </c>
      <c r="AF79" s="246">
        <f t="shared" ref="AF79:AF81" si="64">AVERAGE(X79:Z79)</f>
        <v>2.1666666666666665</v>
      </c>
      <c r="AG79" s="247">
        <f t="shared" ref="AG79:AG81" si="65">AVERAGE(AA79:AC79)</f>
        <v>2.2666666666666666</v>
      </c>
      <c r="AH79" s="241">
        <f>AVERAGE(P79:AC79)</f>
        <v>2.7583333333333333</v>
      </c>
    </row>
    <row r="80" spans="1:358" ht="42.75" hidden="1" customHeight="1" outlineLevel="1">
      <c r="A80" s="47" t="s">
        <v>25</v>
      </c>
      <c r="B80" s="78">
        <f t="shared" ref="B80" si="66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189">
        <v>3.5</v>
      </c>
      <c r="R80" s="189">
        <v>3.5</v>
      </c>
      <c r="S80" s="185" t="s">
        <v>124</v>
      </c>
      <c r="T80" s="186" t="s">
        <v>124</v>
      </c>
      <c r="U80" s="189">
        <v>3.5</v>
      </c>
      <c r="V80" s="189">
        <v>3.5</v>
      </c>
      <c r="W80" s="189">
        <v>3.5</v>
      </c>
      <c r="X80" s="189">
        <v>3.5</v>
      </c>
      <c r="Y80" s="189">
        <v>3.5</v>
      </c>
      <c r="Z80" s="189">
        <v>3.5</v>
      </c>
      <c r="AA80" s="189">
        <v>3.5</v>
      </c>
      <c r="AB80" s="189">
        <v>3.5</v>
      </c>
      <c r="AC80" s="189">
        <v>3.5</v>
      </c>
      <c r="AD80" s="246">
        <f t="shared" si="61"/>
        <v>3.5</v>
      </c>
      <c r="AE80" s="246">
        <f t="shared" si="63"/>
        <v>3.5</v>
      </c>
      <c r="AF80" s="246">
        <f t="shared" si="64"/>
        <v>3.5</v>
      </c>
      <c r="AG80" s="247">
        <f t="shared" si="65"/>
        <v>3.5</v>
      </c>
      <c r="AH80" s="241">
        <f>AVERAGE(P80:AC80)</f>
        <v>3.5</v>
      </c>
    </row>
    <row r="81" spans="1:358" ht="42.75" hidden="1" customHeight="1" outlineLevel="1" thickBot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189">
        <v>2.78</v>
      </c>
      <c r="R81" s="189">
        <v>2.8</v>
      </c>
      <c r="S81" s="192"/>
      <c r="T81" s="192"/>
      <c r="U81" s="189">
        <v>2.8</v>
      </c>
      <c r="V81" s="189">
        <v>3.1</v>
      </c>
      <c r="W81" s="189">
        <v>3.1</v>
      </c>
      <c r="X81" s="189">
        <v>3.1</v>
      </c>
      <c r="Y81" s="189">
        <v>2.7</v>
      </c>
      <c r="Z81" s="189">
        <v>2.7</v>
      </c>
      <c r="AA81" s="189">
        <v>2.7</v>
      </c>
      <c r="AB81" s="189">
        <v>2.7</v>
      </c>
      <c r="AC81" s="189">
        <v>2.7</v>
      </c>
      <c r="AD81" s="246">
        <f>AVERAGE(P81:R81)</f>
        <v>3.026666666666666</v>
      </c>
      <c r="AE81" s="246">
        <f t="shared" si="63"/>
        <v>3</v>
      </c>
      <c r="AF81" s="246">
        <f t="shared" si="64"/>
        <v>2.8333333333333335</v>
      </c>
      <c r="AG81" s="247">
        <f t="shared" si="65"/>
        <v>2.7000000000000006</v>
      </c>
      <c r="AH81" s="241">
        <f>AVERAGE(P81:AC81)</f>
        <v>2.89</v>
      </c>
    </row>
    <row r="82" spans="1:358" s="62" customFormat="1" ht="18.75" hidden="1" customHeight="1" outlineLevel="1" thickBot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67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f>AVERAGE(P78:P81)</f>
        <v>3.5</v>
      </c>
      <c r="Q82" s="59">
        <f>AVERAGE(Q78:Q81)</f>
        <v>3.2199999999999998</v>
      </c>
      <c r="R82" s="59">
        <f>AVERAGE(R78:R81)</f>
        <v>3.2424999999999997</v>
      </c>
      <c r="S82" s="60"/>
      <c r="T82" s="60"/>
      <c r="U82" s="59">
        <f t="shared" ref="U82:AD82" si="68">AVERAGE(U78:U81)</f>
        <v>3.1475</v>
      </c>
      <c r="V82" s="59">
        <f t="shared" si="68"/>
        <v>3.3049999999999997</v>
      </c>
      <c r="W82" s="59">
        <f t="shared" si="68"/>
        <v>3.3074999999999997</v>
      </c>
      <c r="X82" s="59">
        <f t="shared" si="68"/>
        <v>3.0874999999999999</v>
      </c>
      <c r="Y82" s="59">
        <f t="shared" si="68"/>
        <v>2.8274999999999997</v>
      </c>
      <c r="Z82" s="59">
        <f t="shared" si="68"/>
        <v>2.8250000000000002</v>
      </c>
      <c r="AA82" s="59">
        <f t="shared" si="68"/>
        <v>2.9000000000000004</v>
      </c>
      <c r="AB82" s="59">
        <f t="shared" si="68"/>
        <v>2.9375</v>
      </c>
      <c r="AC82" s="59">
        <f t="shared" si="68"/>
        <v>2.9375</v>
      </c>
      <c r="AD82" s="59">
        <f t="shared" si="68"/>
        <v>3.3208333333333333</v>
      </c>
      <c r="AE82" s="59">
        <f>AVERAGE(AE78:AE81)</f>
        <v>3.253333333333333</v>
      </c>
      <c r="AF82" s="59">
        <f t="shared" ref="AF82:AG82" si="69">AVERAGE(AF78:AF81)</f>
        <v>2.9133333333333336</v>
      </c>
      <c r="AG82" s="234">
        <f t="shared" si="69"/>
        <v>2.9250000000000003</v>
      </c>
      <c r="AH82" s="242">
        <f>AVERAGE(AH78:AH81)</f>
        <v>3.1031250000000004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f>P82</f>
        <v>3.5</v>
      </c>
      <c r="Q83" s="164">
        <f t="shared" ref="Q83:R83" si="70">Q82</f>
        <v>3.2199999999999998</v>
      </c>
      <c r="R83" s="164">
        <f t="shared" si="70"/>
        <v>3.2424999999999997</v>
      </c>
      <c r="S83" s="164"/>
      <c r="T83" s="164"/>
      <c r="U83" s="164">
        <f>U82</f>
        <v>3.1475</v>
      </c>
      <c r="V83" s="164">
        <f t="shared" ref="V83:W83" si="71">V82</f>
        <v>3.3049999999999997</v>
      </c>
      <c r="W83" s="164">
        <f t="shared" si="71"/>
        <v>3.3074999999999997</v>
      </c>
      <c r="X83" s="164">
        <v>3.2</v>
      </c>
      <c r="Y83" s="164">
        <v>3.1</v>
      </c>
      <c r="Z83" s="164">
        <v>3.1</v>
      </c>
      <c r="AA83" s="164">
        <v>3.1</v>
      </c>
      <c r="AB83" s="164">
        <v>3</v>
      </c>
      <c r="AC83" s="164">
        <v>3</v>
      </c>
      <c r="AD83" s="164">
        <f>AVERAGE(P83:R83)</f>
        <v>3.3208333333333329</v>
      </c>
      <c r="AE83" s="164">
        <f>AVERAGE(U83:W83)</f>
        <v>3.2533333333333334</v>
      </c>
      <c r="AF83" s="164">
        <f>AVERAGE(X83:Z83)</f>
        <v>3.1333333333333333</v>
      </c>
      <c r="AG83" s="229">
        <f>AVERAGE(AA83:AC83)</f>
        <v>3.0333333333333332</v>
      </c>
      <c r="AH83" s="243">
        <f>AVERAGE(P83:R83,U83:AC83)</f>
        <v>3.1852083333333336</v>
      </c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>
      <c r="A84" s="252"/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6"/>
      <c r="S84" s="125"/>
      <c r="T84" s="125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21" customHeight="1">
      <c r="A85" s="252"/>
      <c r="F85" s="127" t="s">
        <v>4</v>
      </c>
      <c r="G85" s="127" t="s">
        <v>5</v>
      </c>
      <c r="H85" s="127" t="s">
        <v>6</v>
      </c>
      <c r="I85" s="127" t="s">
        <v>7</v>
      </c>
      <c r="J85" s="28" t="s">
        <v>2</v>
      </c>
      <c r="K85" s="127" t="s">
        <v>71</v>
      </c>
      <c r="L85" s="127" t="s">
        <v>72</v>
      </c>
      <c r="M85" s="127" t="s">
        <v>73</v>
      </c>
      <c r="N85" s="127" t="s">
        <v>12</v>
      </c>
      <c r="O85" s="127" t="s">
        <v>13</v>
      </c>
      <c r="P85" s="140" t="s">
        <v>14</v>
      </c>
      <c r="Q85" s="140" t="s">
        <v>15</v>
      </c>
      <c r="R85" s="140" t="s">
        <v>16</v>
      </c>
      <c r="S85" s="141"/>
      <c r="T85" s="141"/>
      <c r="U85" s="140" t="s">
        <v>64</v>
      </c>
      <c r="V85" s="140" t="s">
        <v>65</v>
      </c>
      <c r="W85" s="140" t="s">
        <v>66</v>
      </c>
      <c r="X85" s="140" t="s">
        <v>67</v>
      </c>
      <c r="Y85" s="140" t="s">
        <v>68</v>
      </c>
      <c r="Z85" s="140" t="s">
        <v>69</v>
      </c>
      <c r="AA85" s="140" t="s">
        <v>70</v>
      </c>
      <c r="AB85" s="140" t="s">
        <v>77</v>
      </c>
      <c r="AC85" s="140" t="s">
        <v>78</v>
      </c>
      <c r="AD85" s="127" t="s">
        <v>79</v>
      </c>
      <c r="AE85" s="127" t="s">
        <v>80</v>
      </c>
      <c r="AF85" s="127" t="s">
        <v>81</v>
      </c>
      <c r="AG85" s="127" t="s">
        <v>82</v>
      </c>
      <c r="AH85" s="172">
        <v>2016</v>
      </c>
    </row>
    <row r="86" spans="1:358" ht="17.25" customHeight="1">
      <c r="A86" s="129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26.81</v>
      </c>
      <c r="Q86" s="36">
        <f t="shared" ref="Q86:AB86" si="72">Q15</f>
        <v>28.5</v>
      </c>
      <c r="R86" s="36">
        <f t="shared" si="72"/>
        <v>29</v>
      </c>
      <c r="S86" s="36"/>
      <c r="T86" s="36"/>
      <c r="U86" s="36">
        <f t="shared" si="72"/>
        <v>30</v>
      </c>
      <c r="V86" s="36">
        <f t="shared" si="72"/>
        <v>31.1</v>
      </c>
      <c r="W86" s="36">
        <f t="shared" si="72"/>
        <v>31.5</v>
      </c>
      <c r="X86" s="36">
        <f t="shared" si="72"/>
        <v>33</v>
      </c>
      <c r="Y86" s="36">
        <f t="shared" si="72"/>
        <v>34.85</v>
      </c>
      <c r="Z86" s="36">
        <f t="shared" si="72"/>
        <v>36.625</v>
      </c>
      <c r="AA86" s="36">
        <f t="shared" si="72"/>
        <v>38.75</v>
      </c>
      <c r="AB86" s="36">
        <f t="shared" si="72"/>
        <v>39.450000000000003</v>
      </c>
      <c r="AC86" s="36">
        <f>AC15</f>
        <v>41</v>
      </c>
      <c r="AD86" s="36">
        <f>AD15</f>
        <v>28.103333333333335</v>
      </c>
      <c r="AE86" s="36">
        <f t="shared" ref="AE86:AF86" si="73">AE15</f>
        <v>30.866666666666664</v>
      </c>
      <c r="AF86" s="36">
        <f t="shared" si="73"/>
        <v>34.824999999999996</v>
      </c>
      <c r="AG86" s="36">
        <f>AG15</f>
        <v>39.733333333333334</v>
      </c>
      <c r="AH86" s="173">
        <f t="shared" ref="AH86:AH92" si="74">AVERAGE(P86:AC86)</f>
        <v>33.382083333333334</v>
      </c>
    </row>
    <row r="87" spans="1:358" ht="18.5">
      <c r="A87" s="129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36.599999999999994</v>
      </c>
      <c r="Q87" s="36">
        <f t="shared" ref="Q87:AC87" si="75">Q15+Q26</f>
        <v>33.447499999999998</v>
      </c>
      <c r="R87" s="36">
        <f t="shared" si="75"/>
        <v>33.65</v>
      </c>
      <c r="S87" s="36"/>
      <c r="T87" s="36"/>
      <c r="U87" s="36">
        <f t="shared" si="75"/>
        <v>34.325000000000003</v>
      </c>
      <c r="V87" s="36">
        <f t="shared" si="75"/>
        <v>35.65</v>
      </c>
      <c r="W87" s="36">
        <f t="shared" si="75"/>
        <v>35.85</v>
      </c>
      <c r="X87" s="36">
        <f t="shared" si="75"/>
        <v>37.1</v>
      </c>
      <c r="Y87" s="36">
        <f t="shared" si="75"/>
        <v>38.450000000000003</v>
      </c>
      <c r="Z87" s="36">
        <f t="shared" si="75"/>
        <v>39.825000000000003</v>
      </c>
      <c r="AA87" s="36">
        <f t="shared" si="75"/>
        <v>41.875</v>
      </c>
      <c r="AB87" s="36">
        <f t="shared" si="75"/>
        <v>43.075000000000003</v>
      </c>
      <c r="AC87" s="36">
        <f t="shared" si="75"/>
        <v>44.924999999999997</v>
      </c>
      <c r="AD87" s="36">
        <f>AD15+AD26</f>
        <v>34.565833333333337</v>
      </c>
      <c r="AE87" s="36">
        <f t="shared" ref="AE87:AF87" si="76">AE15+AE26</f>
        <v>35.274999999999999</v>
      </c>
      <c r="AF87" s="36">
        <f t="shared" si="76"/>
        <v>38.458333333333329</v>
      </c>
      <c r="AG87" s="36">
        <f>AG15+AG26</f>
        <v>43.291666666666671</v>
      </c>
      <c r="AH87" s="173">
        <f t="shared" si="74"/>
        <v>37.897708333333334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5">
      <c r="A88" s="129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50.42</v>
      </c>
      <c r="Q88" s="36">
        <f t="shared" ref="Q88:AB88" si="77">Q37+Q15</f>
        <v>44.447500000000005</v>
      </c>
      <c r="R88" s="36">
        <f t="shared" si="77"/>
        <v>46.225000000000001</v>
      </c>
      <c r="S88" s="36"/>
      <c r="T88" s="36"/>
      <c r="U88" s="36">
        <f t="shared" si="77"/>
        <v>48.2</v>
      </c>
      <c r="V88" s="36">
        <f t="shared" si="77"/>
        <v>49.95</v>
      </c>
      <c r="W88" s="36">
        <f t="shared" si="77"/>
        <v>50.8</v>
      </c>
      <c r="X88" s="36">
        <f t="shared" si="77"/>
        <v>51.4</v>
      </c>
      <c r="Y88" s="36">
        <f t="shared" si="77"/>
        <v>52.35</v>
      </c>
      <c r="Z88" s="36">
        <f t="shared" si="77"/>
        <v>52.95</v>
      </c>
      <c r="AA88" s="36">
        <f t="shared" si="77"/>
        <v>54.85</v>
      </c>
      <c r="AB88" s="36">
        <f t="shared" si="77"/>
        <v>54.725000000000001</v>
      </c>
      <c r="AC88" s="36">
        <f>AC37+AC15</f>
        <v>56.075000000000003</v>
      </c>
      <c r="AD88" s="36">
        <f>AD37+AD15</f>
        <v>47.030833333333334</v>
      </c>
      <c r="AE88" s="36">
        <f t="shared" ref="AE88:AF88" si="78">AE37+AE15</f>
        <v>49.649999999999991</v>
      </c>
      <c r="AF88" s="36">
        <f t="shared" si="78"/>
        <v>52.233333333333327</v>
      </c>
      <c r="AG88" s="36">
        <f>AG37+AG15</f>
        <v>55.216666666666669</v>
      </c>
      <c r="AH88" s="173">
        <f t="shared" si="74"/>
        <v>51.032708333333339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5">
      <c r="A89" s="129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37.909999999999997</v>
      </c>
      <c r="Q89" s="36">
        <f t="shared" ref="Q89:AC89" si="79">Q48+Q15</f>
        <v>39.844999999999999</v>
      </c>
      <c r="R89" s="36">
        <f t="shared" si="79"/>
        <v>40.375</v>
      </c>
      <c r="S89" s="36"/>
      <c r="T89" s="36"/>
      <c r="U89" s="36">
        <f t="shared" si="79"/>
        <v>41.174999999999997</v>
      </c>
      <c r="V89" s="36">
        <f t="shared" si="79"/>
        <v>41.825000000000003</v>
      </c>
      <c r="W89" s="36">
        <f t="shared" si="79"/>
        <v>42</v>
      </c>
      <c r="X89" s="36">
        <f t="shared" si="79"/>
        <v>43.2</v>
      </c>
      <c r="Y89" s="36">
        <f t="shared" si="79"/>
        <v>45.337500000000006</v>
      </c>
      <c r="Z89" s="36">
        <f t="shared" si="79"/>
        <v>47.5</v>
      </c>
      <c r="AA89" s="36">
        <f t="shared" si="79"/>
        <v>50.75</v>
      </c>
      <c r="AB89" s="36">
        <f t="shared" si="79"/>
        <v>51.900000000000006</v>
      </c>
      <c r="AC89" s="36">
        <f t="shared" si="79"/>
        <v>54</v>
      </c>
      <c r="AD89" s="36">
        <f>AD48+AD15</f>
        <v>39.376666666666665</v>
      </c>
      <c r="AE89" s="36">
        <f t="shared" ref="AE89:AF89" si="80">AE48+AE15</f>
        <v>41.666666666666664</v>
      </c>
      <c r="AF89" s="36">
        <f t="shared" si="80"/>
        <v>45.345833333333331</v>
      </c>
      <c r="AG89" s="36">
        <f>AG48+AG15</f>
        <v>52.216666666666669</v>
      </c>
      <c r="AH89" s="173">
        <f t="shared" si="74"/>
        <v>44.651458333333331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5">
      <c r="A90" s="129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81">Q61+Q15</f>
        <v>37.947499999999998</v>
      </c>
      <c r="R90" s="36">
        <f t="shared" si="81"/>
        <v>39</v>
      </c>
      <c r="S90" s="36"/>
      <c r="T90" s="36"/>
      <c r="U90" s="36">
        <f t="shared" si="81"/>
        <v>40.799999999999997</v>
      </c>
      <c r="V90" s="36">
        <f t="shared" si="81"/>
        <v>41.6875</v>
      </c>
      <c r="W90" s="36">
        <f t="shared" si="81"/>
        <v>41.8</v>
      </c>
      <c r="X90" s="36">
        <f t="shared" si="81"/>
        <v>43.422499999999999</v>
      </c>
      <c r="Y90" s="36">
        <f t="shared" si="81"/>
        <v>44.775000000000006</v>
      </c>
      <c r="Z90" s="36">
        <f t="shared" si="81"/>
        <v>46.975000000000001</v>
      </c>
      <c r="AA90" s="36">
        <f t="shared" si="81"/>
        <v>50.05</v>
      </c>
      <c r="AB90" s="36">
        <f t="shared" si="81"/>
        <v>51.300000000000004</v>
      </c>
      <c r="AC90" s="36">
        <f t="shared" si="81"/>
        <v>53.4</v>
      </c>
      <c r="AD90" s="36">
        <f>AD61+AD15</f>
        <v>37.69916666666667</v>
      </c>
      <c r="AE90" s="36">
        <f t="shared" ref="AE90:AF90" si="82">AE61+AE15</f>
        <v>41.429166666666667</v>
      </c>
      <c r="AF90" s="36">
        <f t="shared" si="82"/>
        <v>45.057499999999997</v>
      </c>
      <c r="AG90" s="36">
        <f>AG61+AG15</f>
        <v>51.583333333333336</v>
      </c>
      <c r="AH90" s="173">
        <f t="shared" si="74"/>
        <v>43.942291666666669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5">
      <c r="A91" s="129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150.36799999999999</v>
      </c>
      <c r="Q91" s="134">
        <f t="shared" ref="Q91:AC91" si="83">(Q72+Q15)*6.35</f>
        <v>151.86024999999998</v>
      </c>
      <c r="R91" s="134">
        <f t="shared" si="83"/>
        <v>147.79624999999999</v>
      </c>
      <c r="S91" s="134"/>
      <c r="T91" s="134"/>
      <c r="U91" s="134">
        <f t="shared" si="83"/>
        <v>151.14984375</v>
      </c>
      <c r="V91" s="134">
        <f t="shared" si="83"/>
        <v>155.73375000000001</v>
      </c>
      <c r="W91" s="134">
        <f t="shared" si="83"/>
        <v>157.16249999999999</v>
      </c>
      <c r="X91" s="134">
        <f t="shared" si="83"/>
        <v>164.86187499999997</v>
      </c>
      <c r="Y91" s="134">
        <f t="shared" si="83"/>
        <v>177.24437499999999</v>
      </c>
      <c r="Z91" s="134">
        <f t="shared" si="83"/>
        <v>188.67437499999997</v>
      </c>
      <c r="AA91" s="134">
        <f t="shared" si="83"/>
        <v>203.16031249999997</v>
      </c>
      <c r="AB91" s="134">
        <f t="shared" si="83"/>
        <v>207.3671875</v>
      </c>
      <c r="AC91" s="134">
        <f t="shared" si="83"/>
        <v>217.78515625</v>
      </c>
      <c r="AD91" s="134">
        <f>(AD72+AD15)*6.35</f>
        <v>150.00816666666668</v>
      </c>
      <c r="AE91" s="134">
        <f t="shared" ref="AE91:AF91" si="84">(AE72+AE15)*6.35</f>
        <v>154.68203124999997</v>
      </c>
      <c r="AF91" s="134">
        <f t="shared" si="84"/>
        <v>176.92687499999997</v>
      </c>
      <c r="AG91" s="134">
        <f>(AG72+AG15)*6.35</f>
        <v>209.43755208333334</v>
      </c>
      <c r="AH91" s="173">
        <f t="shared" si="74"/>
        <v>172.76365625000003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8.5">
      <c r="A92" s="129" t="s">
        <v>53</v>
      </c>
      <c r="B92" s="129" t="s">
        <v>53</v>
      </c>
      <c r="C92" s="129" t="s">
        <v>53</v>
      </c>
      <c r="D92" s="130"/>
      <c r="E92" s="130"/>
      <c r="F92" s="36"/>
      <c r="G92" s="36"/>
      <c r="H92" s="36"/>
      <c r="I92" s="36"/>
      <c r="J92" s="36" t="e">
        <f>J82</f>
        <v>#DIV/0!</v>
      </c>
      <c r="K92" s="36">
        <f t="shared" ref="K92:L92" si="85">K82</f>
        <v>1.2</v>
      </c>
      <c r="L92" s="36">
        <f t="shared" si="85"/>
        <v>1.5</v>
      </c>
      <c r="M92" s="36">
        <f>M82</f>
        <v>1.625</v>
      </c>
      <c r="N92" s="36">
        <f>N83+N15</f>
        <v>47.85</v>
      </c>
      <c r="O92" s="36">
        <f>O83+O15</f>
        <v>2.0666666666666669</v>
      </c>
      <c r="P92" s="36">
        <f>P83+P15</f>
        <v>30.31</v>
      </c>
      <c r="Q92" s="36">
        <f t="shared" ref="Q92:AB92" si="86">Q83+Q15</f>
        <v>31.72</v>
      </c>
      <c r="R92" s="36">
        <f t="shared" si="86"/>
        <v>32.2425</v>
      </c>
      <c r="S92" s="36"/>
      <c r="T92" s="36"/>
      <c r="U92" s="36">
        <f t="shared" si="86"/>
        <v>33.147500000000001</v>
      </c>
      <c r="V92" s="36">
        <f t="shared" si="86"/>
        <v>34.405000000000001</v>
      </c>
      <c r="W92" s="36">
        <f t="shared" si="86"/>
        <v>34.807499999999997</v>
      </c>
      <c r="X92" s="36">
        <f t="shared" si="86"/>
        <v>36.200000000000003</v>
      </c>
      <c r="Y92" s="36">
        <f t="shared" si="86"/>
        <v>37.950000000000003</v>
      </c>
      <c r="Z92" s="36">
        <f t="shared" si="86"/>
        <v>39.725000000000001</v>
      </c>
      <c r="AA92" s="36">
        <f t="shared" si="86"/>
        <v>41.85</v>
      </c>
      <c r="AB92" s="36">
        <f t="shared" si="86"/>
        <v>42.45</v>
      </c>
      <c r="AC92" s="36">
        <f>AC83+AC15</f>
        <v>44</v>
      </c>
      <c r="AD92" s="36">
        <f>AD83+AD15</f>
        <v>31.424166666666668</v>
      </c>
      <c r="AE92" s="36">
        <f t="shared" ref="AE92" si="87">AE83+AE15</f>
        <v>34.119999999999997</v>
      </c>
      <c r="AF92" s="36">
        <f>AF83+AF15</f>
        <v>37.958333333333329</v>
      </c>
      <c r="AG92" s="36">
        <f>AG83+AG15</f>
        <v>42.766666666666666</v>
      </c>
      <c r="AH92" s="173">
        <f t="shared" si="74"/>
        <v>36.567291666666669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7"/>
      <c r="S93" s="136"/>
      <c r="T93" s="136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.5">
      <c r="A94" s="200" t="s">
        <v>54</v>
      </c>
      <c r="B94" s="138" t="s">
        <v>54</v>
      </c>
      <c r="C94" s="138" t="s">
        <v>54</v>
      </c>
      <c r="D94" s="139"/>
      <c r="E94" s="139"/>
      <c r="F94" s="140" t="s">
        <v>4</v>
      </c>
      <c r="G94" s="140" t="s">
        <v>5</v>
      </c>
      <c r="H94" s="140" t="s">
        <v>6</v>
      </c>
      <c r="I94" s="140" t="s">
        <v>7</v>
      </c>
      <c r="J94" s="28" t="s">
        <v>2</v>
      </c>
      <c r="K94" s="140" t="s">
        <v>9</v>
      </c>
      <c r="L94" s="140" t="s">
        <v>9</v>
      </c>
      <c r="M94" s="140" t="s">
        <v>9</v>
      </c>
      <c r="N94" s="140" t="s">
        <v>12</v>
      </c>
      <c r="O94" s="140" t="s">
        <v>13</v>
      </c>
      <c r="P94" s="140" t="s">
        <v>14</v>
      </c>
      <c r="Q94" s="140" t="s">
        <v>15</v>
      </c>
      <c r="R94" s="140" t="s">
        <v>16</v>
      </c>
      <c r="S94" s="141"/>
      <c r="T94" s="141"/>
      <c r="U94" s="140" t="s">
        <v>64</v>
      </c>
      <c r="V94" s="140" t="s">
        <v>65</v>
      </c>
      <c r="W94" s="140" t="s">
        <v>66</v>
      </c>
      <c r="X94" s="140" t="s">
        <v>67</v>
      </c>
      <c r="Y94" s="140" t="s">
        <v>68</v>
      </c>
      <c r="Z94" s="140" t="s">
        <v>69</v>
      </c>
      <c r="AA94" s="140" t="s">
        <v>70</v>
      </c>
      <c r="AB94" s="140" t="s">
        <v>77</v>
      </c>
      <c r="AC94" s="140" t="s">
        <v>78</v>
      </c>
      <c r="AD94" s="140" t="s">
        <v>79</v>
      </c>
      <c r="AE94" s="140" t="s">
        <v>80</v>
      </c>
      <c r="AF94" s="140" t="s">
        <v>81</v>
      </c>
      <c r="AG94" s="140" t="s">
        <v>82</v>
      </c>
      <c r="AH94" s="140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.5">
      <c r="A95" s="200" t="s">
        <v>56</v>
      </c>
      <c r="B95" s="138" t="s">
        <v>56</v>
      </c>
      <c r="C95" s="138" t="s">
        <v>56</v>
      </c>
      <c r="D95" s="142"/>
      <c r="E95" s="142"/>
      <c r="F95" s="143">
        <f t="shared" ref="F95" si="88">F86</f>
        <v>0</v>
      </c>
      <c r="G95" s="143">
        <f>G86</f>
        <v>56.18</v>
      </c>
      <c r="H95" s="143">
        <f t="shared" ref="H95" si="89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90">K86</f>
        <v>48.3</v>
      </c>
      <c r="L95" s="143">
        <f t="shared" si="90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26.81</v>
      </c>
      <c r="Q95" s="143">
        <f>Q86</f>
        <v>28.5</v>
      </c>
      <c r="R95" s="143">
        <f t="shared" ref="R95" si="91">R86</f>
        <v>29</v>
      </c>
      <c r="S95" s="144"/>
      <c r="T95" s="144"/>
      <c r="U95" s="143">
        <f t="shared" ref="U95:AG95" si="92">U86</f>
        <v>30</v>
      </c>
      <c r="V95" s="143">
        <f t="shared" si="92"/>
        <v>31.1</v>
      </c>
      <c r="W95" s="143">
        <f t="shared" si="92"/>
        <v>31.5</v>
      </c>
      <c r="X95" s="143">
        <f t="shared" si="92"/>
        <v>33</v>
      </c>
      <c r="Y95" s="143">
        <f t="shared" si="92"/>
        <v>34.85</v>
      </c>
      <c r="Z95" s="143">
        <f t="shared" si="92"/>
        <v>36.625</v>
      </c>
      <c r="AA95" s="143">
        <f t="shared" si="92"/>
        <v>38.75</v>
      </c>
      <c r="AB95" s="143">
        <f t="shared" si="92"/>
        <v>39.450000000000003</v>
      </c>
      <c r="AC95" s="143">
        <f t="shared" si="92"/>
        <v>41</v>
      </c>
      <c r="AD95" s="143">
        <f t="shared" si="92"/>
        <v>28.103333333333335</v>
      </c>
      <c r="AE95" s="143">
        <f t="shared" si="92"/>
        <v>30.866666666666664</v>
      </c>
      <c r="AF95" s="143">
        <f t="shared" si="92"/>
        <v>34.824999999999996</v>
      </c>
      <c r="AG95" s="143">
        <f t="shared" si="92"/>
        <v>39.733333333333334</v>
      </c>
      <c r="AH95" s="173">
        <f t="shared" ref="AH95:AH101" si="93">AVERAGE(P95:AC95)</f>
        <v>33.382083333333334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.5">
      <c r="A96" s="200" t="s">
        <v>57</v>
      </c>
      <c r="B96" s="138" t="s">
        <v>57</v>
      </c>
      <c r="C96" s="138" t="s">
        <v>57</v>
      </c>
      <c r="D96" s="142"/>
      <c r="E96" s="142"/>
      <c r="F96" s="143">
        <f t="shared" ref="F96" si="94">F87-F86</f>
        <v>0</v>
      </c>
      <c r="G96" s="143">
        <f>G87-G86</f>
        <v>-3.0341000000000022</v>
      </c>
      <c r="H96" s="143">
        <f t="shared" ref="H96" si="95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96">K87-K86</f>
        <v>#REF!</v>
      </c>
      <c r="L96" s="143" t="e">
        <f t="shared" si="96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9.7899999999999956</v>
      </c>
      <c r="Q96" s="143">
        <f>Q87-Q86</f>
        <v>4.947499999999998</v>
      </c>
      <c r="R96" s="143">
        <f t="shared" ref="R96" si="97">R87-R86</f>
        <v>4.6499999999999986</v>
      </c>
      <c r="S96" s="144"/>
      <c r="T96" s="144"/>
      <c r="U96" s="143">
        <f t="shared" ref="U96:AG96" si="98">U87-U86</f>
        <v>4.3250000000000028</v>
      </c>
      <c r="V96" s="143">
        <f t="shared" si="98"/>
        <v>4.5499999999999972</v>
      </c>
      <c r="W96" s="143">
        <f t="shared" si="98"/>
        <v>4.3500000000000014</v>
      </c>
      <c r="X96" s="143">
        <f t="shared" si="98"/>
        <v>4.1000000000000014</v>
      </c>
      <c r="Y96" s="143">
        <f t="shared" si="98"/>
        <v>3.6000000000000014</v>
      </c>
      <c r="Z96" s="143">
        <f t="shared" si="98"/>
        <v>3.2000000000000028</v>
      </c>
      <c r="AA96" s="143">
        <f t="shared" si="98"/>
        <v>3.125</v>
      </c>
      <c r="AB96" s="143">
        <f t="shared" si="98"/>
        <v>3.625</v>
      </c>
      <c r="AC96" s="143">
        <f t="shared" si="98"/>
        <v>3.9249999999999972</v>
      </c>
      <c r="AD96" s="143">
        <f t="shared" si="98"/>
        <v>6.4625000000000021</v>
      </c>
      <c r="AE96" s="143">
        <f t="shared" si="98"/>
        <v>4.408333333333335</v>
      </c>
      <c r="AF96" s="143">
        <f t="shared" si="98"/>
        <v>3.6333333333333329</v>
      </c>
      <c r="AG96" s="143">
        <f t="shared" si="98"/>
        <v>3.5583333333333371</v>
      </c>
      <c r="AH96" s="173">
        <f t="shared" si="93"/>
        <v>4.515625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5">
      <c r="A97" s="200" t="s">
        <v>58</v>
      </c>
      <c r="B97" s="138" t="s">
        <v>58</v>
      </c>
      <c r="C97" s="138" t="s">
        <v>58</v>
      </c>
      <c r="D97" s="142"/>
      <c r="E97" s="142"/>
      <c r="F97" s="143">
        <f t="shared" ref="F97" si="99">F88-F86</f>
        <v>0</v>
      </c>
      <c r="G97" s="143">
        <f>G88-G86</f>
        <v>19.766299999999994</v>
      </c>
      <c r="H97" s="143">
        <f t="shared" ref="H97" si="100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101">K88-K86</f>
        <v>16.482500000000002</v>
      </c>
      <c r="L97" s="143">
        <f t="shared" si="101"/>
        <v>17.249999999999993</v>
      </c>
      <c r="M97" s="143">
        <f t="shared" si="101"/>
        <v>16.372499999999995</v>
      </c>
      <c r="N97" s="143">
        <f>N88-N86</f>
        <v>15.8125</v>
      </c>
      <c r="O97" s="143">
        <f>O88-O86</f>
        <v>17.5</v>
      </c>
      <c r="P97" s="143">
        <f>P88-P86</f>
        <v>23.610000000000003</v>
      </c>
      <c r="Q97" s="143">
        <f t="shared" ref="Q97" si="102">Q88-Q86</f>
        <v>15.947500000000005</v>
      </c>
      <c r="R97" s="143">
        <f>R88-R86</f>
        <v>17.225000000000001</v>
      </c>
      <c r="S97" s="144"/>
      <c r="T97" s="144"/>
      <c r="U97" s="143">
        <f t="shared" ref="U97:AG97" si="103">U88-U86</f>
        <v>18.200000000000003</v>
      </c>
      <c r="V97" s="143">
        <f t="shared" si="103"/>
        <v>18.850000000000001</v>
      </c>
      <c r="W97" s="143">
        <f t="shared" si="103"/>
        <v>19.299999999999997</v>
      </c>
      <c r="X97" s="143">
        <f t="shared" si="103"/>
        <v>18.399999999999999</v>
      </c>
      <c r="Y97" s="143">
        <f t="shared" si="103"/>
        <v>17.5</v>
      </c>
      <c r="Z97" s="143">
        <f t="shared" si="103"/>
        <v>16.325000000000003</v>
      </c>
      <c r="AA97" s="143">
        <f t="shared" si="103"/>
        <v>16.100000000000001</v>
      </c>
      <c r="AB97" s="143">
        <f t="shared" si="103"/>
        <v>15.274999999999999</v>
      </c>
      <c r="AC97" s="143">
        <f t="shared" si="103"/>
        <v>15.075000000000003</v>
      </c>
      <c r="AD97" s="143">
        <f t="shared" si="103"/>
        <v>18.927499999999998</v>
      </c>
      <c r="AE97" s="143">
        <f t="shared" si="103"/>
        <v>18.783333333333328</v>
      </c>
      <c r="AF97" s="143">
        <f t="shared" si="103"/>
        <v>17.408333333333331</v>
      </c>
      <c r="AG97" s="143">
        <f t="shared" si="103"/>
        <v>15.483333333333334</v>
      </c>
      <c r="AH97" s="173">
        <f t="shared" si="93"/>
        <v>17.650625000000002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5">
      <c r="A98" s="200" t="s">
        <v>59</v>
      </c>
      <c r="B98" s="138" t="s">
        <v>59</v>
      </c>
      <c r="C98" s="138" t="s">
        <v>59</v>
      </c>
      <c r="D98" s="142"/>
      <c r="E98" s="142"/>
      <c r="F98" s="143">
        <f t="shared" ref="F98" si="104">F89-F86</f>
        <v>0</v>
      </c>
      <c r="G98" s="143">
        <f>G89-G86</f>
        <v>9.6289999999999978</v>
      </c>
      <c r="H98" s="143">
        <f t="shared" ref="H98" si="105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106">K89-K86</f>
        <v>13.11</v>
      </c>
      <c r="L98" s="143">
        <f t="shared" si="106"/>
        <v>13.435000000000002</v>
      </c>
      <c r="M98" s="143">
        <f t="shared" si="106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11.099999999999998</v>
      </c>
      <c r="Q98" s="143">
        <f>Q89-Q86</f>
        <v>11.344999999999999</v>
      </c>
      <c r="R98" s="143">
        <f t="shared" ref="R98" si="107">R89-R86</f>
        <v>11.375</v>
      </c>
      <c r="S98" s="144"/>
      <c r="T98" s="144"/>
      <c r="U98" s="143">
        <f t="shared" ref="U98:AG98" si="108">U89-U86</f>
        <v>11.174999999999997</v>
      </c>
      <c r="V98" s="143">
        <f t="shared" si="108"/>
        <v>10.725000000000001</v>
      </c>
      <c r="W98" s="143">
        <f t="shared" si="108"/>
        <v>10.5</v>
      </c>
      <c r="X98" s="143">
        <f t="shared" si="108"/>
        <v>10.200000000000003</v>
      </c>
      <c r="Y98" s="143">
        <f t="shared" si="108"/>
        <v>10.487500000000004</v>
      </c>
      <c r="Z98" s="143">
        <f t="shared" si="108"/>
        <v>10.875</v>
      </c>
      <c r="AA98" s="143">
        <f t="shared" si="108"/>
        <v>12</v>
      </c>
      <c r="AB98" s="143">
        <f t="shared" si="108"/>
        <v>12.450000000000003</v>
      </c>
      <c r="AC98" s="143">
        <f t="shared" si="108"/>
        <v>13</v>
      </c>
      <c r="AD98" s="143">
        <f t="shared" si="108"/>
        <v>11.27333333333333</v>
      </c>
      <c r="AE98" s="143">
        <f t="shared" si="108"/>
        <v>10.8</v>
      </c>
      <c r="AF98" s="143">
        <f t="shared" si="108"/>
        <v>10.520833333333336</v>
      </c>
      <c r="AG98" s="143">
        <f t="shared" si="108"/>
        <v>12.483333333333334</v>
      </c>
      <c r="AH98" s="173">
        <f t="shared" si="93"/>
        <v>11.269375000000002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.5">
      <c r="A99" s="200" t="s">
        <v>60</v>
      </c>
      <c r="B99" s="138" t="s">
        <v>60</v>
      </c>
      <c r="C99" s="138" t="s">
        <v>60</v>
      </c>
      <c r="D99" s="142"/>
      <c r="E99" s="142"/>
      <c r="F99" s="143">
        <f t="shared" ref="F99" si="109">F90-F86</f>
        <v>0</v>
      </c>
      <c r="G99" s="143">
        <f>G90-G86</f>
        <v>8.8899999999999935</v>
      </c>
      <c r="H99" s="143">
        <f t="shared" ref="H99" si="110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111">K90-K86</f>
        <v>13.350000000000001</v>
      </c>
      <c r="L99" s="143">
        <f t="shared" si="111"/>
        <v>13.75</v>
      </c>
      <c r="M99" s="143">
        <f t="shared" si="111"/>
        <v>13.07</v>
      </c>
      <c r="N99" s="143">
        <f>N90-N86</f>
        <v>14.030000000000001</v>
      </c>
      <c r="O99" s="143">
        <f>O90-O86</f>
        <v>14.15</v>
      </c>
      <c r="P99" s="143">
        <f>P90-P86</f>
        <v>9.34</v>
      </c>
      <c r="Q99" s="143">
        <f>Q90-Q86</f>
        <v>9.447499999999998</v>
      </c>
      <c r="R99" s="143">
        <f t="shared" ref="R99" si="112">R90-R86</f>
        <v>10</v>
      </c>
      <c r="S99" s="144"/>
      <c r="T99" s="144"/>
      <c r="U99" s="143">
        <f t="shared" ref="U99:AG99" si="113">U90-U86</f>
        <v>10.799999999999997</v>
      </c>
      <c r="V99" s="143">
        <f t="shared" si="113"/>
        <v>10.587499999999999</v>
      </c>
      <c r="W99" s="143">
        <f t="shared" si="113"/>
        <v>10.299999999999997</v>
      </c>
      <c r="X99" s="143">
        <f t="shared" si="113"/>
        <v>10.422499999999999</v>
      </c>
      <c r="Y99" s="143">
        <f t="shared" si="113"/>
        <v>9.9250000000000043</v>
      </c>
      <c r="Z99" s="143">
        <f t="shared" si="113"/>
        <v>10.350000000000001</v>
      </c>
      <c r="AA99" s="143">
        <f t="shared" si="113"/>
        <v>11.299999999999997</v>
      </c>
      <c r="AB99" s="143">
        <f t="shared" si="113"/>
        <v>11.850000000000001</v>
      </c>
      <c r="AC99" s="143">
        <f t="shared" si="113"/>
        <v>12.399999999999999</v>
      </c>
      <c r="AD99" s="143">
        <f t="shared" si="113"/>
        <v>9.595833333333335</v>
      </c>
      <c r="AE99" s="143">
        <f t="shared" si="113"/>
        <v>10.562500000000004</v>
      </c>
      <c r="AF99" s="143">
        <f t="shared" si="113"/>
        <v>10.232500000000002</v>
      </c>
      <c r="AG99" s="143">
        <f t="shared" si="113"/>
        <v>11.850000000000001</v>
      </c>
      <c r="AH99" s="173">
        <f t="shared" si="93"/>
        <v>10.560208333333334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18.5">
      <c r="A100" s="200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114">H91-H86</f>
        <v>-8.9503004558640669</v>
      </c>
      <c r="I100" s="143">
        <f t="shared" si="114"/>
        <v>-7.8993307086614237</v>
      </c>
      <c r="J100" s="143">
        <f t="shared" ref="J100" si="115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-3.13</v>
      </c>
      <c r="Q100" s="143">
        <f>Q72</f>
        <v>-4.585</v>
      </c>
      <c r="R100" s="143">
        <f t="shared" ref="R100" si="116">R72</f>
        <v>-5.7249999999999996</v>
      </c>
      <c r="S100" s="144"/>
      <c r="T100" s="144"/>
      <c r="U100" s="143">
        <f t="shared" ref="U100" si="117">U72</f>
        <v>-6.1968750000000004</v>
      </c>
      <c r="V100" s="143">
        <f t="shared" ref="V100:AG100" si="118">V71</f>
        <v>-6.5750000000000002</v>
      </c>
      <c r="W100" s="143">
        <f t="shared" si="118"/>
        <v>-6.75</v>
      </c>
      <c r="X100" s="143">
        <f t="shared" si="118"/>
        <v>-7.0374999999999996</v>
      </c>
      <c r="Y100" s="143">
        <f t="shared" si="118"/>
        <v>-6.9375</v>
      </c>
      <c r="Z100" s="143">
        <f t="shared" si="118"/>
        <v>-6.9124999999999996</v>
      </c>
      <c r="AA100" s="143">
        <f t="shared" si="118"/>
        <v>-6.7562499999999996</v>
      </c>
      <c r="AB100" s="143">
        <f t="shared" si="118"/>
        <v>-6.7937500000000002</v>
      </c>
      <c r="AC100" s="143">
        <f t="shared" si="118"/>
        <v>-6.703125</v>
      </c>
      <c r="AD100" s="143">
        <f t="shared" si="118"/>
        <v>-4.4800000000000004</v>
      </c>
      <c r="AE100" s="143">
        <f t="shared" si="118"/>
        <v>-6.5072916666666663</v>
      </c>
      <c r="AF100" s="143">
        <f t="shared" si="118"/>
        <v>-6.9624999999999995</v>
      </c>
      <c r="AG100" s="143">
        <f t="shared" si="118"/>
        <v>-6.7510416666666666</v>
      </c>
      <c r="AH100" s="173">
        <f t="shared" si="93"/>
        <v>-6.1752083333333339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>
      <c r="A101" s="201" t="s">
        <v>62</v>
      </c>
      <c r="B101" s="145" t="s">
        <v>62</v>
      </c>
      <c r="C101" s="145" t="s">
        <v>62</v>
      </c>
      <c r="D101" s="142"/>
      <c r="E101" s="142"/>
      <c r="F101" s="143">
        <f t="shared" ref="F101" si="119">F82</f>
        <v>0</v>
      </c>
      <c r="G101" s="143">
        <f>G82</f>
        <v>0</v>
      </c>
      <c r="H101" s="143">
        <f t="shared" ref="H101" si="120">H82</f>
        <v>0</v>
      </c>
      <c r="I101" s="143">
        <f>I82</f>
        <v>0</v>
      </c>
      <c r="J101" s="143" t="e">
        <f>J82</f>
        <v>#DIV/0!</v>
      </c>
      <c r="K101" s="143">
        <f t="shared" ref="K101:M101" si="121">K82</f>
        <v>1.2</v>
      </c>
      <c r="L101" s="143">
        <f t="shared" si="121"/>
        <v>1.5</v>
      </c>
      <c r="M101" s="143">
        <f t="shared" si="121"/>
        <v>1.625</v>
      </c>
      <c r="N101" s="143">
        <f>N92-N86</f>
        <v>1.6000000000000014</v>
      </c>
      <c r="O101" s="143">
        <f>O92-O86</f>
        <v>2.0666666666666669</v>
      </c>
      <c r="P101" s="143">
        <f>P92-P86</f>
        <v>3.5</v>
      </c>
      <c r="Q101" s="143">
        <f>Q92-Q86</f>
        <v>3.2199999999999989</v>
      </c>
      <c r="R101" s="143">
        <f t="shared" ref="R101" si="122">R92-R86</f>
        <v>3.2424999999999997</v>
      </c>
      <c r="S101" s="144"/>
      <c r="T101" s="144"/>
      <c r="U101" s="143">
        <f t="shared" ref="U101:AG101" si="123">U92-U86</f>
        <v>3.1475000000000009</v>
      </c>
      <c r="V101" s="143">
        <f t="shared" si="123"/>
        <v>3.3049999999999997</v>
      </c>
      <c r="W101" s="143">
        <f t="shared" si="123"/>
        <v>3.3074999999999974</v>
      </c>
      <c r="X101" s="143">
        <f t="shared" si="123"/>
        <v>3.2000000000000028</v>
      </c>
      <c r="Y101" s="143">
        <f t="shared" si="123"/>
        <v>3.1000000000000014</v>
      </c>
      <c r="Z101" s="143">
        <f t="shared" si="123"/>
        <v>3.1000000000000014</v>
      </c>
      <c r="AA101" s="143">
        <f t="shared" si="123"/>
        <v>3.1000000000000014</v>
      </c>
      <c r="AB101" s="143">
        <f t="shared" si="123"/>
        <v>3</v>
      </c>
      <c r="AC101" s="143">
        <f t="shared" si="123"/>
        <v>3</v>
      </c>
      <c r="AD101" s="143">
        <f>AD92-AD86</f>
        <v>3.3208333333333329</v>
      </c>
      <c r="AE101" s="143">
        <f>AE92-AE86</f>
        <v>3.2533333333333339</v>
      </c>
      <c r="AF101" s="143">
        <f>AF92-AF86</f>
        <v>3.1333333333333329</v>
      </c>
      <c r="AG101" s="143">
        <f t="shared" si="123"/>
        <v>3.0333333333333314</v>
      </c>
      <c r="AH101" s="173">
        <f t="shared" si="93"/>
        <v>3.1852083333333336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199"/>
      <c r="R102" s="6"/>
      <c r="U102" s="6"/>
      <c r="V102" s="6"/>
      <c r="W102" s="6"/>
      <c r="AH102" s="7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199"/>
      <c r="B103" s="146"/>
      <c r="C103" s="146"/>
      <c r="D103" s="147"/>
      <c r="E103" s="147"/>
      <c r="F103" s="140" t="s">
        <v>4</v>
      </c>
      <c r="G103" s="140" t="s">
        <v>5</v>
      </c>
      <c r="H103" s="140" t="s">
        <v>6</v>
      </c>
      <c r="I103" s="140" t="s">
        <v>7</v>
      </c>
      <c r="J103" s="32"/>
      <c r="K103" s="140" t="s">
        <v>9</v>
      </c>
      <c r="L103" s="140" t="s">
        <v>9</v>
      </c>
      <c r="M103" s="140" t="s">
        <v>70</v>
      </c>
      <c r="N103" s="140" t="s">
        <v>12</v>
      </c>
      <c r="O103" s="140" t="s">
        <v>13</v>
      </c>
      <c r="P103" s="140" t="s">
        <v>13</v>
      </c>
      <c r="Q103" s="140" t="s">
        <v>13</v>
      </c>
      <c r="R103" s="140"/>
      <c r="S103" s="141"/>
      <c r="T103" s="141"/>
      <c r="U103" s="140"/>
      <c r="V103" s="140"/>
      <c r="W103" s="140"/>
      <c r="X103" s="140" t="s">
        <v>17</v>
      </c>
      <c r="Y103" s="148"/>
      <c r="Z103" s="148"/>
      <c r="AA103" s="148"/>
      <c r="AB103" s="148"/>
      <c r="AC103" s="148"/>
      <c r="AD103" s="140" t="s">
        <v>55</v>
      </c>
      <c r="AE103" s="140" t="s">
        <v>55</v>
      </c>
      <c r="AF103" s="140"/>
      <c r="AG103" s="140" t="s">
        <v>55</v>
      </c>
      <c r="AH103" s="7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199"/>
      <c r="B104" s="149">
        <v>0.03</v>
      </c>
      <c r="C104" s="149">
        <v>0.03</v>
      </c>
      <c r="D104" s="150"/>
      <c r="E104" s="150"/>
      <c r="F104" s="151">
        <f>$B$104*$J$104</f>
        <v>-0.6</v>
      </c>
      <c r="G104" s="151">
        <f>$B$104*$J$104</f>
        <v>-0.6</v>
      </c>
      <c r="H104" s="151">
        <f>$B$104*$J$104</f>
        <v>-0.6</v>
      </c>
      <c r="I104" s="151">
        <f>$B$104*$J$104</f>
        <v>-0.6</v>
      </c>
      <c r="J104" s="36">
        <v>-20</v>
      </c>
      <c r="K104" s="151">
        <f t="shared" ref="K104:P104" si="124">$B$104*$J$104</f>
        <v>-0.6</v>
      </c>
      <c r="L104" s="151">
        <f t="shared" si="124"/>
        <v>-0.6</v>
      </c>
      <c r="M104" s="151">
        <f t="shared" si="124"/>
        <v>-0.6</v>
      </c>
      <c r="N104" s="151">
        <f t="shared" si="124"/>
        <v>-0.6</v>
      </c>
      <c r="O104" s="151">
        <f t="shared" si="124"/>
        <v>-0.6</v>
      </c>
      <c r="P104" s="151">
        <f t="shared" si="124"/>
        <v>-0.6</v>
      </c>
      <c r="Q104" s="151">
        <f>$B$104*$J$104</f>
        <v>-0.6</v>
      </c>
      <c r="R104" s="132"/>
      <c r="S104" s="131"/>
      <c r="T104" s="131"/>
      <c r="U104" s="132"/>
      <c r="V104" s="132"/>
      <c r="W104" s="132"/>
      <c r="X104" s="132">
        <v>0.94499999999999995</v>
      </c>
      <c r="Y104" s="132"/>
      <c r="Z104" s="132"/>
      <c r="AA104" s="132"/>
      <c r="AB104" s="132"/>
      <c r="AC104" s="132"/>
      <c r="AD104" s="151">
        <f>$B$104*$J$104</f>
        <v>-0.6</v>
      </c>
      <c r="AE104" s="151">
        <f>$B$104*$J$104</f>
        <v>-0.6</v>
      </c>
      <c r="AF104" s="151"/>
      <c r="AG104" s="151">
        <f>$B$104*$J$104</f>
        <v>-0.6</v>
      </c>
      <c r="AH104" s="7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199"/>
      <c r="B105" s="149">
        <v>0.03</v>
      </c>
      <c r="C105" s="149">
        <v>0.03</v>
      </c>
      <c r="D105" s="150"/>
      <c r="E105" s="150"/>
      <c r="F105" s="151">
        <f t="shared" ref="F105:I108" si="125">$B105*(F87-F$86-1.7)</f>
        <v>-5.0999999999999997E-2</v>
      </c>
      <c r="G105" s="151">
        <f t="shared" si="125"/>
        <v>-0.14202300000000007</v>
      </c>
      <c r="H105" s="151">
        <f t="shared" si="125"/>
        <v>-0.10879736842105259</v>
      </c>
      <c r="I105" s="151">
        <f t="shared" si="125"/>
        <v>-8.1000000000004332E-3</v>
      </c>
      <c r="J105" s="36"/>
      <c r="K105" s="151" t="e">
        <f t="shared" ref="K105:P108" si="126">$B105*(K87-K$86-1.7)</f>
        <v>#REF!</v>
      </c>
      <c r="L105" s="151" t="e">
        <f t="shared" si="126"/>
        <v>#REF!</v>
      </c>
      <c r="M105" s="151">
        <f t="shared" si="126"/>
        <v>-8.2500000000000837E-3</v>
      </c>
      <c r="N105" s="151">
        <f t="shared" si="126"/>
        <v>6.5249999999999989E-2</v>
      </c>
      <c r="O105" s="151">
        <f t="shared" si="126"/>
        <v>0.129</v>
      </c>
      <c r="P105" s="151">
        <f t="shared" si="126"/>
        <v>0.24269999999999989</v>
      </c>
      <c r="Q105" s="151">
        <f>$B105*(Q87-Q$86-1.7)</f>
        <v>9.7424999999999928E-2</v>
      </c>
      <c r="R105" s="132"/>
      <c r="S105" s="131"/>
      <c r="T105" s="131"/>
      <c r="U105" s="132"/>
      <c r="V105" s="132"/>
      <c r="W105" s="132"/>
      <c r="X105" s="132" t="e">
        <v>#REF!</v>
      </c>
      <c r="Y105" s="132"/>
      <c r="Z105" s="132"/>
      <c r="AA105" s="132"/>
      <c r="AB105" s="132"/>
      <c r="AC105" s="132"/>
      <c r="AD105" s="151">
        <f t="shared" ref="AD105:AG108" si="127">$B105*(AD87-AD$86-1.7)</f>
        <v>0.14287500000000006</v>
      </c>
      <c r="AE105" s="151">
        <f t="shared" si="127"/>
        <v>8.1250000000000044E-2</v>
      </c>
      <c r="AF105" s="151"/>
      <c r="AG105" s="151">
        <f t="shared" si="127"/>
        <v>5.5750000000000112E-2</v>
      </c>
      <c r="AH105" s="7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199"/>
      <c r="B106" s="149">
        <v>0.16</v>
      </c>
      <c r="C106" s="149">
        <v>0.16</v>
      </c>
      <c r="D106" s="150"/>
      <c r="E106" s="150"/>
      <c r="F106" s="151">
        <f t="shared" si="125"/>
        <v>-0.27200000000000002</v>
      </c>
      <c r="G106" s="151">
        <f t="shared" si="125"/>
        <v>2.8906079999999994</v>
      </c>
      <c r="H106" s="151">
        <f t="shared" si="125"/>
        <v>2.6582315789473734</v>
      </c>
      <c r="I106" s="151">
        <f t="shared" si="125"/>
        <v>2.9057599999999999</v>
      </c>
      <c r="J106" s="36"/>
      <c r="K106" s="151">
        <f t="shared" si="126"/>
        <v>2.3652000000000006</v>
      </c>
      <c r="L106" s="151">
        <f t="shared" si="126"/>
        <v>2.4879999999999991</v>
      </c>
      <c r="M106" s="151">
        <f t="shared" si="126"/>
        <v>2.3475999999999995</v>
      </c>
      <c r="N106" s="151">
        <f t="shared" si="126"/>
        <v>2.258</v>
      </c>
      <c r="O106" s="151">
        <f t="shared" si="126"/>
        <v>2.528</v>
      </c>
      <c r="P106" s="151">
        <f t="shared" si="126"/>
        <v>3.5056000000000007</v>
      </c>
      <c r="Q106" s="151">
        <f>$B106*(Q88-Q$86-1.7)</f>
        <v>2.2796000000000012</v>
      </c>
      <c r="R106" s="132"/>
      <c r="S106" s="131"/>
      <c r="T106" s="131"/>
      <c r="U106" s="132"/>
      <c r="V106" s="132"/>
      <c r="W106" s="132"/>
      <c r="X106" s="132" t="e">
        <v>#REF!</v>
      </c>
      <c r="Y106" s="132"/>
      <c r="Z106" s="132"/>
      <c r="AA106" s="132"/>
      <c r="AB106" s="132"/>
      <c r="AC106" s="132"/>
      <c r="AD106" s="151">
        <f t="shared" si="127"/>
        <v>2.7563999999999997</v>
      </c>
      <c r="AE106" s="151">
        <f t="shared" si="127"/>
        <v>2.7333333333333325</v>
      </c>
      <c r="AF106" s="151"/>
      <c r="AG106" s="151">
        <f t="shared" si="127"/>
        <v>2.2053333333333338</v>
      </c>
      <c r="AH106" s="7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B107" s="149">
        <v>0.15</v>
      </c>
      <c r="C107" s="149">
        <v>0.15</v>
      </c>
      <c r="D107" s="150"/>
      <c r="E107" s="150"/>
      <c r="F107" s="151">
        <f t="shared" si="125"/>
        <v>-0.255</v>
      </c>
      <c r="G107" s="151">
        <f t="shared" si="125"/>
        <v>1.1893499999999997</v>
      </c>
      <c r="H107" s="151">
        <f t="shared" si="125"/>
        <v>1.1527499999999997</v>
      </c>
      <c r="I107" s="151">
        <f t="shared" si="125"/>
        <v>1.7877749999999986</v>
      </c>
      <c r="J107" s="36"/>
      <c r="K107" s="151">
        <f t="shared" si="126"/>
        <v>1.7115</v>
      </c>
      <c r="L107" s="151">
        <f t="shared" si="126"/>
        <v>1.7602500000000003</v>
      </c>
      <c r="M107" s="151">
        <f t="shared" si="126"/>
        <v>1.7467499999999998</v>
      </c>
      <c r="N107" s="151">
        <f t="shared" si="126"/>
        <v>1.8794999999999995</v>
      </c>
      <c r="O107" s="151">
        <f t="shared" si="126"/>
        <v>2.085</v>
      </c>
      <c r="P107" s="151">
        <f t="shared" si="126"/>
        <v>1.4099999999999997</v>
      </c>
      <c r="Q107" s="151">
        <f>$B107*(Q89-Q$86-1.7)</f>
        <v>1.44675</v>
      </c>
      <c r="R107" s="132"/>
      <c r="S107" s="131"/>
      <c r="T107" s="131"/>
      <c r="U107" s="132"/>
      <c r="V107" s="132"/>
      <c r="W107" s="132"/>
      <c r="X107" s="132" t="e">
        <v>#REF!</v>
      </c>
      <c r="Y107" s="132"/>
      <c r="Z107" s="132"/>
      <c r="AA107" s="132"/>
      <c r="AB107" s="132"/>
      <c r="AC107" s="132"/>
      <c r="AD107" s="151">
        <f t="shared" si="127"/>
        <v>1.4359999999999995</v>
      </c>
      <c r="AE107" s="151">
        <f t="shared" si="127"/>
        <v>1.3650000000000002</v>
      </c>
      <c r="AF107" s="151"/>
      <c r="AG107" s="151">
        <f t="shared" si="127"/>
        <v>1.6175000000000002</v>
      </c>
      <c r="AH107" s="7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B108" s="149">
        <v>0.39</v>
      </c>
      <c r="C108" s="149">
        <v>0.39</v>
      </c>
      <c r="D108" s="150"/>
      <c r="E108" s="150"/>
      <c r="F108" s="151">
        <f t="shared" si="125"/>
        <v>-0.66300000000000003</v>
      </c>
      <c r="G108" s="151">
        <f t="shared" si="125"/>
        <v>2.8040999999999974</v>
      </c>
      <c r="H108" s="151">
        <f t="shared" si="125"/>
        <v>3.0129552631578984</v>
      </c>
      <c r="I108" s="151">
        <f t="shared" si="125"/>
        <v>4.8371700000000013</v>
      </c>
      <c r="J108" s="36"/>
      <c r="K108" s="151">
        <f t="shared" si="126"/>
        <v>4.5435000000000008</v>
      </c>
      <c r="L108" s="151">
        <f t="shared" si="126"/>
        <v>4.6995000000000005</v>
      </c>
      <c r="M108" s="151">
        <f t="shared" si="126"/>
        <v>4.4343000000000004</v>
      </c>
      <c r="N108" s="151">
        <f t="shared" si="126"/>
        <v>4.8087000000000009</v>
      </c>
      <c r="O108" s="151">
        <f t="shared" si="126"/>
        <v>4.8555000000000001</v>
      </c>
      <c r="P108" s="151">
        <f t="shared" si="126"/>
        <v>2.9796</v>
      </c>
      <c r="Q108" s="151">
        <f>$B108*(Q90-Q$86-1.7)</f>
        <v>3.0215249999999991</v>
      </c>
      <c r="R108" s="132"/>
      <c r="S108" s="131"/>
      <c r="T108" s="131"/>
      <c r="U108" s="132"/>
      <c r="V108" s="132"/>
      <c r="W108" s="132"/>
      <c r="X108" s="132" t="e">
        <v>#REF!</v>
      </c>
      <c r="Y108" s="132"/>
      <c r="Z108" s="132"/>
      <c r="AA108" s="132"/>
      <c r="AB108" s="132"/>
      <c r="AC108" s="132"/>
      <c r="AD108" s="151">
        <f t="shared" si="127"/>
        <v>3.0793750000000006</v>
      </c>
      <c r="AE108" s="151">
        <f t="shared" si="127"/>
        <v>3.4563750000000018</v>
      </c>
      <c r="AF108" s="151"/>
      <c r="AG108" s="151">
        <f t="shared" si="127"/>
        <v>3.9585000000000008</v>
      </c>
      <c r="AH108" s="7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>
      <c r="B109" s="149">
        <v>0.12</v>
      </c>
      <c r="C109" s="149">
        <v>0.12</v>
      </c>
      <c r="D109" s="150"/>
      <c r="E109" s="150"/>
      <c r="F109" s="151">
        <f>$B$109*((F91/6.5)-(F$86-1.7))</f>
        <v>0.20399999999999999</v>
      </c>
      <c r="G109" s="151">
        <f>$B$109*((G91/6.5)-(G$86-1.7))</f>
        <v>-5.637637662992125</v>
      </c>
      <c r="H109" s="151">
        <f>$B$109*((H91/6.5)-(H$86-1.7))</f>
        <v>-4.8036857088208089</v>
      </c>
      <c r="I109" s="151">
        <f>$B$109*((I91/6.5)-(I$86-1.7))</f>
        <v>-4.5491414900060576</v>
      </c>
      <c r="J109" s="36"/>
      <c r="K109" s="151">
        <f t="shared" ref="K109:M109" si="128">$B$109*((K91/6.5)-(K$86-1.7))</f>
        <v>-0.88577076923076925</v>
      </c>
      <c r="L109" s="151">
        <f t="shared" si="128"/>
        <v>-0.88175538461538472</v>
      </c>
      <c r="M109" s="151">
        <f t="shared" si="128"/>
        <v>-0.90721384615384548</v>
      </c>
      <c r="N109" s="151">
        <f>$B$109*((N91/6.5)-(N$86-1.7))</f>
        <v>-0.73502076923076998</v>
      </c>
      <c r="O109" s="151">
        <f>$B$109*((O91/6.5)-(O$86-1.7))</f>
        <v>-0.58535384615384611</v>
      </c>
      <c r="P109" s="151">
        <f>$B$109*((P91/6.5)-(P$86-1.7))</f>
        <v>-0.23717538461538468</v>
      </c>
      <c r="Q109" s="151">
        <f>$B$109*((Q91/6.5)-(Q$86-1.7))</f>
        <v>-0.41242615384615444</v>
      </c>
      <c r="R109" s="132"/>
      <c r="S109" s="131"/>
      <c r="T109" s="131"/>
      <c r="U109" s="132"/>
      <c r="V109" s="132"/>
      <c r="W109" s="132"/>
      <c r="X109" s="132" t="e">
        <v>#REF!</v>
      </c>
      <c r="Y109" s="132"/>
      <c r="Z109" s="132"/>
      <c r="AA109" s="132"/>
      <c r="AB109" s="132"/>
      <c r="AC109" s="132"/>
      <c r="AD109" s="151">
        <f t="shared" ref="AD109:AG109" si="129">$B$109*((AD91/6.5)-(AD$86-1.7))</f>
        <v>-0.39901846153846149</v>
      </c>
      <c r="AE109" s="151">
        <f t="shared" si="129"/>
        <v>-0.64433173076923111</v>
      </c>
      <c r="AF109" s="151"/>
      <c r="AG109" s="151">
        <f t="shared" si="129"/>
        <v>-0.69746057692307628</v>
      </c>
      <c r="AH109" s="7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>
      <c r="B110" s="149">
        <v>0.03</v>
      </c>
      <c r="C110" s="149">
        <v>0.03</v>
      </c>
      <c r="D110" s="150"/>
      <c r="E110" s="150"/>
      <c r="F110" s="151">
        <f>$B110*(F93-F$86-1.7)</f>
        <v>-5.0999999999999997E-2</v>
      </c>
      <c r="G110" s="151">
        <f>$B110*(G93-G$86-1.7)</f>
        <v>-1.7363999999999999</v>
      </c>
      <c r="H110" s="151">
        <f>$B110*(H93-H$86-1.7)</f>
        <v>-1.4817236842105261</v>
      </c>
      <c r="I110" s="151">
        <f>$B110*(I93-I$86-1.7)</f>
        <v>-1.4122500000000002</v>
      </c>
      <c r="J110" s="36"/>
      <c r="K110" s="151">
        <f t="shared" ref="K110:M110" si="130">$B110*(K93-K$86-1.7)</f>
        <v>-1.5</v>
      </c>
      <c r="L110" s="151">
        <f t="shared" si="130"/>
        <v>-1.4565000000000001</v>
      </c>
      <c r="M110" s="151">
        <f t="shared" si="130"/>
        <v>-1.5100499999999999</v>
      </c>
      <c r="N110" s="151">
        <f>$B110*(N93-N$86-1.7)</f>
        <v>-1.4385000000000001</v>
      </c>
      <c r="O110" s="151">
        <f>$B110*(O93-O$86-1.7)</f>
        <v>-5.0999999999999997E-2</v>
      </c>
      <c r="P110" s="151">
        <f>$B110*(P93-P$86-1.7)</f>
        <v>-0.85529999999999995</v>
      </c>
      <c r="Q110" s="151">
        <f>$B110*(Q93-Q$86-1.7)</f>
        <v>-0.90599999999999992</v>
      </c>
      <c r="R110" s="132"/>
      <c r="S110" s="131"/>
      <c r="T110" s="131"/>
      <c r="U110" s="132"/>
      <c r="V110" s="132"/>
      <c r="W110" s="132"/>
      <c r="X110" s="132" t="e">
        <v>#REF!</v>
      </c>
      <c r="Y110" s="132"/>
      <c r="Z110" s="132"/>
      <c r="AA110" s="132"/>
      <c r="AB110" s="132"/>
      <c r="AC110" s="132"/>
      <c r="AD110" s="151">
        <f t="shared" ref="AD110:AG110" si="131">$B110*(AD93-AD$86-1.7)</f>
        <v>-0.89410000000000001</v>
      </c>
      <c r="AE110" s="151">
        <f t="shared" si="131"/>
        <v>-0.97699999999999987</v>
      </c>
      <c r="AF110" s="151"/>
      <c r="AG110" s="151">
        <f t="shared" si="131"/>
        <v>-1.2430000000000001</v>
      </c>
      <c r="AH110" s="7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>
      <c r="B111" s="149">
        <v>0.09</v>
      </c>
      <c r="C111" s="149">
        <v>0.09</v>
      </c>
      <c r="D111" s="150"/>
      <c r="E111" s="150"/>
      <c r="F111" s="151"/>
      <c r="G111" s="151"/>
      <c r="H111" s="151"/>
      <c r="I111" s="151"/>
      <c r="J111" s="36"/>
      <c r="K111" s="151"/>
      <c r="L111" s="151"/>
      <c r="M111" s="151"/>
      <c r="N111" s="151"/>
      <c r="O111" s="151"/>
      <c r="P111" s="151"/>
      <c r="Q111" s="151"/>
      <c r="R111" s="132"/>
      <c r="S111" s="131"/>
      <c r="T111" s="131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51"/>
      <c r="AE111" s="151"/>
      <c r="AF111" s="151"/>
      <c r="AG111" s="151"/>
      <c r="AH111" s="7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>
      <c r="B112" s="129"/>
      <c r="C112" s="129"/>
      <c r="D112" s="130"/>
      <c r="E112" s="130"/>
      <c r="F112" s="151">
        <f>SUM(F104:F110)</f>
        <v>-1.6879999999999999</v>
      </c>
      <c r="G112" s="151">
        <f>SUM(G104:G110)</f>
        <v>-1.2320026629921286</v>
      </c>
      <c r="H112" s="151">
        <f t="shared" ref="H112" si="132">SUM(H104:H110)</f>
        <v>-0.17026991934711599</v>
      </c>
      <c r="I112" s="151">
        <f>SUM(I104:I110)</f>
        <v>2.9612135099939429</v>
      </c>
      <c r="J112" s="36"/>
      <c r="K112" s="151" t="e">
        <f t="shared" ref="K112:M112" si="133">SUM(K104:K110)</f>
        <v>#REF!</v>
      </c>
      <c r="L112" s="151" t="e">
        <f t="shared" si="133"/>
        <v>#REF!</v>
      </c>
      <c r="M112" s="151">
        <f t="shared" si="133"/>
        <v>5.503136153846155</v>
      </c>
      <c r="N112" s="151">
        <f>SUM(N104:N110)</f>
        <v>6.2379292307692298</v>
      </c>
      <c r="O112" s="151">
        <f>SUM(O104:O110)</f>
        <v>8.3611461538461516</v>
      </c>
      <c r="P112" s="151">
        <f>SUM(P104:P110)</f>
        <v>6.4454246153846162</v>
      </c>
      <c r="Q112" s="151">
        <f t="shared" ref="Q112" si="134">SUM(Q104:Q110)</f>
        <v>4.9268738461538462</v>
      </c>
      <c r="R112" s="132"/>
      <c r="S112" s="131"/>
      <c r="T112" s="131"/>
      <c r="U112" s="132"/>
      <c r="V112" s="132"/>
      <c r="W112" s="132"/>
      <c r="X112" s="132" t="e">
        <v>#REF!</v>
      </c>
      <c r="Y112" s="132"/>
      <c r="Z112" s="132"/>
      <c r="AA112" s="132"/>
      <c r="AB112" s="132"/>
      <c r="AC112" s="132"/>
      <c r="AD112" s="151">
        <f t="shared" ref="AD112:AG112" si="135">SUM(AD104:AD110)</f>
        <v>5.5215315384615389</v>
      </c>
      <c r="AE112" s="151">
        <f t="shared" si="135"/>
        <v>5.4146266025641037</v>
      </c>
      <c r="AF112" s="151"/>
      <c r="AG112" s="151">
        <f t="shared" si="135"/>
        <v>5.2966227564102581</v>
      </c>
      <c r="AH112" s="7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H113" s="7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H114" s="7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H115" s="7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02"/>
      <c r="AH116" s="7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02"/>
      <c r="AH117" s="7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02"/>
      <c r="AH118" s="7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02"/>
      <c r="AH119" s="7"/>
    </row>
    <row r="120" spans="1:358">
      <c r="AH120" s="7"/>
    </row>
    <row r="121" spans="1:358">
      <c r="AH121" s="7"/>
    </row>
    <row r="122" spans="1:358">
      <c r="A122" s="199"/>
      <c r="AH122" s="7"/>
    </row>
    <row r="123" spans="1:358">
      <c r="A123" s="199"/>
      <c r="AH123" s="7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5"/>
      <c r="T124" s="5"/>
      <c r="U124" s="3"/>
      <c r="V124" s="3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194"/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3"/>
      <c r="S125" s="5"/>
      <c r="T125" s="5"/>
      <c r="U125" s="3"/>
      <c r="V125" s="3"/>
      <c r="W125" s="3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194"/>
      <c r="B126" s="2"/>
      <c r="C126" s="2"/>
      <c r="F126" s="3"/>
      <c r="G126" s="3"/>
      <c r="H126" s="3"/>
      <c r="I126" s="3"/>
      <c r="J126" s="4"/>
      <c r="K126" s="3"/>
      <c r="L126" s="3"/>
      <c r="M126" s="3"/>
      <c r="N126" s="3"/>
      <c r="O126" s="3"/>
      <c r="P126" s="3"/>
      <c r="Q126" s="3"/>
      <c r="R126" s="3"/>
      <c r="S126" s="5"/>
      <c r="T126" s="5"/>
      <c r="U126" s="3"/>
      <c r="V126" s="3"/>
      <c r="W126" s="3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194"/>
      <c r="B127" s="2"/>
      <c r="C127" s="2"/>
      <c r="F127" s="3"/>
      <c r="G127" s="3"/>
      <c r="H127" s="3"/>
      <c r="I127" s="3"/>
      <c r="J127" s="4"/>
      <c r="K127" s="3"/>
      <c r="L127" s="3"/>
      <c r="M127" s="3"/>
      <c r="N127" s="3"/>
      <c r="O127" s="3"/>
      <c r="P127" s="3"/>
      <c r="Q127" s="3"/>
      <c r="R127" s="3"/>
      <c r="S127" s="5"/>
      <c r="T127" s="5"/>
      <c r="U127" s="3"/>
      <c r="V127" s="3"/>
      <c r="W127" s="3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194"/>
      <c r="B128" s="2"/>
      <c r="C128" s="2"/>
      <c r="F128" s="3"/>
      <c r="G128" s="3"/>
      <c r="H128" s="3"/>
      <c r="I128" s="3"/>
      <c r="J128" s="4"/>
      <c r="K128" s="3"/>
      <c r="L128" s="3"/>
      <c r="M128" s="3"/>
      <c r="N128" s="3"/>
      <c r="O128" s="3"/>
      <c r="P128" s="3"/>
      <c r="Q128" s="3"/>
      <c r="R128" s="3"/>
      <c r="S128" s="5"/>
      <c r="T128" s="5"/>
      <c r="U128" s="3"/>
      <c r="V128" s="3"/>
      <c r="W128" s="3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194"/>
      <c r="B129" s="2"/>
      <c r="C129" s="2"/>
      <c r="F129" s="3"/>
      <c r="G129" s="3"/>
      <c r="H129" s="3"/>
      <c r="I129" s="3"/>
      <c r="J129" s="4"/>
      <c r="K129" s="3"/>
      <c r="L129" s="3"/>
      <c r="M129" s="3"/>
      <c r="N129" s="3"/>
      <c r="O129" s="3"/>
      <c r="P129" s="3"/>
      <c r="Q129" s="3"/>
      <c r="R129" s="3"/>
      <c r="S129" s="5"/>
      <c r="T129" s="5"/>
      <c r="U129" s="3"/>
      <c r="V129" s="3"/>
      <c r="W129" s="3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194"/>
      <c r="B130" s="2"/>
      <c r="C130" s="2"/>
      <c r="F130" s="3"/>
      <c r="G130" s="3"/>
      <c r="H130" s="3"/>
      <c r="I130" s="3"/>
      <c r="J130" s="4"/>
      <c r="K130" s="3"/>
      <c r="L130" s="3"/>
      <c r="M130" s="3"/>
      <c r="N130" s="3"/>
      <c r="O130" s="3"/>
      <c r="P130" s="3"/>
      <c r="Q130" s="3"/>
      <c r="R130" s="3"/>
      <c r="S130" s="5"/>
      <c r="T130" s="5"/>
      <c r="U130" s="3"/>
      <c r="V130" s="3"/>
      <c r="W130" s="3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194"/>
      <c r="B131" s="2"/>
      <c r="C131" s="2"/>
      <c r="F131" s="3"/>
      <c r="G131" s="3"/>
      <c r="H131" s="3"/>
      <c r="I131" s="3"/>
      <c r="J131" s="4"/>
      <c r="K131" s="3"/>
      <c r="L131" s="3"/>
      <c r="M131" s="3"/>
      <c r="N131" s="3"/>
      <c r="O131" s="3"/>
      <c r="P131" s="3"/>
      <c r="Q131" s="3"/>
      <c r="R131" s="3"/>
      <c r="S131" s="5"/>
      <c r="T131" s="5"/>
      <c r="U131" s="3"/>
      <c r="V131" s="3"/>
      <c r="W131" s="3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194"/>
      <c r="B132" s="2"/>
      <c r="C132" s="2"/>
      <c r="F132" s="3"/>
      <c r="G132" s="3"/>
      <c r="H132" s="3"/>
      <c r="I132" s="3"/>
      <c r="J132" s="4"/>
      <c r="K132" s="3"/>
      <c r="L132" s="3"/>
      <c r="M132" s="3"/>
      <c r="N132" s="3"/>
      <c r="O132" s="3"/>
      <c r="P132" s="3"/>
      <c r="Q132" s="3"/>
      <c r="R132" s="3"/>
      <c r="S132" s="5"/>
      <c r="T132" s="5"/>
      <c r="U132" s="3"/>
      <c r="V132" s="3"/>
      <c r="W132" s="3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194"/>
      <c r="B133" s="2"/>
      <c r="C133" s="2"/>
      <c r="F133" s="3"/>
      <c r="G133" s="3"/>
      <c r="H133" s="3"/>
      <c r="I133" s="3"/>
      <c r="J133" s="4"/>
      <c r="K133" s="3"/>
      <c r="L133" s="3"/>
      <c r="M133" s="3"/>
      <c r="N133" s="3"/>
      <c r="O133" s="3"/>
      <c r="P133" s="3"/>
      <c r="Q133" s="3"/>
      <c r="R133" s="3"/>
      <c r="S133" s="5"/>
      <c r="T133" s="5"/>
      <c r="U133" s="3"/>
      <c r="V133" s="3"/>
      <c r="W133" s="3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194"/>
      <c r="B134" s="2"/>
      <c r="C134" s="2"/>
      <c r="F134" s="3"/>
      <c r="G134" s="3"/>
      <c r="H134" s="3"/>
      <c r="I134" s="3"/>
      <c r="J134" s="4"/>
      <c r="K134" s="3"/>
      <c r="L134" s="3"/>
      <c r="M134" s="3"/>
      <c r="N134" s="3"/>
      <c r="O134" s="3"/>
      <c r="P134" s="3"/>
      <c r="Q134" s="3"/>
      <c r="R134" s="3"/>
      <c r="S134" s="5"/>
      <c r="T134" s="5"/>
      <c r="U134" s="3"/>
      <c r="V134" s="3"/>
      <c r="W134" s="3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194"/>
      <c r="B135" s="2"/>
      <c r="C135" s="2"/>
      <c r="F135" s="3"/>
      <c r="G135" s="3"/>
      <c r="H135" s="3"/>
      <c r="I135" s="3"/>
      <c r="J135" s="4"/>
      <c r="K135" s="3"/>
      <c r="L135" s="3"/>
      <c r="M135" s="3"/>
      <c r="N135" s="3"/>
      <c r="O135" s="3"/>
      <c r="P135" s="3"/>
      <c r="Q135" s="3"/>
      <c r="R135" s="3"/>
      <c r="S135" s="5"/>
      <c r="T135" s="5"/>
      <c r="U135" s="3"/>
      <c r="V135" s="3"/>
      <c r="W135" s="3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3"/>
      <c r="S136" s="5"/>
      <c r="T136" s="5"/>
      <c r="U136" s="3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U74:U75"/>
    <mergeCell ref="V74:V75"/>
    <mergeCell ref="W74:W75"/>
    <mergeCell ref="X74:X75"/>
    <mergeCell ref="Y74:Y75"/>
    <mergeCell ref="Z74:Z75"/>
    <mergeCell ref="K74:K75"/>
    <mergeCell ref="N74:N75"/>
    <mergeCell ref="O74:O75"/>
    <mergeCell ref="P74:P75"/>
    <mergeCell ref="Q74:Q75"/>
    <mergeCell ref="R74:R75"/>
    <mergeCell ref="A66:C66"/>
    <mergeCell ref="E74:E75"/>
    <mergeCell ref="F74:F75"/>
    <mergeCell ref="G74:G75"/>
    <mergeCell ref="H74:H75"/>
    <mergeCell ref="I74:I75"/>
    <mergeCell ref="AC63:AC64"/>
    <mergeCell ref="AD63:AD64"/>
    <mergeCell ref="AE63:AE64"/>
    <mergeCell ref="O63:O64"/>
    <mergeCell ref="P63:P64"/>
    <mergeCell ref="Q63:Q64"/>
    <mergeCell ref="R63:R64"/>
    <mergeCell ref="U63:U64"/>
    <mergeCell ref="V63:V64"/>
    <mergeCell ref="AF63:AF64"/>
    <mergeCell ref="AG63:AG64"/>
    <mergeCell ref="AH63:AH64"/>
    <mergeCell ref="W63:W64"/>
    <mergeCell ref="X63:X64"/>
    <mergeCell ref="Y63:Y64"/>
    <mergeCell ref="Z63:Z64"/>
    <mergeCell ref="AA63:AA64"/>
    <mergeCell ref="AB63:AB64"/>
    <mergeCell ref="AG52:AG53"/>
    <mergeCell ref="AH52:AH53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AB52:AB53"/>
    <mergeCell ref="AC52:AC53"/>
    <mergeCell ref="AD52:AD53"/>
    <mergeCell ref="AE52:AE53"/>
    <mergeCell ref="AF52:AF53"/>
    <mergeCell ref="U52:U53"/>
    <mergeCell ref="V52:V53"/>
    <mergeCell ref="W52:W53"/>
    <mergeCell ref="X52:X53"/>
    <mergeCell ref="Y52:Y53"/>
    <mergeCell ref="Z52:Z53"/>
    <mergeCell ref="K52:K53"/>
    <mergeCell ref="N52:N53"/>
    <mergeCell ref="O52:O53"/>
    <mergeCell ref="P52:P53"/>
    <mergeCell ref="Q52:Q53"/>
    <mergeCell ref="R52:R53"/>
    <mergeCell ref="A42:C42"/>
    <mergeCell ref="E52:E53"/>
    <mergeCell ref="F52:F53"/>
    <mergeCell ref="G52:G53"/>
    <mergeCell ref="H52:H53"/>
    <mergeCell ref="I52:I53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U28:U29"/>
    <mergeCell ref="V28:V29"/>
    <mergeCell ref="W39:W40"/>
    <mergeCell ref="X39:X40"/>
    <mergeCell ref="Y39:Y40"/>
    <mergeCell ref="Z39:Z40"/>
    <mergeCell ref="AA39:AA40"/>
    <mergeCell ref="R28:R29"/>
    <mergeCell ref="O39:O40"/>
    <mergeCell ref="P39:P40"/>
    <mergeCell ref="Q39:Q40"/>
    <mergeCell ref="R39:R40"/>
    <mergeCell ref="U39:U40"/>
    <mergeCell ref="V39:V40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R17:R18"/>
    <mergeCell ref="U17:U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P5:P6"/>
    <mergeCell ref="Q5:Q6"/>
    <mergeCell ref="R5:R6"/>
    <mergeCell ref="U5:U6"/>
    <mergeCell ref="E5:E6"/>
    <mergeCell ref="F5:F6"/>
    <mergeCell ref="G5:G6"/>
    <mergeCell ref="H5:H6"/>
    <mergeCell ref="I5:I6"/>
    <mergeCell ref="K5:K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T136"/>
  <sheetViews>
    <sheetView topLeftCell="A4" zoomScale="80" zoomScaleNormal="80" workbookViewId="0">
      <selection activeCell="AJ82" sqref="AJ82"/>
    </sheetView>
  </sheetViews>
  <sheetFormatPr defaultColWidth="9.08984375" defaultRowHeight="21" outlineLevelRow="1" outlineLevelCol="1"/>
  <cols>
    <col min="1" max="1" width="18.1796875" style="194" customWidth="1"/>
    <col min="2" max="2" width="24.90625" style="2" hidden="1" customWidth="1"/>
    <col min="3" max="3" width="21.36328125" style="2" hidden="1" customWidth="1"/>
    <col min="4" max="4" width="13.453125" style="1" hidden="1" customWidth="1"/>
    <col min="5" max="5" width="10.36328125" style="1" hidden="1" customWidth="1"/>
    <col min="6" max="9" width="11.08984375" style="3" hidden="1" customWidth="1"/>
    <col min="10" max="10" width="31.90625" style="4" hidden="1" customWidth="1"/>
    <col min="11" max="14" width="11.08984375" style="3" hidden="1" customWidth="1"/>
    <col min="15" max="15" width="15.453125" style="3" hidden="1" customWidth="1"/>
    <col min="16" max="17" width="9.7265625" style="3" customWidth="1"/>
    <col min="18" max="18" width="10.36328125" style="3" customWidth="1"/>
    <col min="19" max="19" width="23.08984375" style="5" hidden="1" customWidth="1" outlineLevel="1"/>
    <col min="20" max="20" width="22.36328125" style="5" hidden="1" customWidth="1" outlineLevel="1"/>
    <col min="21" max="21" width="10" style="3" customWidth="1" collapsed="1"/>
    <col min="22" max="23" width="9.08984375" style="3" customWidth="1"/>
    <col min="24" max="29" width="9.08984375" style="6" customWidth="1"/>
    <col min="30" max="30" width="8.7265625" style="6" hidden="1" customWidth="1" outlineLevel="1"/>
    <col min="31" max="33" width="9.1796875" style="6" hidden="1" customWidth="1" outlineLevel="1"/>
    <col min="34" max="34" width="8.7265625" style="153" hidden="1" customWidth="1" outlineLevel="1"/>
    <col min="35" max="35" width="10.08984375" style="7" bestFit="1" customWidth="1" collapsed="1"/>
    <col min="36" max="358" width="9.08984375" style="7"/>
    <col min="359" max="16384" width="9.0898437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2"/>
      <c r="T2" s="12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7"/>
      <c r="T3" s="17"/>
      <c r="U3" s="14"/>
      <c r="V3" s="14"/>
      <c r="W3" s="14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8" t="s">
        <v>3</v>
      </c>
      <c r="F5" s="673" t="s">
        <v>4</v>
      </c>
      <c r="G5" s="673" t="s">
        <v>5</v>
      </c>
      <c r="H5" s="680" t="s">
        <v>6</v>
      </c>
      <c r="I5" s="673" t="s">
        <v>7</v>
      </c>
      <c r="J5" s="28" t="s">
        <v>2</v>
      </c>
      <c r="K5" s="673" t="s">
        <v>8</v>
      </c>
      <c r="L5" s="261" t="s">
        <v>9</v>
      </c>
      <c r="M5" s="261" t="s">
        <v>9</v>
      </c>
      <c r="N5" s="673" t="s">
        <v>87</v>
      </c>
      <c r="O5" s="673" t="s">
        <v>13</v>
      </c>
      <c r="P5" s="673" t="s">
        <v>14</v>
      </c>
      <c r="Q5" s="673" t="s">
        <v>149</v>
      </c>
      <c r="R5" s="673" t="s">
        <v>16</v>
      </c>
      <c r="S5" s="29" t="s">
        <v>10</v>
      </c>
      <c r="T5" s="30" t="s">
        <v>11</v>
      </c>
      <c r="U5" s="673" t="s">
        <v>64</v>
      </c>
      <c r="V5" s="673" t="s">
        <v>65</v>
      </c>
      <c r="W5" s="673" t="s">
        <v>66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73" t="s">
        <v>78</v>
      </c>
      <c r="AD5" s="688" t="s">
        <v>79</v>
      </c>
      <c r="AE5" s="688" t="s">
        <v>80</v>
      </c>
      <c r="AF5" s="688" t="s">
        <v>81</v>
      </c>
      <c r="AG5" s="690" t="s">
        <v>82</v>
      </c>
      <c r="AH5" s="685">
        <v>2016</v>
      </c>
      <c r="AI5" s="687" t="s">
        <v>93</v>
      </c>
    </row>
    <row r="6" spans="1:358" ht="24.75" customHeight="1" thickBot="1">
      <c r="A6" s="232"/>
      <c r="B6" s="32" t="s">
        <v>18</v>
      </c>
      <c r="C6" s="32"/>
      <c r="D6" s="27"/>
      <c r="E6" s="679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187">
        <v>42430</v>
      </c>
      <c r="T6" s="188">
        <v>42461</v>
      </c>
      <c r="U6" s="674"/>
      <c r="V6" s="674"/>
      <c r="W6" s="674"/>
      <c r="X6" s="674"/>
      <c r="Y6" s="674"/>
      <c r="Z6" s="674"/>
      <c r="AA6" s="674"/>
      <c r="AB6" s="674"/>
      <c r="AC6" s="674"/>
      <c r="AD6" s="689"/>
      <c r="AE6" s="689"/>
      <c r="AF6" s="689"/>
      <c r="AG6" s="691"/>
      <c r="AH6" s="686"/>
      <c r="AI6" s="687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2"/>
      <c r="T7" s="22"/>
      <c r="U7" s="24"/>
      <c r="V7" s="24"/>
      <c r="W7" s="24"/>
      <c r="X7" s="24"/>
      <c r="Y7" s="23"/>
      <c r="Z7" s="24"/>
      <c r="AA7" s="24"/>
      <c r="AB7" s="24"/>
      <c r="AC7" s="23"/>
      <c r="AD7" s="24"/>
      <c r="AE7" s="24"/>
      <c r="AF7" s="24"/>
      <c r="AG7" s="24"/>
      <c r="AH7" s="238"/>
      <c r="AI7" s="262"/>
    </row>
    <row r="8" spans="1:358" ht="21.5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214"/>
      <c r="T8" s="215"/>
      <c r="U8" s="39"/>
      <c r="V8" s="39"/>
      <c r="W8" s="39"/>
      <c r="X8" s="39"/>
      <c r="Y8" s="38"/>
      <c r="Z8" s="38"/>
      <c r="AA8" s="38"/>
      <c r="AB8" s="38"/>
      <c r="AC8" s="38"/>
      <c r="AD8" s="248"/>
      <c r="AE8" s="248"/>
      <c r="AF8" s="248"/>
      <c r="AG8" s="249"/>
      <c r="AH8" s="239"/>
    </row>
    <row r="9" spans="1:358" s="46" customFormat="1" ht="18.75" hidden="1" customHeight="1" outlineLevel="1">
      <c r="A9" s="681"/>
      <c r="B9" s="682"/>
      <c r="C9" s="682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16"/>
      <c r="T9" s="217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33"/>
      <c r="AH9" s="240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29.269444444444446</v>
      </c>
      <c r="R10" s="189">
        <v>30.5</v>
      </c>
      <c r="S10" s="185" t="s">
        <v>120</v>
      </c>
      <c r="T10" s="186" t="s">
        <v>121</v>
      </c>
      <c r="U10" s="189">
        <v>31</v>
      </c>
      <c r="V10" s="189">
        <v>31.75</v>
      </c>
      <c r="W10" s="189">
        <v>32</v>
      </c>
      <c r="X10" s="189">
        <v>33</v>
      </c>
      <c r="Y10" s="189">
        <v>34</v>
      </c>
      <c r="Z10" s="189">
        <v>35.5</v>
      </c>
      <c r="AA10" s="189">
        <v>37</v>
      </c>
      <c r="AB10" s="189">
        <v>38.5</v>
      </c>
      <c r="AC10" s="189">
        <v>40</v>
      </c>
      <c r="AD10" s="246">
        <f>AVERAGE(P10:R10)</f>
        <v>28.859814814814815</v>
      </c>
      <c r="AE10" s="246">
        <f>AVERAGE(U10:W10)</f>
        <v>31.583333333333332</v>
      </c>
      <c r="AF10" s="246">
        <f>AVERAGE(X10:Z10)</f>
        <v>34.166666666666664</v>
      </c>
      <c r="AG10" s="247">
        <f>AVERAGE(AA10:AC10)</f>
        <v>38.5</v>
      </c>
      <c r="AH10" s="241">
        <f>AVERAGE(P10:AC10)</f>
        <v>33.277453703703706</v>
      </c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29.269444444444446</v>
      </c>
      <c r="R11" s="183">
        <v>31.5</v>
      </c>
      <c r="S11" s="185"/>
      <c r="T11" s="186"/>
      <c r="U11" s="183">
        <v>31</v>
      </c>
      <c r="V11" s="183">
        <v>31</v>
      </c>
      <c r="W11" s="183">
        <v>32</v>
      </c>
      <c r="X11" s="183">
        <v>33</v>
      </c>
      <c r="Y11" s="183">
        <v>35.5</v>
      </c>
      <c r="Z11" s="183">
        <v>36</v>
      </c>
      <c r="AA11" s="183">
        <v>38</v>
      </c>
      <c r="AB11" s="183">
        <v>38.299999999999997</v>
      </c>
      <c r="AC11" s="183">
        <v>40</v>
      </c>
      <c r="AD11" s="246">
        <f t="shared" ref="AD11:AD12" si="1">AVERAGE(P11:R11)</f>
        <v>29.193148148148151</v>
      </c>
      <c r="AE11" s="246">
        <f t="shared" ref="AE11:AE13" si="2">AVERAGE(U11:W11)</f>
        <v>31.333333333333332</v>
      </c>
      <c r="AF11" s="246">
        <f t="shared" ref="AF11:AF13" si="3">AVERAGE(X11:Z11)</f>
        <v>34.833333333333336</v>
      </c>
      <c r="AG11" s="247">
        <f t="shared" ref="AG11:AG13" si="4">AVERAGE(AA11:AC11)</f>
        <v>38.766666666666666</v>
      </c>
      <c r="AH11" s="241">
        <f>AVERAGE(P11:AC11)</f>
        <v>33.531620370370369</v>
      </c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29.269444444444446</v>
      </c>
      <c r="R12" s="189">
        <v>32</v>
      </c>
      <c r="S12" s="185" t="s">
        <v>156</v>
      </c>
      <c r="T12" s="186" t="s">
        <v>157</v>
      </c>
      <c r="U12" s="183">
        <v>35</v>
      </c>
      <c r="V12" s="183">
        <v>35</v>
      </c>
      <c r="W12" s="183">
        <v>35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189">
        <v>40</v>
      </c>
      <c r="AD12" s="246">
        <f t="shared" si="1"/>
        <v>29.359814814814815</v>
      </c>
      <c r="AE12" s="246">
        <f t="shared" si="2"/>
        <v>35</v>
      </c>
      <c r="AF12" s="246">
        <f t="shared" si="3"/>
        <v>37</v>
      </c>
      <c r="AG12" s="247">
        <f t="shared" si="4"/>
        <v>40</v>
      </c>
      <c r="AH12" s="241">
        <f>AVERAGE(P12:AC12)</f>
        <v>35.339953703703706</v>
      </c>
    </row>
    <row r="13" spans="1:358" ht="65.25" hidden="1" customHeight="1" outlineLevel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29.269444444444446</v>
      </c>
      <c r="R13" s="189">
        <v>29.8</v>
      </c>
      <c r="S13" s="253" t="s">
        <v>137</v>
      </c>
      <c r="T13" s="254" t="s">
        <v>138</v>
      </c>
      <c r="U13" s="189">
        <v>30.7</v>
      </c>
      <c r="V13" s="189">
        <v>32</v>
      </c>
      <c r="W13" s="189">
        <v>35</v>
      </c>
      <c r="X13" s="189">
        <v>37</v>
      </c>
      <c r="Y13" s="189">
        <v>37.5</v>
      </c>
      <c r="Z13" s="189">
        <v>38</v>
      </c>
      <c r="AA13" s="189">
        <v>40</v>
      </c>
      <c r="AB13" s="189">
        <v>41</v>
      </c>
      <c r="AC13" s="189">
        <v>44</v>
      </c>
      <c r="AD13" s="246">
        <f>AVERAGE(P13:R13)</f>
        <v>28.626481481481481</v>
      </c>
      <c r="AE13" s="246">
        <f t="shared" si="2"/>
        <v>32.56666666666667</v>
      </c>
      <c r="AF13" s="246">
        <f t="shared" si="3"/>
        <v>37.5</v>
      </c>
      <c r="AG13" s="247">
        <f t="shared" si="4"/>
        <v>41.666666666666664</v>
      </c>
      <c r="AH13" s="241">
        <f>AVERAGE(P13:AC13)</f>
        <v>35.089953703703706</v>
      </c>
    </row>
    <row r="14" spans="1:358" s="62" customFormat="1" ht="19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5">AVERAGE(J10:J13)</f>
        <v>#DIV/0!</v>
      </c>
      <c r="K14" s="59">
        <f t="shared" si="5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6">AVERAGE(O10:O13)</f>
        <v>37</v>
      </c>
      <c r="P14" s="59">
        <f>AVERAGE(P10:P13)</f>
        <v>26.81</v>
      </c>
      <c r="Q14" s="59">
        <f>AVERAGE(Q10:Q13)</f>
        <v>29.269444444444446</v>
      </c>
      <c r="R14" s="59">
        <f>AVERAGE(R10:R13)</f>
        <v>30.95</v>
      </c>
      <c r="S14" s="60"/>
      <c r="T14" s="60"/>
      <c r="U14" s="59">
        <f>AVERAGE(U10:U13)</f>
        <v>31.925000000000001</v>
      </c>
      <c r="V14" s="59">
        <f t="shared" ref="V14:AC14" si="7">AVERAGE(V10:V13)</f>
        <v>32.4375</v>
      </c>
      <c r="W14" s="59">
        <f t="shared" si="7"/>
        <v>33.5</v>
      </c>
      <c r="X14" s="59">
        <f t="shared" si="7"/>
        <v>35</v>
      </c>
      <c r="Y14" s="59">
        <f t="shared" si="7"/>
        <v>36</v>
      </c>
      <c r="Z14" s="59">
        <f t="shared" si="7"/>
        <v>36.625</v>
      </c>
      <c r="AA14" s="59">
        <f t="shared" si="7"/>
        <v>38.75</v>
      </c>
      <c r="AB14" s="59">
        <f t="shared" si="7"/>
        <v>39.450000000000003</v>
      </c>
      <c r="AC14" s="59">
        <f t="shared" si="7"/>
        <v>41</v>
      </c>
      <c r="AD14" s="59">
        <f>AVERAGE(AD10:AD13)</f>
        <v>29.009814814814813</v>
      </c>
      <c r="AE14" s="59">
        <f t="shared" ref="AE14" si="8">AVERAGE(AE10:AE13)</f>
        <v>32.62083333333333</v>
      </c>
      <c r="AF14" s="59">
        <f>AVERAGE(AF10:AF13)</f>
        <v>35.875</v>
      </c>
      <c r="AG14" s="234">
        <f>AVERAGE(AG10:AG13)</f>
        <v>39.733333333333334</v>
      </c>
      <c r="AH14" s="242">
        <f>AVERAGE(AH10:AH13)</f>
        <v>34.309745370370372</v>
      </c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9">Q14</f>
        <v>29.269444444444446</v>
      </c>
      <c r="R15" s="164">
        <v>30.8</v>
      </c>
      <c r="S15" s="164"/>
      <c r="T15" s="164"/>
      <c r="U15" s="164">
        <v>31</v>
      </c>
      <c r="V15" s="164">
        <v>31.8</v>
      </c>
      <c r="W15" s="164">
        <v>32</v>
      </c>
      <c r="X15" s="164">
        <v>34</v>
      </c>
      <c r="Y15" s="164">
        <f>Y14</f>
        <v>36</v>
      </c>
      <c r="Z15" s="164">
        <f t="shared" ref="Z15:AC15" si="10">Z14</f>
        <v>36.625</v>
      </c>
      <c r="AA15" s="164">
        <f t="shared" si="10"/>
        <v>38.75</v>
      </c>
      <c r="AB15" s="164">
        <f t="shared" si="10"/>
        <v>39.450000000000003</v>
      </c>
      <c r="AC15" s="164">
        <f t="shared" si="10"/>
        <v>41</v>
      </c>
      <c r="AD15" s="164">
        <f>AVERAGE(P15:R15)</f>
        <v>28.959814814814816</v>
      </c>
      <c r="AE15" s="164">
        <f>AVERAGE(U15:W15)</f>
        <v>31.599999999999998</v>
      </c>
      <c r="AF15" s="164">
        <f>AVERAGE(X15:Z15)</f>
        <v>35.541666666666664</v>
      </c>
      <c r="AG15" s="229">
        <f>AVERAGE(AA15:AC15)</f>
        <v>39.733333333333334</v>
      </c>
      <c r="AH15" s="243">
        <f>AVERAGE(P15:R15,U15:AC15)</f>
        <v>33.958703703703705</v>
      </c>
      <c r="AI15" s="262">
        <v>54</v>
      </c>
      <c r="AJ15" s="179"/>
      <c r="AK15" s="179"/>
    </row>
    <row r="16" spans="1:358" ht="21.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67"/>
      <c r="T16" s="67"/>
      <c r="U16" s="24"/>
      <c r="V16" s="24"/>
      <c r="W16" s="24"/>
      <c r="X16" s="24"/>
      <c r="Y16" s="23"/>
      <c r="Z16" s="23"/>
      <c r="AA16" s="23"/>
      <c r="AB16" s="23"/>
      <c r="AC16" s="23"/>
      <c r="AD16" s="23"/>
      <c r="AE16" s="23"/>
      <c r="AF16" s="23"/>
      <c r="AG16" s="24"/>
      <c r="AH16" s="238"/>
      <c r="AI16" s="262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673" t="s">
        <v>3</v>
      </c>
      <c r="F17" s="673" t="s">
        <v>4</v>
      </c>
      <c r="G17" s="673" t="s">
        <v>5</v>
      </c>
      <c r="H17" s="673" t="s">
        <v>6</v>
      </c>
      <c r="I17" s="673" t="s">
        <v>7</v>
      </c>
      <c r="J17" s="28" t="s">
        <v>2</v>
      </c>
      <c r="K17" s="673" t="s">
        <v>8</v>
      </c>
      <c r="L17" s="261" t="s">
        <v>9</v>
      </c>
      <c r="M17" s="261" t="s">
        <v>9</v>
      </c>
      <c r="N17" s="673" t="s">
        <v>12</v>
      </c>
      <c r="O17" s="673" t="s">
        <v>13</v>
      </c>
      <c r="P17" s="673" t="s">
        <v>14</v>
      </c>
      <c r="Q17" s="673" t="s">
        <v>15</v>
      </c>
      <c r="R17" s="673" t="s">
        <v>16</v>
      </c>
      <c r="S17" s="29" t="s">
        <v>10</v>
      </c>
      <c r="T17" s="30" t="s">
        <v>11</v>
      </c>
      <c r="U17" s="673" t="s">
        <v>64</v>
      </c>
      <c r="V17" s="673" t="s">
        <v>65</v>
      </c>
      <c r="W17" s="673" t="s">
        <v>66</v>
      </c>
      <c r="X17" s="673" t="s">
        <v>67</v>
      </c>
      <c r="Y17" s="673" t="s">
        <v>68</v>
      </c>
      <c r="Z17" s="673" t="s">
        <v>69</v>
      </c>
      <c r="AA17" s="673" t="s">
        <v>70</v>
      </c>
      <c r="AB17" s="673" t="s">
        <v>77</v>
      </c>
      <c r="AC17" s="673" t="s">
        <v>78</v>
      </c>
      <c r="AD17" s="688" t="s">
        <v>79</v>
      </c>
      <c r="AE17" s="688" t="s">
        <v>80</v>
      </c>
      <c r="AF17" s="688" t="s">
        <v>81</v>
      </c>
      <c r="AG17" s="690" t="s">
        <v>82</v>
      </c>
      <c r="AH17" s="692">
        <v>2016</v>
      </c>
      <c r="AI17" s="262"/>
    </row>
    <row r="18" spans="1:358" ht="16.5" hidden="1" customHeight="1" outlineLevel="1">
      <c r="A18" s="232"/>
      <c r="B18" s="68"/>
      <c r="C18" s="68"/>
      <c r="D18" s="27"/>
      <c r="E18" s="674"/>
      <c r="F18" s="674"/>
      <c r="G18" s="674"/>
      <c r="H18" s="674"/>
      <c r="I18" s="674"/>
      <c r="J18" s="69" t="str">
        <f>$J$6</f>
        <v>(8-12 Jun)</v>
      </c>
      <c r="K18" s="674"/>
      <c r="L18" s="33" t="s">
        <v>20</v>
      </c>
      <c r="M18" s="33" t="s">
        <v>63</v>
      </c>
      <c r="N18" s="674"/>
      <c r="O18" s="674"/>
      <c r="P18" s="674"/>
      <c r="Q18" s="674"/>
      <c r="R18" s="674"/>
      <c r="S18" s="187">
        <v>42430</v>
      </c>
      <c r="T18" s="188">
        <v>42461</v>
      </c>
      <c r="U18" s="674"/>
      <c r="V18" s="674"/>
      <c r="W18" s="674"/>
      <c r="X18" s="674"/>
      <c r="Y18" s="674"/>
      <c r="Z18" s="674"/>
      <c r="AA18" s="674"/>
      <c r="AB18" s="674"/>
      <c r="AC18" s="674"/>
      <c r="AD18" s="689"/>
      <c r="AE18" s="689"/>
      <c r="AF18" s="689"/>
      <c r="AG18" s="691"/>
      <c r="AH18" s="686"/>
      <c r="AI18" s="262"/>
    </row>
    <row r="19" spans="1:358" ht="21.5" hidden="1" outlineLevel="1" thickBot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73"/>
      <c r="T19" s="73"/>
      <c r="U19" s="39"/>
      <c r="V19" s="39"/>
      <c r="W19" s="39"/>
      <c r="X19" s="39"/>
      <c r="Y19" s="38"/>
      <c r="Z19" s="38"/>
      <c r="AA19" s="38"/>
      <c r="AB19" s="38"/>
      <c r="AC19" s="38"/>
      <c r="AD19" s="248"/>
      <c r="AE19" s="248"/>
      <c r="AF19" s="248"/>
      <c r="AG19" s="249"/>
      <c r="AH19" s="239"/>
      <c r="AI19" s="262"/>
    </row>
    <row r="20" spans="1:358" s="77" customFormat="1" ht="21" hidden="1" customHeight="1" outlineLevel="1">
      <c r="A20" s="675"/>
      <c r="B20" s="676"/>
      <c r="C20" s="676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216"/>
      <c r="T20" s="217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235"/>
      <c r="AH20" s="240"/>
      <c r="AI20" s="262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9.7899999999999991</v>
      </c>
      <c r="Q21" s="56">
        <v>4.5627777777777778</v>
      </c>
      <c r="R21" s="189">
        <v>5</v>
      </c>
      <c r="S21" s="185" t="s">
        <v>122</v>
      </c>
      <c r="T21" s="186" t="s">
        <v>123</v>
      </c>
      <c r="U21" s="189">
        <v>3.5</v>
      </c>
      <c r="V21" s="189">
        <v>3.5</v>
      </c>
      <c r="W21" s="189">
        <v>3.5</v>
      </c>
      <c r="X21" s="189">
        <v>3</v>
      </c>
      <c r="Y21" s="189">
        <v>2</v>
      </c>
      <c r="Z21" s="189">
        <v>1</v>
      </c>
      <c r="AA21" s="189">
        <v>1.5</v>
      </c>
      <c r="AB21" s="189">
        <v>2.5</v>
      </c>
      <c r="AC21" s="189">
        <v>3</v>
      </c>
      <c r="AD21" s="246">
        <f t="shared" ref="AD21:AD23" si="11">AVERAGE(P21:R21)</f>
        <v>6.450925925925926</v>
      </c>
      <c r="AE21" s="246">
        <f>AVERAGE(U21:W21)</f>
        <v>3.5</v>
      </c>
      <c r="AF21" s="246">
        <f>AVERAGE(X21:Z21)</f>
        <v>2</v>
      </c>
      <c r="AG21" s="247">
        <f>AVERAGE(AA21:AC21)</f>
        <v>2.3333333333333335</v>
      </c>
      <c r="AH21" s="241">
        <f>AVERAGE(P21:AC21)</f>
        <v>3.5710648148148145</v>
      </c>
      <c r="AI21" s="262"/>
    </row>
    <row r="22" spans="1:358" ht="66" hidden="1" customHeight="1" outlineLevel="1">
      <c r="A22" s="47" t="s">
        <v>24</v>
      </c>
      <c r="B22" s="48">
        <f t="shared" ref="B22" si="12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9.7899999999999991</v>
      </c>
      <c r="Q22" s="50">
        <v>4.5627777777777778</v>
      </c>
      <c r="R22" s="183">
        <v>5</v>
      </c>
      <c r="S22" s="185"/>
      <c r="T22" s="186"/>
      <c r="U22" s="183">
        <v>5</v>
      </c>
      <c r="V22" s="183">
        <v>5.5</v>
      </c>
      <c r="W22" s="183">
        <v>5</v>
      </c>
      <c r="X22" s="183">
        <v>5</v>
      </c>
      <c r="Y22" s="183">
        <v>4</v>
      </c>
      <c r="Z22" s="183">
        <v>4</v>
      </c>
      <c r="AA22" s="183">
        <v>4</v>
      </c>
      <c r="AB22" s="183">
        <v>4.5</v>
      </c>
      <c r="AC22" s="183">
        <v>4.5</v>
      </c>
      <c r="AD22" s="246">
        <f t="shared" si="11"/>
        <v>6.450925925925926</v>
      </c>
      <c r="AE22" s="246">
        <f>AVERAGE(U22:W22)</f>
        <v>5.166666666666667</v>
      </c>
      <c r="AF22" s="246">
        <f t="shared" ref="AF22:AF24" si="13">AVERAGE(X22:Z22)</f>
        <v>4.333333333333333</v>
      </c>
      <c r="AG22" s="247">
        <f t="shared" ref="AG22:AG24" si="14">AVERAGE(AA22:AC22)</f>
        <v>4.333333333333333</v>
      </c>
      <c r="AH22" s="241">
        <f>AVERAGE(P22:AC22)</f>
        <v>5.0710648148148145</v>
      </c>
      <c r="AI22" s="262"/>
    </row>
    <row r="23" spans="1:358" ht="62.25" hidden="1" customHeight="1" outlineLevel="1">
      <c r="A23" s="47" t="s">
        <v>25</v>
      </c>
      <c r="B23" s="78">
        <f t="shared" ref="B23" si="15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9.7899999999999991</v>
      </c>
      <c r="Q23" s="56">
        <v>4.5627777777777778</v>
      </c>
      <c r="R23" s="189">
        <v>5</v>
      </c>
      <c r="S23" s="185" t="s">
        <v>158</v>
      </c>
      <c r="T23" s="186" t="s">
        <v>159</v>
      </c>
      <c r="U23" s="189">
        <v>5</v>
      </c>
      <c r="V23" s="189">
        <v>5</v>
      </c>
      <c r="W23" s="189">
        <v>5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189">
        <v>4</v>
      </c>
      <c r="AD23" s="246">
        <f t="shared" si="11"/>
        <v>6.450925925925926</v>
      </c>
      <c r="AE23" s="246">
        <f>AVERAGE(U23:W23)</f>
        <v>5</v>
      </c>
      <c r="AF23" s="246">
        <f t="shared" si="13"/>
        <v>4.5</v>
      </c>
      <c r="AG23" s="247">
        <f t="shared" si="14"/>
        <v>4</v>
      </c>
      <c r="AH23" s="241">
        <f>AVERAGE(P23:AC23)</f>
        <v>4.9877314814814815</v>
      </c>
      <c r="AI23" s="262"/>
    </row>
    <row r="24" spans="1:358" ht="66" hidden="1" customHeight="1" outlineLevel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9.7899999999999991</v>
      </c>
      <c r="Q24" s="56">
        <v>4.5627777777777778</v>
      </c>
      <c r="R24" s="189">
        <v>5.0999999999999996</v>
      </c>
      <c r="S24" s="185" t="s">
        <v>163</v>
      </c>
      <c r="T24" s="186" t="s">
        <v>140</v>
      </c>
      <c r="U24" s="189">
        <v>4.3</v>
      </c>
      <c r="V24" s="189">
        <v>4.2</v>
      </c>
      <c r="W24" s="189">
        <v>3.9</v>
      </c>
      <c r="X24" s="189">
        <v>3.9</v>
      </c>
      <c r="Y24" s="189">
        <v>3.9</v>
      </c>
      <c r="Z24" s="189">
        <v>3.3</v>
      </c>
      <c r="AA24" s="189">
        <v>3</v>
      </c>
      <c r="AB24" s="189">
        <v>3.5</v>
      </c>
      <c r="AC24" s="189">
        <v>4.2</v>
      </c>
      <c r="AD24" s="246">
        <f>AVERAGE(P24:R24)</f>
        <v>6.4842592592592583</v>
      </c>
      <c r="AE24" s="246">
        <f t="shared" ref="AE24" si="16">AVERAGE(U24:W24)</f>
        <v>4.1333333333333337</v>
      </c>
      <c r="AF24" s="246">
        <f t="shared" si="13"/>
        <v>3.6999999999999997</v>
      </c>
      <c r="AG24" s="247">
        <f t="shared" si="14"/>
        <v>3.5666666666666664</v>
      </c>
      <c r="AH24" s="241">
        <f>AVERAGE(P24:AC24)</f>
        <v>4.471064814814814</v>
      </c>
      <c r="AI24" s="262"/>
    </row>
    <row r="25" spans="1:358" ht="26.25" hidden="1" customHeight="1" outlineLevel="1">
      <c r="A25" s="245" t="s">
        <v>75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9.7899999999999991</v>
      </c>
      <c r="Q25" s="59">
        <f>AVERAGE(Q21:Q24)</f>
        <v>4.5627777777777778</v>
      </c>
      <c r="R25" s="59">
        <f t="shared" ref="R25" si="17">AVERAGE(R21:R24)</f>
        <v>5.0250000000000004</v>
      </c>
      <c r="S25" s="59"/>
      <c r="T25" s="59"/>
      <c r="U25" s="59">
        <f>AVERAGE(U21:U24)</f>
        <v>4.45</v>
      </c>
      <c r="V25" s="59">
        <f t="shared" ref="V25:AC25" si="18">AVERAGE(V21:V24)</f>
        <v>4.55</v>
      </c>
      <c r="W25" s="59">
        <f t="shared" si="18"/>
        <v>4.3499999999999996</v>
      </c>
      <c r="X25" s="59">
        <f t="shared" si="18"/>
        <v>4.0999999999999996</v>
      </c>
      <c r="Y25" s="59">
        <f t="shared" si="18"/>
        <v>3.6</v>
      </c>
      <c r="Z25" s="59">
        <f t="shared" si="18"/>
        <v>3.2</v>
      </c>
      <c r="AA25" s="59">
        <f t="shared" si="18"/>
        <v>3.125</v>
      </c>
      <c r="AB25" s="59">
        <f t="shared" si="18"/>
        <v>3.625</v>
      </c>
      <c r="AC25" s="59">
        <f t="shared" si="18"/>
        <v>3.9249999999999998</v>
      </c>
      <c r="AD25" s="59">
        <f>AVERAGE(AD21:AD24)</f>
        <v>6.4592592592592588</v>
      </c>
      <c r="AE25" s="59">
        <f>AVERAGE(AE21:AE24)</f>
        <v>4.45</v>
      </c>
      <c r="AF25" s="59">
        <f t="shared" ref="AF25:AG25" si="19">AVERAGE(AF21:AF24)</f>
        <v>3.6333333333333329</v>
      </c>
      <c r="AG25" s="234">
        <f t="shared" si="19"/>
        <v>3.5583333333333331</v>
      </c>
      <c r="AH25" s="242">
        <f>AVERAGE(AH21:AH24)</f>
        <v>4.5252314814814811</v>
      </c>
      <c r="AI25" s="262"/>
    </row>
    <row r="26" spans="1:358" ht="19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9.7899999999999991</v>
      </c>
      <c r="Q26" s="164">
        <f t="shared" ref="Q26" si="20">Q25</f>
        <v>4.5627777777777778</v>
      </c>
      <c r="R26" s="164">
        <v>5</v>
      </c>
      <c r="S26" s="164"/>
      <c r="T26" s="164"/>
      <c r="U26" s="164">
        <v>4.5</v>
      </c>
      <c r="V26" s="164">
        <v>5</v>
      </c>
      <c r="W26" s="164">
        <v>5</v>
      </c>
      <c r="X26" s="164">
        <v>5</v>
      </c>
      <c r="Y26" s="164">
        <v>5</v>
      </c>
      <c r="Z26" s="164">
        <v>4</v>
      </c>
      <c r="AA26" s="164">
        <v>4</v>
      </c>
      <c r="AB26" s="164">
        <v>4</v>
      </c>
      <c r="AC26" s="164">
        <v>4</v>
      </c>
      <c r="AD26" s="164">
        <f>AVERAGE(P26:R26)</f>
        <v>6.450925925925926</v>
      </c>
      <c r="AE26" s="164">
        <f>AVERAGE(U26:W26)</f>
        <v>4.833333333333333</v>
      </c>
      <c r="AF26" s="164">
        <f>AVERAGE(X26:Z26)</f>
        <v>4.666666666666667</v>
      </c>
      <c r="AG26" s="229">
        <f>AVERAGE(AA26:AC26)</f>
        <v>4</v>
      </c>
      <c r="AH26" s="243">
        <f>AVERAGE(P26:R26,U26:AC26)</f>
        <v>4.9877314814814815</v>
      </c>
      <c r="AI26" s="262">
        <v>-1</v>
      </c>
    </row>
    <row r="27" spans="1:358" ht="21.5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67"/>
      <c r="T27" s="67"/>
      <c r="U27" s="24"/>
      <c r="V27" s="24"/>
      <c r="W27" s="24"/>
      <c r="X27" s="24"/>
      <c r="Y27" s="23"/>
      <c r="Z27" s="23"/>
      <c r="AA27" s="23"/>
      <c r="AB27" s="23"/>
      <c r="AC27" s="23"/>
      <c r="AD27" s="23"/>
      <c r="AE27" s="23"/>
      <c r="AF27" s="23"/>
      <c r="AG27" s="24"/>
      <c r="AH27" s="238"/>
      <c r="AI27" s="262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673" t="s">
        <v>3</v>
      </c>
      <c r="F28" s="673" t="s">
        <v>4</v>
      </c>
      <c r="G28" s="673" t="s">
        <v>5</v>
      </c>
      <c r="H28" s="673" t="s">
        <v>6</v>
      </c>
      <c r="I28" s="673" t="s">
        <v>7</v>
      </c>
      <c r="J28" s="28" t="s">
        <v>2</v>
      </c>
      <c r="K28" s="673" t="s">
        <v>8</v>
      </c>
      <c r="L28" s="261" t="s">
        <v>9</v>
      </c>
      <c r="M28" s="261" t="s">
        <v>9</v>
      </c>
      <c r="N28" s="673" t="s">
        <v>12</v>
      </c>
      <c r="O28" s="673" t="s">
        <v>13</v>
      </c>
      <c r="P28" s="673" t="s">
        <v>14</v>
      </c>
      <c r="Q28" s="673" t="s">
        <v>15</v>
      </c>
      <c r="R28" s="673" t="s">
        <v>16</v>
      </c>
      <c r="S28" s="29" t="s">
        <v>10</v>
      </c>
      <c r="T28" s="30" t="s">
        <v>11</v>
      </c>
      <c r="U28" s="673" t="s">
        <v>64</v>
      </c>
      <c r="V28" s="673" t="s">
        <v>65</v>
      </c>
      <c r="W28" s="673" t="s">
        <v>66</v>
      </c>
      <c r="X28" s="673" t="s">
        <v>67</v>
      </c>
      <c r="Y28" s="673" t="s">
        <v>68</v>
      </c>
      <c r="Z28" s="673" t="s">
        <v>69</v>
      </c>
      <c r="AA28" s="673" t="s">
        <v>70</v>
      </c>
      <c r="AB28" s="673" t="s">
        <v>77</v>
      </c>
      <c r="AC28" s="673" t="s">
        <v>78</v>
      </c>
      <c r="AD28" s="688" t="s">
        <v>79</v>
      </c>
      <c r="AE28" s="688" t="s">
        <v>80</v>
      </c>
      <c r="AF28" s="688" t="s">
        <v>81</v>
      </c>
      <c r="AG28" s="690" t="s">
        <v>82</v>
      </c>
      <c r="AH28" s="692">
        <v>2016</v>
      </c>
      <c r="AI28" s="262"/>
    </row>
    <row r="29" spans="1:358" ht="16.5" hidden="1" customHeight="1" outlineLevel="1">
      <c r="A29" s="31"/>
      <c r="B29" s="68"/>
      <c r="C29" s="68"/>
      <c r="D29" s="27"/>
      <c r="E29" s="674"/>
      <c r="F29" s="674"/>
      <c r="G29" s="674"/>
      <c r="H29" s="674"/>
      <c r="I29" s="674"/>
      <c r="J29" s="69" t="str">
        <f>$J$6</f>
        <v>(8-12 Jun)</v>
      </c>
      <c r="K29" s="674"/>
      <c r="L29" s="33" t="s">
        <v>20</v>
      </c>
      <c r="M29" s="33" t="s">
        <v>63</v>
      </c>
      <c r="N29" s="674"/>
      <c r="O29" s="674"/>
      <c r="P29" s="674"/>
      <c r="Q29" s="674"/>
      <c r="R29" s="674"/>
      <c r="S29" s="187">
        <v>42430</v>
      </c>
      <c r="T29" s="188">
        <v>42461</v>
      </c>
      <c r="U29" s="674"/>
      <c r="V29" s="674"/>
      <c r="W29" s="674"/>
      <c r="X29" s="674"/>
      <c r="Y29" s="674"/>
      <c r="Z29" s="674"/>
      <c r="AA29" s="674"/>
      <c r="AB29" s="674"/>
      <c r="AC29" s="674"/>
      <c r="AD29" s="689"/>
      <c r="AE29" s="689"/>
      <c r="AF29" s="689"/>
      <c r="AG29" s="691"/>
      <c r="AH29" s="686"/>
      <c r="AI29" s="262"/>
    </row>
    <row r="30" spans="1:358" ht="21.5" hidden="1" outlineLevel="1" thickBot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73"/>
      <c r="T30" s="73"/>
      <c r="U30" s="39"/>
      <c r="V30" s="39"/>
      <c r="W30" s="39"/>
      <c r="X30" s="39"/>
      <c r="Y30" s="38"/>
      <c r="Z30" s="38"/>
      <c r="AA30" s="38"/>
      <c r="AB30" s="38"/>
      <c r="AC30" s="38"/>
      <c r="AD30" s="248"/>
      <c r="AE30" s="248"/>
      <c r="AF30" s="248"/>
      <c r="AG30" s="249"/>
      <c r="AH30" s="239"/>
      <c r="AI30" s="262"/>
    </row>
    <row r="31" spans="1:358" s="77" customFormat="1" ht="21" hidden="1" customHeight="1" outlineLevel="1">
      <c r="A31" s="683"/>
      <c r="B31" s="684"/>
      <c r="C31" s="684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218"/>
      <c r="T31" s="219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235"/>
      <c r="AH31" s="240"/>
      <c r="AI31" s="262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23.61</v>
      </c>
      <c r="Q32" s="56">
        <v>15.141666666666667</v>
      </c>
      <c r="R32" s="189">
        <v>18.5</v>
      </c>
      <c r="S32" s="185" t="s">
        <v>88</v>
      </c>
      <c r="T32" s="186" t="s">
        <v>89</v>
      </c>
      <c r="U32" s="189">
        <v>19.5</v>
      </c>
      <c r="V32" s="189">
        <v>21</v>
      </c>
      <c r="W32" s="189">
        <v>20</v>
      </c>
      <c r="X32" s="189">
        <v>18.5</v>
      </c>
      <c r="Y32" s="189">
        <v>17.5</v>
      </c>
      <c r="Z32" s="189">
        <v>16</v>
      </c>
      <c r="AA32" s="189">
        <v>16</v>
      </c>
      <c r="AB32" s="189">
        <v>15</v>
      </c>
      <c r="AC32" s="189">
        <v>14.5</v>
      </c>
      <c r="AD32" s="246">
        <f t="shared" ref="AD32:AD34" si="21">AVERAGE(P32:R32)</f>
        <v>19.08388888888889</v>
      </c>
      <c r="AE32" s="246">
        <f>AVERAGE(U32:W32)</f>
        <v>20.166666666666668</v>
      </c>
      <c r="AF32" s="246">
        <f>AVERAGE(X32:Z32)</f>
        <v>17.333333333333332</v>
      </c>
      <c r="AG32" s="247">
        <f>AVERAGE(AA32:AC32)</f>
        <v>15.166666666666666</v>
      </c>
      <c r="AH32" s="241">
        <f>AVERAGE(P32:AC32)</f>
        <v>17.937638888888888</v>
      </c>
      <c r="AI32" s="262"/>
    </row>
    <row r="33" spans="1:358" ht="54.75" hidden="1" customHeight="1" outlineLevel="1">
      <c r="A33" s="47" t="s">
        <v>24</v>
      </c>
      <c r="B33" s="78">
        <f t="shared" ref="B33" si="22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23.61</v>
      </c>
      <c r="Q33" s="56">
        <v>15.141666666666667</v>
      </c>
      <c r="R33" s="183">
        <v>17.7</v>
      </c>
      <c r="S33" s="185"/>
      <c r="T33" s="186"/>
      <c r="U33" s="183">
        <v>19</v>
      </c>
      <c r="V33" s="183">
        <v>21</v>
      </c>
      <c r="W33" s="183">
        <v>22</v>
      </c>
      <c r="X33" s="183">
        <v>21.5</v>
      </c>
      <c r="Y33" s="183">
        <v>19.8</v>
      </c>
      <c r="Z33" s="183">
        <v>18</v>
      </c>
      <c r="AA33" s="183">
        <v>17.5</v>
      </c>
      <c r="AB33" s="183">
        <v>16</v>
      </c>
      <c r="AC33" s="183">
        <v>16</v>
      </c>
      <c r="AD33" s="246">
        <f t="shared" si="21"/>
        <v>18.817222222222224</v>
      </c>
      <c r="AE33" s="246">
        <f t="shared" ref="AE33:AE35" si="23">AVERAGE(U33:W33)</f>
        <v>20.666666666666668</v>
      </c>
      <c r="AF33" s="246">
        <f t="shared" ref="AF33:AF35" si="24">AVERAGE(X33:Z33)</f>
        <v>19.766666666666666</v>
      </c>
      <c r="AG33" s="247">
        <f t="shared" ref="AG33:AG35" si="25">AVERAGE(AA33:AC33)</f>
        <v>16.5</v>
      </c>
      <c r="AH33" s="241">
        <f>AVERAGE(P33:AC33)</f>
        <v>18.937638888888888</v>
      </c>
      <c r="AI33" s="262"/>
    </row>
    <row r="34" spans="1:358" ht="54.75" hidden="1" customHeight="1" outlineLevel="1">
      <c r="A34" s="47" t="s">
        <v>25</v>
      </c>
      <c r="B34" s="48">
        <f t="shared" ref="B34" si="26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23.61</v>
      </c>
      <c r="Q34" s="56">
        <v>15.141666666666667</v>
      </c>
      <c r="R34" s="189">
        <v>17</v>
      </c>
      <c r="S34" s="185" t="s">
        <v>160</v>
      </c>
      <c r="T34" s="186" t="s">
        <v>96</v>
      </c>
      <c r="U34" s="189">
        <v>18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189">
        <v>17.5</v>
      </c>
      <c r="AD34" s="246">
        <f t="shared" si="21"/>
        <v>18.58388888888889</v>
      </c>
      <c r="AE34" s="246">
        <f t="shared" si="23"/>
        <v>18.833333333333332</v>
      </c>
      <c r="AF34" s="246">
        <f t="shared" si="24"/>
        <v>19</v>
      </c>
      <c r="AG34" s="247">
        <f t="shared" si="25"/>
        <v>17.5</v>
      </c>
      <c r="AH34" s="241">
        <f>AVERAGE(P34:AC34)</f>
        <v>18.479305555555555</v>
      </c>
      <c r="AI34" s="262"/>
    </row>
    <row r="35" spans="1:358" ht="47.25" hidden="1" customHeight="1" outlineLevel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23.61</v>
      </c>
      <c r="Q35" s="56">
        <v>15.141666666666667</v>
      </c>
      <c r="R35" s="189">
        <v>16.399999999999999</v>
      </c>
      <c r="S35" s="185" t="s">
        <v>141</v>
      </c>
      <c r="T35" s="186" t="s">
        <v>142</v>
      </c>
      <c r="U35" s="189">
        <v>16.7</v>
      </c>
      <c r="V35" s="189">
        <v>17</v>
      </c>
      <c r="W35" s="189">
        <v>17.2</v>
      </c>
      <c r="X35" s="189">
        <v>15.1</v>
      </c>
      <c r="Y35" s="189">
        <v>14</v>
      </c>
      <c r="Z35" s="189">
        <v>13.3</v>
      </c>
      <c r="AA35" s="189">
        <v>13.4</v>
      </c>
      <c r="AB35" s="189">
        <v>12.6</v>
      </c>
      <c r="AC35" s="189">
        <v>12.3</v>
      </c>
      <c r="AD35" s="246">
        <f>AVERAGE(P35:R35)</f>
        <v>18.383888888888887</v>
      </c>
      <c r="AE35" s="246">
        <f t="shared" si="23"/>
        <v>16.966666666666669</v>
      </c>
      <c r="AF35" s="246">
        <f t="shared" si="24"/>
        <v>14.133333333333335</v>
      </c>
      <c r="AG35" s="247">
        <f t="shared" si="25"/>
        <v>12.766666666666666</v>
      </c>
      <c r="AH35" s="241">
        <f>AVERAGE(P35:AC35)</f>
        <v>15.562638888888889</v>
      </c>
      <c r="AI35" s="262"/>
    </row>
    <row r="36" spans="1:358" s="62" customFormat="1" ht="19" hidden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R36" si="27">AVERAGE(J32:J35)</f>
        <v>#DIV/0!</v>
      </c>
      <c r="K36" s="59">
        <f t="shared" si="27"/>
        <v>16.482500000000002</v>
      </c>
      <c r="L36" s="59">
        <f t="shared" si="27"/>
        <v>17.25</v>
      </c>
      <c r="M36" s="59">
        <f t="shared" si="27"/>
        <v>16.372499999999999</v>
      </c>
      <c r="N36" s="59">
        <f t="shared" si="27"/>
        <v>15.8125</v>
      </c>
      <c r="O36" s="59">
        <f t="shared" si="27"/>
        <v>18.166666666666668</v>
      </c>
      <c r="P36" s="59">
        <f t="shared" si="27"/>
        <v>23.61</v>
      </c>
      <c r="Q36" s="59">
        <f t="shared" si="27"/>
        <v>15.141666666666667</v>
      </c>
      <c r="R36" s="59">
        <f t="shared" si="27"/>
        <v>17.399999999999999</v>
      </c>
      <c r="S36" s="60"/>
      <c r="T36" s="60"/>
      <c r="U36" s="59">
        <f t="shared" ref="U36:AC36" si="28">AVERAGE(U32:U35)</f>
        <v>18.3</v>
      </c>
      <c r="V36" s="59">
        <f t="shared" si="28"/>
        <v>19.375</v>
      </c>
      <c r="W36" s="59">
        <f t="shared" si="28"/>
        <v>19.8</v>
      </c>
      <c r="X36" s="59">
        <f t="shared" si="28"/>
        <v>18.774999999999999</v>
      </c>
      <c r="Y36" s="59">
        <f t="shared" si="28"/>
        <v>17.574999999999999</v>
      </c>
      <c r="Z36" s="59">
        <f t="shared" si="28"/>
        <v>16.324999999999999</v>
      </c>
      <c r="AA36" s="59">
        <f t="shared" si="28"/>
        <v>16.100000000000001</v>
      </c>
      <c r="AB36" s="59">
        <f t="shared" si="28"/>
        <v>15.275</v>
      </c>
      <c r="AC36" s="59">
        <f t="shared" si="28"/>
        <v>15.074999999999999</v>
      </c>
      <c r="AD36" s="59">
        <f>AVERAGE(AD32:AD35)</f>
        <v>18.717222222222222</v>
      </c>
      <c r="AE36" s="59">
        <f t="shared" ref="AE36:AG36" si="29">AVERAGE(AE32:AE35)</f>
        <v>19.158333333333335</v>
      </c>
      <c r="AF36" s="59">
        <f t="shared" si="29"/>
        <v>17.558333333333334</v>
      </c>
      <c r="AG36" s="234">
        <f t="shared" si="29"/>
        <v>15.483333333333333</v>
      </c>
      <c r="AH36" s="242">
        <f>AVERAGE(AH32:AH35)</f>
        <v>17.729305555555555</v>
      </c>
      <c r="AI36" s="257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9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23.61</v>
      </c>
      <c r="Q37" s="164">
        <f t="shared" ref="Q37" si="30">Q36</f>
        <v>15.141666666666667</v>
      </c>
      <c r="R37" s="164">
        <v>17.5</v>
      </c>
      <c r="S37" s="164"/>
      <c r="T37" s="164"/>
      <c r="U37" s="164">
        <v>18.5</v>
      </c>
      <c r="V37" s="164">
        <v>19.5</v>
      </c>
      <c r="W37" s="164">
        <v>20</v>
      </c>
      <c r="X37" s="164">
        <v>18.5</v>
      </c>
      <c r="Y37" s="164">
        <v>17.5</v>
      </c>
      <c r="Z37" s="164">
        <v>16.5</v>
      </c>
      <c r="AA37" s="164">
        <v>15</v>
      </c>
      <c r="AB37" s="164">
        <v>14</v>
      </c>
      <c r="AC37" s="164">
        <v>14</v>
      </c>
      <c r="AD37" s="164">
        <f>AVERAGE(P37:R37)</f>
        <v>18.750555555555554</v>
      </c>
      <c r="AE37" s="164">
        <f>AVERAGE(U37:W37)</f>
        <v>19.333333333333332</v>
      </c>
      <c r="AF37" s="164">
        <f>AVERAGE(X37:Z37)</f>
        <v>17.5</v>
      </c>
      <c r="AG37" s="229">
        <f>AVERAGE(AA37:AC37)</f>
        <v>14.333333333333334</v>
      </c>
      <c r="AH37" s="243">
        <f>AVERAGE(P37:R37,U37:AC37)</f>
        <v>17.479305555555555</v>
      </c>
      <c r="AI37" s="262">
        <v>16</v>
      </c>
    </row>
    <row r="38" spans="1:358" ht="21.5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67"/>
      <c r="T38" s="67"/>
      <c r="U38" s="24"/>
      <c r="V38" s="24"/>
      <c r="W38" s="24"/>
      <c r="X38" s="24"/>
      <c r="Y38" s="23"/>
      <c r="Z38" s="23"/>
      <c r="AA38" s="23"/>
      <c r="AB38" s="23"/>
      <c r="AC38" s="23"/>
      <c r="AD38" s="23"/>
      <c r="AE38" s="23"/>
      <c r="AF38" s="23"/>
      <c r="AG38" s="24"/>
      <c r="AH38" s="238"/>
      <c r="AI38" s="262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673" t="s">
        <v>3</v>
      </c>
      <c r="F39" s="673" t="s">
        <v>4</v>
      </c>
      <c r="G39" s="673" t="s">
        <v>5</v>
      </c>
      <c r="H39" s="673" t="s">
        <v>6</v>
      </c>
      <c r="I39" s="673" t="s">
        <v>7</v>
      </c>
      <c r="J39" s="28" t="s">
        <v>2</v>
      </c>
      <c r="K39" s="673" t="s">
        <v>8</v>
      </c>
      <c r="L39" s="261" t="s">
        <v>9</v>
      </c>
      <c r="M39" s="261" t="s">
        <v>9</v>
      </c>
      <c r="N39" s="673" t="s">
        <v>12</v>
      </c>
      <c r="O39" s="673" t="s">
        <v>13</v>
      </c>
      <c r="P39" s="673" t="s">
        <v>14</v>
      </c>
      <c r="Q39" s="673" t="s">
        <v>15</v>
      </c>
      <c r="R39" s="673" t="s">
        <v>16</v>
      </c>
      <c r="S39" s="29" t="s">
        <v>10</v>
      </c>
      <c r="T39" s="30" t="s">
        <v>11</v>
      </c>
      <c r="U39" s="673" t="s">
        <v>64</v>
      </c>
      <c r="V39" s="673" t="s">
        <v>65</v>
      </c>
      <c r="W39" s="673" t="s">
        <v>66</v>
      </c>
      <c r="X39" s="673" t="s">
        <v>67</v>
      </c>
      <c r="Y39" s="673" t="s">
        <v>68</v>
      </c>
      <c r="Z39" s="673" t="s">
        <v>69</v>
      </c>
      <c r="AA39" s="673" t="s">
        <v>70</v>
      </c>
      <c r="AB39" s="673" t="s">
        <v>77</v>
      </c>
      <c r="AC39" s="673" t="s">
        <v>78</v>
      </c>
      <c r="AD39" s="688" t="s">
        <v>79</v>
      </c>
      <c r="AE39" s="688" t="s">
        <v>80</v>
      </c>
      <c r="AF39" s="688" t="s">
        <v>81</v>
      </c>
      <c r="AG39" s="690" t="s">
        <v>82</v>
      </c>
      <c r="AH39" s="692">
        <v>2016</v>
      </c>
      <c r="AI39" s="262"/>
    </row>
    <row r="40" spans="1:358" ht="16.5" hidden="1" customHeight="1" outlineLevel="1">
      <c r="A40" s="31"/>
      <c r="B40" s="68"/>
      <c r="C40" s="68"/>
      <c r="D40" s="27"/>
      <c r="E40" s="674"/>
      <c r="F40" s="674"/>
      <c r="G40" s="674"/>
      <c r="H40" s="674"/>
      <c r="I40" s="674"/>
      <c r="J40" s="69" t="str">
        <f>$J$6</f>
        <v>(8-12 Jun)</v>
      </c>
      <c r="K40" s="674"/>
      <c r="L40" s="33" t="s">
        <v>20</v>
      </c>
      <c r="M40" s="33" t="s">
        <v>63</v>
      </c>
      <c r="N40" s="674"/>
      <c r="O40" s="674"/>
      <c r="P40" s="674"/>
      <c r="Q40" s="674"/>
      <c r="R40" s="674"/>
      <c r="S40" s="187">
        <f>S6</f>
        <v>42430</v>
      </c>
      <c r="T40" s="188">
        <f>T6</f>
        <v>42461</v>
      </c>
      <c r="U40" s="674"/>
      <c r="V40" s="674"/>
      <c r="W40" s="674"/>
      <c r="X40" s="674"/>
      <c r="Y40" s="674"/>
      <c r="Z40" s="674"/>
      <c r="AA40" s="674"/>
      <c r="AB40" s="674"/>
      <c r="AC40" s="674"/>
      <c r="AD40" s="689"/>
      <c r="AE40" s="689"/>
      <c r="AF40" s="689"/>
      <c r="AG40" s="691"/>
      <c r="AH40" s="686"/>
      <c r="AI40" s="262"/>
    </row>
    <row r="41" spans="1:358" ht="21.5" hidden="1" outlineLevel="1" thickBot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100"/>
      <c r="T41" s="100"/>
      <c r="U41" s="39"/>
      <c r="V41" s="39"/>
      <c r="W41" s="39"/>
      <c r="X41" s="39"/>
      <c r="Y41" s="38"/>
      <c r="Z41" s="38"/>
      <c r="AA41" s="38"/>
      <c r="AB41" s="38"/>
      <c r="AC41" s="38"/>
      <c r="AD41" s="248"/>
      <c r="AE41" s="248"/>
      <c r="AF41" s="248"/>
      <c r="AG41" s="249"/>
      <c r="AH41" s="239"/>
      <c r="AI41" s="262"/>
    </row>
    <row r="42" spans="1:358" s="77" customFormat="1" ht="21" hidden="1" customHeight="1" outlineLevel="1">
      <c r="A42" s="675"/>
      <c r="B42" s="676"/>
      <c r="C42" s="676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216"/>
      <c r="T42" s="217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235"/>
      <c r="AH42" s="240"/>
      <c r="AI42" s="262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11.1</v>
      </c>
      <c r="Q43" s="56">
        <v>11.648333333333333</v>
      </c>
      <c r="R43" s="181">
        <v>11.25</v>
      </c>
      <c r="S43" s="185" t="s">
        <v>150</v>
      </c>
      <c r="T43" s="186" t="s">
        <v>151</v>
      </c>
      <c r="U43" s="181">
        <v>10.75</v>
      </c>
      <c r="V43" s="181">
        <v>10.5</v>
      </c>
      <c r="W43" s="181">
        <v>10</v>
      </c>
      <c r="X43" s="181">
        <v>9.75</v>
      </c>
      <c r="Y43" s="181">
        <v>9.25</v>
      </c>
      <c r="Z43" s="181">
        <v>10</v>
      </c>
      <c r="AA43" s="181">
        <v>11.5</v>
      </c>
      <c r="AB43" s="181">
        <v>12.75</v>
      </c>
      <c r="AC43" s="181">
        <v>13.75</v>
      </c>
      <c r="AD43" s="246">
        <f t="shared" ref="AD43:AD45" si="31">AVERAGE(P43:R43)</f>
        <v>11.332777777777778</v>
      </c>
      <c r="AE43" s="246">
        <f>AVERAGE(U43:W43)</f>
        <v>10.416666666666666</v>
      </c>
      <c r="AF43" s="246">
        <f>AVERAGE(X43:Z43)</f>
        <v>9.6666666666666661</v>
      </c>
      <c r="AG43" s="247">
        <f>AVERAGE(AA43:AC43)</f>
        <v>12.666666666666666</v>
      </c>
      <c r="AH43" s="241">
        <f>AVERAGE(P43:AC43)</f>
        <v>11.020694444444445</v>
      </c>
      <c r="AI43" s="262"/>
    </row>
    <row r="44" spans="1:358" ht="60.75" hidden="1" customHeight="1" outlineLevel="1">
      <c r="A44" s="47" t="s">
        <v>24</v>
      </c>
      <c r="B44" s="78">
        <f t="shared" ref="B44" si="32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11.1</v>
      </c>
      <c r="Q44" s="50">
        <v>11.648333333333333</v>
      </c>
      <c r="R44" s="175">
        <v>11.5</v>
      </c>
      <c r="S44" s="185"/>
      <c r="T44" s="186"/>
      <c r="U44" s="175">
        <v>11.3</v>
      </c>
      <c r="V44" s="175">
        <v>11.2</v>
      </c>
      <c r="W44" s="175">
        <v>10.8</v>
      </c>
      <c r="X44" s="175">
        <v>10.5</v>
      </c>
      <c r="Y44" s="175">
        <v>11</v>
      </c>
      <c r="Z44" s="175">
        <v>11.7</v>
      </c>
      <c r="AA44" s="175">
        <v>13</v>
      </c>
      <c r="AB44" s="175">
        <v>14</v>
      </c>
      <c r="AC44" s="175">
        <v>13.9</v>
      </c>
      <c r="AD44" s="246">
        <f t="shared" si="31"/>
        <v>11.416111111111112</v>
      </c>
      <c r="AE44" s="246">
        <f t="shared" ref="AE44:AE46" si="33">AVERAGE(U44:W44)</f>
        <v>11.1</v>
      </c>
      <c r="AF44" s="246">
        <f t="shared" ref="AF44:AF46" si="34">AVERAGE(X44:Z44)</f>
        <v>11.066666666666668</v>
      </c>
      <c r="AG44" s="247">
        <f t="shared" ref="AG44:AG46" si="35">AVERAGE(AA44:AC44)</f>
        <v>13.633333333333333</v>
      </c>
      <c r="AH44" s="241">
        <f>AVERAGE(P44:AC44)</f>
        <v>11.804027777777778</v>
      </c>
      <c r="AI44" s="262"/>
    </row>
    <row r="45" spans="1:358" ht="60.75" hidden="1" customHeight="1" outlineLevel="1">
      <c r="A45" s="47" t="s">
        <v>25</v>
      </c>
      <c r="B45" s="78">
        <f t="shared" ref="B45" si="36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11.1</v>
      </c>
      <c r="Q45" s="56">
        <v>11.648333333333333</v>
      </c>
      <c r="R45" s="189">
        <v>11.5</v>
      </c>
      <c r="S45" s="185" t="s">
        <v>161</v>
      </c>
      <c r="T45" s="186" t="s">
        <v>36</v>
      </c>
      <c r="U45" s="181">
        <v>11.6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181">
        <v>12</v>
      </c>
      <c r="AD45" s="246">
        <f t="shared" si="31"/>
        <v>11.416111111111112</v>
      </c>
      <c r="AE45" s="246">
        <f t="shared" si="33"/>
        <v>11.200000000000001</v>
      </c>
      <c r="AF45" s="246">
        <f t="shared" si="34"/>
        <v>11.166666666666666</v>
      </c>
      <c r="AG45" s="247">
        <f t="shared" si="35"/>
        <v>11.833333333333334</v>
      </c>
      <c r="AH45" s="241">
        <f>AVERAGE(P45:AC45)</f>
        <v>11.404027777777777</v>
      </c>
      <c r="AI45" s="262"/>
    </row>
    <row r="46" spans="1:358" ht="60.75" hidden="1" customHeight="1" outlineLevel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11.1</v>
      </c>
      <c r="Q46" s="56">
        <v>11.648333333333333</v>
      </c>
      <c r="R46" s="181">
        <v>11.5</v>
      </c>
      <c r="S46" s="185" t="s">
        <v>164</v>
      </c>
      <c r="T46" s="186" t="s">
        <v>144</v>
      </c>
      <c r="U46" s="181">
        <v>10.799999999999999</v>
      </c>
      <c r="V46" s="181">
        <v>10.199999999999999</v>
      </c>
      <c r="W46" s="181">
        <v>11</v>
      </c>
      <c r="X46" s="181">
        <v>10.84</v>
      </c>
      <c r="Y46" s="181">
        <v>10.7</v>
      </c>
      <c r="Z46" s="181">
        <v>10.299999999999999</v>
      </c>
      <c r="AA46" s="181">
        <v>12.7</v>
      </c>
      <c r="AB46" s="181">
        <v>14.649999999999999</v>
      </c>
      <c r="AC46" s="181">
        <v>14.389999999999999</v>
      </c>
      <c r="AD46" s="246">
        <f>AVERAGE(P46:R46)</f>
        <v>11.416111111111112</v>
      </c>
      <c r="AE46" s="246">
        <f t="shared" si="33"/>
        <v>10.666666666666666</v>
      </c>
      <c r="AF46" s="246">
        <f t="shared" si="34"/>
        <v>10.613333333333332</v>
      </c>
      <c r="AG46" s="247">
        <f t="shared" si="35"/>
        <v>13.913333333333332</v>
      </c>
      <c r="AH46" s="241">
        <f>AVERAGE(P46:AC46)</f>
        <v>11.652361111111111</v>
      </c>
      <c r="AI46" s="262"/>
    </row>
    <row r="47" spans="1:358" s="62" customFormat="1" ht="19" hidden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R47" si="37">AVERAGE(J43:J46)</f>
        <v>#DIV/0!</v>
      </c>
      <c r="K47" s="157">
        <f t="shared" si="37"/>
        <v>13.11</v>
      </c>
      <c r="L47" s="157">
        <f t="shared" si="37"/>
        <v>13.435000000000002</v>
      </c>
      <c r="M47" s="157">
        <f t="shared" si="37"/>
        <v>13.345000000000001</v>
      </c>
      <c r="N47" s="157">
        <f t="shared" si="37"/>
        <v>14.229999999999999</v>
      </c>
      <c r="O47" s="157">
        <f t="shared" si="37"/>
        <v>14.25</v>
      </c>
      <c r="P47" s="157">
        <f t="shared" si="37"/>
        <v>11.1</v>
      </c>
      <c r="Q47" s="157">
        <f t="shared" si="37"/>
        <v>11.648333333333333</v>
      </c>
      <c r="R47" s="157">
        <f t="shared" si="37"/>
        <v>11.4375</v>
      </c>
      <c r="S47" s="158"/>
      <c r="T47" s="158"/>
      <c r="U47" s="59">
        <f t="shared" ref="U47:AG47" si="38">AVERAGE(U43:U46)</f>
        <v>11.112499999999999</v>
      </c>
      <c r="V47" s="59">
        <f t="shared" si="38"/>
        <v>10.725000000000001</v>
      </c>
      <c r="W47" s="59">
        <f t="shared" si="38"/>
        <v>10.7</v>
      </c>
      <c r="X47" s="59">
        <f t="shared" si="38"/>
        <v>10.522500000000001</v>
      </c>
      <c r="Y47" s="59">
        <f t="shared" si="38"/>
        <v>10.487500000000001</v>
      </c>
      <c r="Z47" s="59">
        <f t="shared" si="38"/>
        <v>10.875</v>
      </c>
      <c r="AA47" s="59">
        <f t="shared" si="38"/>
        <v>12.175000000000001</v>
      </c>
      <c r="AB47" s="59">
        <f t="shared" si="38"/>
        <v>13.35</v>
      </c>
      <c r="AC47" s="59">
        <f t="shared" si="38"/>
        <v>13.51</v>
      </c>
      <c r="AD47" s="59">
        <f t="shared" si="38"/>
        <v>11.39527777777778</v>
      </c>
      <c r="AE47" s="59">
        <f t="shared" si="38"/>
        <v>10.845833333333333</v>
      </c>
      <c r="AF47" s="59">
        <f t="shared" si="38"/>
        <v>10.628333333333332</v>
      </c>
      <c r="AG47" s="234">
        <f t="shared" si="38"/>
        <v>13.011666666666667</v>
      </c>
      <c r="AH47" s="242">
        <f>AVERAGE(AH43:AH46)</f>
        <v>11.470277777777778</v>
      </c>
      <c r="AI47" s="262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5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11.1</v>
      </c>
      <c r="Q48" s="164">
        <f t="shared" ref="Q48" si="39">Q47</f>
        <v>11.648333333333333</v>
      </c>
      <c r="R48" s="164">
        <v>11.5</v>
      </c>
      <c r="S48" s="164"/>
      <c r="T48" s="164"/>
      <c r="U48" s="164">
        <v>11.1</v>
      </c>
      <c r="V48" s="164">
        <v>10.75</v>
      </c>
      <c r="W48" s="164">
        <v>10.75</v>
      </c>
      <c r="X48" s="164">
        <v>10.5</v>
      </c>
      <c r="Y48" s="164">
        <v>10.5</v>
      </c>
      <c r="Z48" s="164">
        <v>10.9</v>
      </c>
      <c r="AA48" s="164">
        <v>12.2</v>
      </c>
      <c r="AB48" s="164">
        <v>13.35</v>
      </c>
      <c r="AC48" s="164">
        <v>13.5</v>
      </c>
      <c r="AD48" s="164">
        <f>AVERAGE(P48:R48)</f>
        <v>11.416111111111112</v>
      </c>
      <c r="AE48" s="164">
        <f>AVERAGE(U48:W48)</f>
        <v>10.866666666666667</v>
      </c>
      <c r="AF48" s="164">
        <f>AVERAGE(X48:Z48)</f>
        <v>10.633333333333333</v>
      </c>
      <c r="AG48" s="229">
        <f>AVERAGE(AA48:AC48)</f>
        <v>13.016666666666666</v>
      </c>
      <c r="AH48" s="243">
        <f>AVERAGE(P48:R48,U48:AC48)</f>
        <v>11.483194444444445</v>
      </c>
      <c r="AI48" s="262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5" hidden="1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1.7599999999999998</v>
      </c>
      <c r="Q49" s="157">
        <f t="shared" ref="Q49:AC50" si="40">Q47-Q60</f>
        <v>2.5516666666666659</v>
      </c>
      <c r="R49" s="157">
        <f>R47-R60</f>
        <v>1.3249999999999993</v>
      </c>
      <c r="S49" s="159"/>
      <c r="T49" s="159"/>
      <c r="U49" s="157">
        <f t="shared" ref="U49:AH50" si="41">U47-U60</f>
        <v>0.44999999999999929</v>
      </c>
      <c r="V49" s="157">
        <f t="shared" si="41"/>
        <v>1.2500000000001066E-2</v>
      </c>
      <c r="W49" s="157">
        <f t="shared" si="41"/>
        <v>0.25</v>
      </c>
      <c r="X49" s="157">
        <f t="shared" si="41"/>
        <v>3.7500000000001421E-2</v>
      </c>
      <c r="Y49" s="157">
        <f t="shared" si="41"/>
        <v>0.5625</v>
      </c>
      <c r="Z49" s="157">
        <f t="shared" si="41"/>
        <v>0.65000000000000036</v>
      </c>
      <c r="AA49" s="157">
        <f t="shared" si="41"/>
        <v>0.77500000000000036</v>
      </c>
      <c r="AB49" s="157">
        <f t="shared" si="41"/>
        <v>0.80750000000000099</v>
      </c>
      <c r="AC49" s="157">
        <f t="shared" si="41"/>
        <v>0.70500000000000007</v>
      </c>
      <c r="AD49" s="157">
        <f t="shared" si="41"/>
        <v>1.8788888888888895</v>
      </c>
      <c r="AE49" s="157">
        <f t="shared" si="41"/>
        <v>0.23750000000000071</v>
      </c>
      <c r="AF49" s="157">
        <f t="shared" si="41"/>
        <v>0.41666666666666607</v>
      </c>
      <c r="AG49" s="236">
        <f t="shared" si="41"/>
        <v>0.76249999999999929</v>
      </c>
      <c r="AH49" s="242">
        <f t="shared" si="41"/>
        <v>0.82388888888888978</v>
      </c>
      <c r="AI49" s="262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9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1.7599999999999998</v>
      </c>
      <c r="Q50" s="164">
        <f t="shared" si="40"/>
        <v>2.5516666666666659</v>
      </c>
      <c r="R50" s="164">
        <f t="shared" si="40"/>
        <v>1.4000000000000004</v>
      </c>
      <c r="S50" s="164"/>
      <c r="T50" s="164"/>
      <c r="U50" s="164">
        <f t="shared" si="40"/>
        <v>0.44999999999999929</v>
      </c>
      <c r="V50" s="164">
        <f t="shared" si="40"/>
        <v>5.0000000000000711E-2</v>
      </c>
      <c r="W50" s="164">
        <f t="shared" si="40"/>
        <v>0</v>
      </c>
      <c r="X50" s="164">
        <f t="shared" si="40"/>
        <v>0</v>
      </c>
      <c r="Y50" s="164">
        <f t="shared" si="40"/>
        <v>0.55000000000000071</v>
      </c>
      <c r="Z50" s="164">
        <f t="shared" si="40"/>
        <v>0.65000000000000036</v>
      </c>
      <c r="AA50" s="164">
        <f t="shared" si="40"/>
        <v>0.79999999999999893</v>
      </c>
      <c r="AB50" s="164">
        <f t="shared" si="40"/>
        <v>0.79999999999999893</v>
      </c>
      <c r="AC50" s="164">
        <f t="shared" si="40"/>
        <v>0.69999999999999929</v>
      </c>
      <c r="AD50" s="164">
        <f>AVERAGE(P50:R50)</f>
        <v>1.9038888888888887</v>
      </c>
      <c r="AE50" s="164">
        <f t="shared" si="41"/>
        <v>0.16666666666666607</v>
      </c>
      <c r="AF50" s="164">
        <f t="shared" si="41"/>
        <v>0.40000000000000036</v>
      </c>
      <c r="AG50" s="229">
        <f t="shared" si="41"/>
        <v>0.76666666666666572</v>
      </c>
      <c r="AH50" s="243">
        <f t="shared" si="41"/>
        <v>0.8093055555555555</v>
      </c>
      <c r="AI50" s="230">
        <f>AI48-AI60</f>
        <v>0.29999999999999893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5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67"/>
      <c r="T51" s="67"/>
      <c r="U51" s="24"/>
      <c r="V51" s="24"/>
      <c r="W51" s="24"/>
      <c r="X51" s="24"/>
      <c r="Y51" s="177"/>
      <c r="Z51" s="177"/>
      <c r="AA51" s="177"/>
      <c r="AB51" s="177"/>
      <c r="AC51" s="177"/>
      <c r="AD51" s="23"/>
      <c r="AE51" s="23"/>
      <c r="AF51" s="23"/>
      <c r="AG51" s="24"/>
      <c r="AH51" s="238"/>
      <c r="AI51" s="228">
        <f>AH48-AH61</f>
        <v>0.8093055555555555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673" t="s">
        <v>3</v>
      </c>
      <c r="F52" s="673" t="s">
        <v>4</v>
      </c>
      <c r="G52" s="673" t="s">
        <v>5</v>
      </c>
      <c r="H52" s="673" t="s">
        <v>6</v>
      </c>
      <c r="I52" s="673" t="s">
        <v>7</v>
      </c>
      <c r="J52" s="28" t="s">
        <v>2</v>
      </c>
      <c r="K52" s="673" t="s">
        <v>8</v>
      </c>
      <c r="L52" s="261" t="s">
        <v>9</v>
      </c>
      <c r="M52" s="261" t="s">
        <v>9</v>
      </c>
      <c r="N52" s="673" t="s">
        <v>12</v>
      </c>
      <c r="O52" s="673" t="s">
        <v>13</v>
      </c>
      <c r="P52" s="673" t="s">
        <v>14</v>
      </c>
      <c r="Q52" s="673" t="s">
        <v>15</v>
      </c>
      <c r="R52" s="673" t="s">
        <v>16</v>
      </c>
      <c r="S52" s="29" t="s">
        <v>10</v>
      </c>
      <c r="T52" s="30" t="s">
        <v>11</v>
      </c>
      <c r="U52" s="673" t="s">
        <v>64</v>
      </c>
      <c r="V52" s="673" t="s">
        <v>65</v>
      </c>
      <c r="W52" s="673" t="s">
        <v>66</v>
      </c>
      <c r="X52" s="673" t="s">
        <v>67</v>
      </c>
      <c r="Y52" s="673" t="s">
        <v>68</v>
      </c>
      <c r="Z52" s="673" t="s">
        <v>69</v>
      </c>
      <c r="AA52" s="673" t="s">
        <v>70</v>
      </c>
      <c r="AB52" s="673" t="s">
        <v>77</v>
      </c>
      <c r="AC52" s="673" t="s">
        <v>78</v>
      </c>
      <c r="AD52" s="688" t="s">
        <v>79</v>
      </c>
      <c r="AE52" s="688" t="s">
        <v>80</v>
      </c>
      <c r="AF52" s="688" t="s">
        <v>81</v>
      </c>
      <c r="AG52" s="690" t="s">
        <v>82</v>
      </c>
      <c r="AH52" s="692">
        <v>2016</v>
      </c>
    </row>
    <row r="53" spans="1:358" ht="17.25" hidden="1" customHeight="1" outlineLevel="1">
      <c r="A53" s="31"/>
      <c r="B53" s="68"/>
      <c r="C53" s="68"/>
      <c r="D53" s="27"/>
      <c r="E53" s="674"/>
      <c r="F53" s="674"/>
      <c r="G53" s="674"/>
      <c r="H53" s="674"/>
      <c r="I53" s="674"/>
      <c r="J53" s="69" t="str">
        <f>$J$6</f>
        <v>(8-12 Jun)</v>
      </c>
      <c r="K53" s="674"/>
      <c r="L53" s="33" t="s">
        <v>20</v>
      </c>
      <c r="M53" s="33" t="s">
        <v>63</v>
      </c>
      <c r="N53" s="674"/>
      <c r="O53" s="674"/>
      <c r="P53" s="674"/>
      <c r="Q53" s="674"/>
      <c r="R53" s="674"/>
      <c r="S53" s="187">
        <f>S6</f>
        <v>42430</v>
      </c>
      <c r="T53" s="188">
        <f>T6</f>
        <v>42461</v>
      </c>
      <c r="U53" s="674"/>
      <c r="V53" s="674"/>
      <c r="W53" s="674"/>
      <c r="X53" s="674"/>
      <c r="Y53" s="674"/>
      <c r="Z53" s="674"/>
      <c r="AA53" s="674"/>
      <c r="AB53" s="674"/>
      <c r="AC53" s="674"/>
      <c r="AD53" s="689"/>
      <c r="AE53" s="689"/>
      <c r="AF53" s="689"/>
      <c r="AG53" s="691"/>
      <c r="AH53" s="686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107"/>
      <c r="T54" s="107"/>
      <c r="U54" s="39"/>
      <c r="V54" s="39"/>
      <c r="W54" s="39"/>
      <c r="X54" s="39"/>
      <c r="Y54" s="38"/>
      <c r="Z54" s="38"/>
      <c r="AA54" s="38"/>
      <c r="AB54" s="38"/>
      <c r="AC54" s="38"/>
      <c r="AD54" s="248"/>
      <c r="AE54" s="248"/>
      <c r="AF54" s="248"/>
      <c r="AG54" s="249"/>
      <c r="AH54" s="239"/>
    </row>
    <row r="55" spans="1:358" s="77" customFormat="1" ht="16.5" hidden="1" customHeight="1" outlineLevel="1">
      <c r="A55" s="675"/>
      <c r="B55" s="676"/>
      <c r="C55" s="676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220"/>
      <c r="T55" s="221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235"/>
      <c r="AH55" s="240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9.34</v>
      </c>
      <c r="Q56" s="56">
        <v>9.0966666666666676</v>
      </c>
      <c r="R56" s="189">
        <v>10.25</v>
      </c>
      <c r="S56" s="185" t="s">
        <v>152</v>
      </c>
      <c r="T56" s="186" t="s">
        <v>153</v>
      </c>
      <c r="U56" s="189">
        <v>10.75</v>
      </c>
      <c r="V56" s="189">
        <v>10.75</v>
      </c>
      <c r="W56" s="189">
        <v>10.5</v>
      </c>
      <c r="X56" s="189">
        <v>9.5</v>
      </c>
      <c r="Y56" s="189">
        <v>9</v>
      </c>
      <c r="Z56" s="189">
        <v>9.5</v>
      </c>
      <c r="AA56" s="189">
        <v>10.5</v>
      </c>
      <c r="AB56" s="189">
        <v>11.5</v>
      </c>
      <c r="AC56" s="189">
        <v>12.5</v>
      </c>
      <c r="AD56" s="246">
        <f t="shared" ref="AD56:AD58" si="42">AVERAGE(P56:R56)</f>
        <v>9.5622222222222231</v>
      </c>
      <c r="AE56" s="246">
        <f>AVERAGE(U56:W56)</f>
        <v>10.666666666666666</v>
      </c>
      <c r="AF56" s="246">
        <f>AVERAGE(X56:Z56)</f>
        <v>9.3333333333333339</v>
      </c>
      <c r="AG56" s="247">
        <f>AVERAGE(AA56:AC56)</f>
        <v>11.5</v>
      </c>
      <c r="AH56" s="241">
        <f>AVERAGE(P56:AC56)</f>
        <v>10.265555555555556</v>
      </c>
    </row>
    <row r="57" spans="1:358" ht="50.25" hidden="1" customHeight="1" outlineLevel="1">
      <c r="A57" s="47" t="s">
        <v>24</v>
      </c>
      <c r="B57" s="78">
        <f t="shared" ref="B57" si="43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9.34</v>
      </c>
      <c r="Q57" s="50">
        <v>9.0966666666666676</v>
      </c>
      <c r="R57" s="183">
        <v>10</v>
      </c>
      <c r="S57" s="185"/>
      <c r="T57" s="186"/>
      <c r="U57" s="183">
        <v>10.3</v>
      </c>
      <c r="V57" s="183">
        <v>11.1</v>
      </c>
      <c r="W57" s="183">
        <v>10.8</v>
      </c>
      <c r="X57" s="183">
        <v>10</v>
      </c>
      <c r="Y57" s="183">
        <v>10.200000000000001</v>
      </c>
      <c r="Z57" s="183">
        <v>11.299999999999999</v>
      </c>
      <c r="AA57" s="183">
        <v>12.5</v>
      </c>
      <c r="AB57" s="183">
        <v>13.3</v>
      </c>
      <c r="AC57" s="183">
        <v>13.1</v>
      </c>
      <c r="AD57" s="246">
        <f t="shared" si="42"/>
        <v>9.4788888888888891</v>
      </c>
      <c r="AE57" s="246">
        <f t="shared" ref="AE57:AE59" si="44">AVERAGE(U57:W57)</f>
        <v>10.733333333333334</v>
      </c>
      <c r="AF57" s="246">
        <f t="shared" ref="AF57:AF59" si="45">AVERAGE(X57:Z57)</f>
        <v>10.5</v>
      </c>
      <c r="AG57" s="247">
        <f t="shared" ref="AG57:AG59" si="46">AVERAGE(AA57:AC57)</f>
        <v>12.966666666666667</v>
      </c>
      <c r="AH57" s="241">
        <f>AVERAGE(P57:AC57)</f>
        <v>10.919722222222221</v>
      </c>
    </row>
    <row r="58" spans="1:358" ht="50.25" hidden="1" customHeight="1" outlineLevel="1">
      <c r="A58" s="47" t="s">
        <v>25</v>
      </c>
      <c r="B58" s="78">
        <f t="shared" ref="B58" si="47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9.34</v>
      </c>
      <c r="Q58" s="56">
        <v>9.0966666666666676</v>
      </c>
      <c r="R58" s="189">
        <v>11</v>
      </c>
      <c r="S58" s="185" t="s">
        <v>162</v>
      </c>
      <c r="T58" s="186" t="s">
        <v>36</v>
      </c>
      <c r="U58" s="189">
        <v>11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189">
        <v>11.5</v>
      </c>
      <c r="AD58" s="246">
        <f t="shared" si="42"/>
        <v>9.8122222222222231</v>
      </c>
      <c r="AE58" s="246">
        <f t="shared" si="44"/>
        <v>10.666666666666666</v>
      </c>
      <c r="AF58" s="246">
        <f t="shared" si="45"/>
        <v>10.666666666666666</v>
      </c>
      <c r="AG58" s="247">
        <f t="shared" si="46"/>
        <v>11.333333333333334</v>
      </c>
      <c r="AH58" s="241">
        <f>AVERAGE(P58:AC58)</f>
        <v>10.619722222222222</v>
      </c>
    </row>
    <row r="59" spans="1:358" ht="50.25" hidden="1" customHeight="1" outlineLevel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9.34</v>
      </c>
      <c r="Q59" s="50">
        <v>9.0966666666666676</v>
      </c>
      <c r="R59" s="183">
        <v>9.1999999999999993</v>
      </c>
      <c r="S59" s="224" t="s">
        <v>145</v>
      </c>
      <c r="T59" s="186" t="s">
        <v>146</v>
      </c>
      <c r="U59" s="183">
        <v>10.6</v>
      </c>
      <c r="V59" s="183">
        <v>10.5</v>
      </c>
      <c r="W59" s="189">
        <v>10</v>
      </c>
      <c r="X59" s="189">
        <v>11.94</v>
      </c>
      <c r="Y59" s="183">
        <v>10</v>
      </c>
      <c r="Z59" s="183">
        <v>9.1</v>
      </c>
      <c r="AA59" s="183">
        <v>11.6</v>
      </c>
      <c r="AB59" s="183">
        <v>13.87</v>
      </c>
      <c r="AC59" s="183">
        <v>14.12</v>
      </c>
      <c r="AD59" s="246">
        <f>AVERAGE(P59:R59)</f>
        <v>9.2122222222222216</v>
      </c>
      <c r="AE59" s="246">
        <f t="shared" si="44"/>
        <v>10.366666666666667</v>
      </c>
      <c r="AF59" s="246">
        <f t="shared" si="45"/>
        <v>10.346666666666666</v>
      </c>
      <c r="AG59" s="247">
        <f t="shared" si="46"/>
        <v>13.196666666666665</v>
      </c>
      <c r="AH59" s="241">
        <f>AVERAGE(P59:AC59)</f>
        <v>10.780555555555553</v>
      </c>
    </row>
    <row r="60" spans="1:358" s="62" customFormat="1" ht="19" hidden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8">AVERAGE(J56:J59)</f>
        <v>#DIV/0!</v>
      </c>
      <c r="K60" s="157">
        <f t="shared" si="48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9.34</v>
      </c>
      <c r="Q60" s="157">
        <f>AVERAGE(Q56:Q59)</f>
        <v>9.0966666666666676</v>
      </c>
      <c r="R60" s="157">
        <f t="shared" ref="R60" si="49">AVERAGE(R56:R59)</f>
        <v>10.112500000000001</v>
      </c>
      <c r="S60" s="158"/>
      <c r="T60" s="158"/>
      <c r="U60" s="59">
        <f t="shared" ref="U60:AG60" si="50">AVERAGE(U56:U59)</f>
        <v>10.6625</v>
      </c>
      <c r="V60" s="59">
        <f t="shared" si="50"/>
        <v>10.7125</v>
      </c>
      <c r="W60" s="59">
        <f t="shared" si="50"/>
        <v>10.45</v>
      </c>
      <c r="X60" s="59">
        <f t="shared" si="50"/>
        <v>10.484999999999999</v>
      </c>
      <c r="Y60" s="59">
        <f t="shared" si="50"/>
        <v>9.9250000000000007</v>
      </c>
      <c r="Z60" s="59">
        <f t="shared" si="50"/>
        <v>10.225</v>
      </c>
      <c r="AA60" s="59">
        <f t="shared" si="50"/>
        <v>11.4</v>
      </c>
      <c r="AB60" s="59">
        <f t="shared" si="50"/>
        <v>12.542499999999999</v>
      </c>
      <c r="AC60" s="59">
        <f t="shared" si="50"/>
        <v>12.805</v>
      </c>
      <c r="AD60" s="59">
        <f t="shared" si="50"/>
        <v>9.5163888888888906</v>
      </c>
      <c r="AE60" s="59">
        <f t="shared" si="50"/>
        <v>10.608333333333333</v>
      </c>
      <c r="AF60" s="59">
        <f t="shared" si="50"/>
        <v>10.211666666666666</v>
      </c>
      <c r="AG60" s="234">
        <f t="shared" si="50"/>
        <v>12.249166666666667</v>
      </c>
      <c r="AH60" s="242">
        <f>AVERAGE(AH56:AH59)</f>
        <v>10.646388888888888</v>
      </c>
      <c r="AI60" s="61">
        <v>12.8</v>
      </c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9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51">O60</f>
        <v>14.15</v>
      </c>
      <c r="P61" s="164">
        <f>P60</f>
        <v>9.34</v>
      </c>
      <c r="Q61" s="164">
        <f t="shared" ref="Q61" si="52">Q60</f>
        <v>9.0966666666666676</v>
      </c>
      <c r="R61" s="164">
        <v>10.1</v>
      </c>
      <c r="S61" s="164">
        <f t="shared" ref="S61:AA61" si="53">S60</f>
        <v>0</v>
      </c>
      <c r="T61" s="164">
        <f t="shared" si="53"/>
        <v>0</v>
      </c>
      <c r="U61" s="164">
        <v>10.65</v>
      </c>
      <c r="V61" s="164">
        <v>10.7</v>
      </c>
      <c r="W61" s="164">
        <v>10.75</v>
      </c>
      <c r="X61" s="164">
        <v>10.5</v>
      </c>
      <c r="Y61" s="164">
        <v>9.9499999999999993</v>
      </c>
      <c r="Z61" s="164">
        <v>10.25</v>
      </c>
      <c r="AA61" s="164">
        <f t="shared" si="53"/>
        <v>11.4</v>
      </c>
      <c r="AB61" s="164">
        <v>12.55</v>
      </c>
      <c r="AC61" s="164">
        <v>12.8</v>
      </c>
      <c r="AD61" s="164">
        <f>AVERAGE(P61:R61)</f>
        <v>9.5122222222222224</v>
      </c>
      <c r="AE61" s="164">
        <f>AVERAGE(U61:W61)</f>
        <v>10.700000000000001</v>
      </c>
      <c r="AF61" s="164">
        <f>AVERAGE(X61:Z61)</f>
        <v>10.233333333333333</v>
      </c>
      <c r="AG61" s="229">
        <f>AVERAGE(AA61:AC61)</f>
        <v>12.25</v>
      </c>
      <c r="AH61" s="243">
        <f>AVERAGE(P61:R61,U61:AC61)</f>
        <v>10.673888888888889</v>
      </c>
    </row>
    <row r="62" spans="1:358" ht="21.5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67"/>
      <c r="T62" s="67"/>
      <c r="U62" s="24"/>
      <c r="V62" s="24"/>
      <c r="W62" s="24"/>
      <c r="X62" s="24"/>
      <c r="Y62" s="23"/>
      <c r="Z62" s="23"/>
      <c r="AA62" s="23"/>
      <c r="AB62" s="23"/>
      <c r="AC62" s="23"/>
      <c r="AD62" s="23"/>
      <c r="AE62" s="23"/>
      <c r="AF62" s="23"/>
      <c r="AG62" s="24"/>
      <c r="AH62" s="238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673" t="s">
        <v>3</v>
      </c>
      <c r="F63" s="673" t="s">
        <v>4</v>
      </c>
      <c r="G63" s="673" t="s">
        <v>5</v>
      </c>
      <c r="H63" s="673" t="s">
        <v>6</v>
      </c>
      <c r="I63" s="673" t="s">
        <v>7</v>
      </c>
      <c r="J63" s="28" t="s">
        <v>2</v>
      </c>
      <c r="K63" s="673" t="s">
        <v>8</v>
      </c>
      <c r="L63" s="261" t="s">
        <v>9</v>
      </c>
      <c r="M63" s="261" t="s">
        <v>9</v>
      </c>
      <c r="N63" s="673" t="s">
        <v>12</v>
      </c>
      <c r="O63" s="673" t="s">
        <v>13</v>
      </c>
      <c r="P63" s="673" t="s">
        <v>14</v>
      </c>
      <c r="Q63" s="673" t="s">
        <v>15</v>
      </c>
      <c r="R63" s="673" t="s">
        <v>16</v>
      </c>
      <c r="S63" s="29" t="s">
        <v>10</v>
      </c>
      <c r="T63" s="30" t="s">
        <v>11</v>
      </c>
      <c r="U63" s="673" t="s">
        <v>64</v>
      </c>
      <c r="V63" s="673" t="s">
        <v>65</v>
      </c>
      <c r="W63" s="673" t="s">
        <v>66</v>
      </c>
      <c r="X63" s="673" t="s">
        <v>67</v>
      </c>
      <c r="Y63" s="673" t="s">
        <v>68</v>
      </c>
      <c r="Z63" s="673" t="s">
        <v>69</v>
      </c>
      <c r="AA63" s="673" t="s">
        <v>70</v>
      </c>
      <c r="AB63" s="673" t="s">
        <v>77</v>
      </c>
      <c r="AC63" s="673" t="s">
        <v>78</v>
      </c>
      <c r="AD63" s="688" t="s">
        <v>79</v>
      </c>
      <c r="AE63" s="688" t="s">
        <v>80</v>
      </c>
      <c r="AF63" s="688" t="s">
        <v>81</v>
      </c>
      <c r="AG63" s="690" t="s">
        <v>82</v>
      </c>
      <c r="AH63" s="692">
        <v>2016</v>
      </c>
    </row>
    <row r="64" spans="1:358" ht="18.75" hidden="1" customHeight="1" outlineLevel="1">
      <c r="A64" s="31"/>
      <c r="B64" s="68"/>
      <c r="C64" s="68"/>
      <c r="D64" s="27"/>
      <c r="E64" s="674"/>
      <c r="F64" s="674"/>
      <c r="G64" s="674"/>
      <c r="H64" s="674"/>
      <c r="I64" s="674"/>
      <c r="J64" s="69" t="str">
        <f>$J$6</f>
        <v>(8-12 Jun)</v>
      </c>
      <c r="K64" s="674"/>
      <c r="L64" s="33" t="s">
        <v>20</v>
      </c>
      <c r="M64" s="33" t="s">
        <v>63</v>
      </c>
      <c r="N64" s="674"/>
      <c r="O64" s="674"/>
      <c r="P64" s="674"/>
      <c r="Q64" s="674"/>
      <c r="R64" s="674"/>
      <c r="S64" s="187">
        <f>S6</f>
        <v>42430</v>
      </c>
      <c r="T64" s="188">
        <f>T6</f>
        <v>42461</v>
      </c>
      <c r="U64" s="674"/>
      <c r="V64" s="674"/>
      <c r="W64" s="674"/>
      <c r="X64" s="674"/>
      <c r="Y64" s="674"/>
      <c r="Z64" s="674"/>
      <c r="AA64" s="674"/>
      <c r="AB64" s="674"/>
      <c r="AC64" s="674"/>
      <c r="AD64" s="689"/>
      <c r="AE64" s="689"/>
      <c r="AF64" s="689"/>
      <c r="AG64" s="691"/>
      <c r="AH64" s="686"/>
    </row>
    <row r="65" spans="1:358" ht="21.5" hidden="1" outlineLevel="1" thickBot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73"/>
      <c r="T65" s="73"/>
      <c r="U65" s="39"/>
      <c r="V65" s="39"/>
      <c r="W65" s="39"/>
      <c r="X65" s="39"/>
      <c r="Y65" s="38"/>
      <c r="Z65" s="38"/>
      <c r="AA65" s="38"/>
      <c r="AB65" s="38"/>
      <c r="AC65" s="38"/>
      <c r="AD65" s="248"/>
      <c r="AE65" s="248"/>
      <c r="AF65" s="248"/>
      <c r="AG65" s="249"/>
      <c r="AH65" s="239"/>
    </row>
    <row r="66" spans="1:358" s="77" customFormat="1" ht="19" hidden="1" outlineLevel="1" thickBot="1">
      <c r="A66" s="675"/>
      <c r="B66" s="676"/>
      <c r="C66" s="676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218"/>
      <c r="T66" s="219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235"/>
      <c r="AH66" s="240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-3.13</v>
      </c>
      <c r="Q67" s="50">
        <v>-5.0285870516185458</v>
      </c>
      <c r="R67" s="183">
        <v>-6</v>
      </c>
      <c r="S67" s="185" t="s">
        <v>154</v>
      </c>
      <c r="T67" s="186" t="s">
        <v>155</v>
      </c>
      <c r="U67" s="183">
        <v>-6</v>
      </c>
      <c r="V67" s="189">
        <v>-5.8</v>
      </c>
      <c r="W67" s="189">
        <v>-5.75</v>
      </c>
      <c r="X67" s="189">
        <v>-6.5</v>
      </c>
      <c r="Y67" s="189">
        <v>-7</v>
      </c>
      <c r="Z67" s="189">
        <v>-6.8</v>
      </c>
      <c r="AA67" s="189">
        <v>-6.7</v>
      </c>
      <c r="AB67" s="189">
        <v>-6.6</v>
      </c>
      <c r="AC67" s="189">
        <v>-6.5</v>
      </c>
      <c r="AD67" s="246">
        <f t="shared" ref="AD67:AD69" si="54">AVERAGE(P67:R67)</f>
        <v>-4.7195290172061819</v>
      </c>
      <c r="AE67" s="246">
        <f>AVERAGE(U67:W67)</f>
        <v>-5.8500000000000005</v>
      </c>
      <c r="AF67" s="246">
        <f>AVERAGE(X67:Z67)</f>
        <v>-6.7666666666666666</v>
      </c>
      <c r="AG67" s="247">
        <f>AVERAGE(AA67:AC67)</f>
        <v>-6.6000000000000005</v>
      </c>
      <c r="AH67" s="241">
        <f>AVERAGE(P67:AC67)</f>
        <v>-5.9840489209682124</v>
      </c>
    </row>
    <row r="68" spans="1:358" ht="54.75" hidden="1" customHeight="1" outlineLevel="1">
      <c r="A68" s="47" t="s">
        <v>24</v>
      </c>
      <c r="B68" s="78">
        <f t="shared" ref="B68" si="55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-3.13</v>
      </c>
      <c r="Q68" s="56">
        <v>-5.0285870516185458</v>
      </c>
      <c r="R68" s="189">
        <v>-5.7</v>
      </c>
      <c r="S68" s="185"/>
      <c r="T68" s="186"/>
      <c r="U68" s="189">
        <v>-6</v>
      </c>
      <c r="V68" s="189">
        <v>-6</v>
      </c>
      <c r="W68" s="189">
        <v>-6.5</v>
      </c>
      <c r="X68" s="189">
        <v>-7</v>
      </c>
      <c r="Y68" s="189">
        <v>-7.2</v>
      </c>
      <c r="Z68" s="189">
        <v>-7.1</v>
      </c>
      <c r="AA68" s="189">
        <v>-7.1</v>
      </c>
      <c r="AB68" s="189">
        <v>-6.9</v>
      </c>
      <c r="AC68" s="189">
        <v>-6.7</v>
      </c>
      <c r="AD68" s="246">
        <f t="shared" si="54"/>
        <v>-4.6195290172061823</v>
      </c>
      <c r="AE68" s="246">
        <f t="shared" ref="AE68:AE70" si="56">AVERAGE(U68:W68)</f>
        <v>-6.166666666666667</v>
      </c>
      <c r="AF68" s="246">
        <f t="shared" ref="AF68:AF70" si="57">AVERAGE(X68:Z68)</f>
        <v>-7.0999999999999988</v>
      </c>
      <c r="AG68" s="247">
        <f t="shared" ref="AG68:AG70" si="58">AVERAGE(AA68:AC68)</f>
        <v>-6.8999999999999995</v>
      </c>
      <c r="AH68" s="241">
        <f>AVERAGE(P68:AC68)</f>
        <v>-6.1965489209682127</v>
      </c>
    </row>
    <row r="69" spans="1:358" ht="54.75" hidden="1" customHeight="1" outlineLevel="1">
      <c r="A69" s="47" t="s">
        <v>25</v>
      </c>
      <c r="B69" s="78">
        <f t="shared" ref="B69" si="59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-3.13</v>
      </c>
      <c r="Q69" s="50">
        <v>-5.0285870516185458</v>
      </c>
      <c r="R69" s="183">
        <v>-6</v>
      </c>
      <c r="S69" s="185" t="s">
        <v>43</v>
      </c>
      <c r="T69" s="186" t="s">
        <v>43</v>
      </c>
      <c r="U69" s="183">
        <v>-6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189">
        <v>-6.5</v>
      </c>
      <c r="AD69" s="246">
        <f t="shared" si="54"/>
        <v>-4.7195290172061819</v>
      </c>
      <c r="AE69" s="246">
        <f t="shared" si="56"/>
        <v>-6.333333333333333</v>
      </c>
      <c r="AF69" s="246">
        <f t="shared" si="57"/>
        <v>-6.166666666666667</v>
      </c>
      <c r="AG69" s="247">
        <f t="shared" si="58"/>
        <v>-6.333333333333333</v>
      </c>
      <c r="AH69" s="241">
        <f>AVERAGE(P69:AC69)</f>
        <v>-5.8882155876348792</v>
      </c>
    </row>
    <row r="70" spans="1:358" ht="54.75" hidden="1" customHeight="1" outlineLevel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-3.13</v>
      </c>
      <c r="Q70" s="56">
        <v>-5.0285870516185458</v>
      </c>
      <c r="R70" s="189">
        <v>-6.2</v>
      </c>
      <c r="S70" s="185" t="s">
        <v>147</v>
      </c>
      <c r="T70" s="186" t="s">
        <v>148</v>
      </c>
      <c r="U70" s="189">
        <v>-7.3</v>
      </c>
      <c r="V70" s="189">
        <v>-7.5</v>
      </c>
      <c r="W70" s="189">
        <v>-7.6</v>
      </c>
      <c r="X70" s="189">
        <v>-7.6</v>
      </c>
      <c r="Y70" s="189">
        <v>-7.6</v>
      </c>
      <c r="Z70" s="189">
        <v>-7.6</v>
      </c>
      <c r="AA70" s="189">
        <v>-7.6</v>
      </c>
      <c r="AB70" s="189">
        <v>-7.6</v>
      </c>
      <c r="AC70" s="189">
        <v>-7.6</v>
      </c>
      <c r="AD70" s="246">
        <f>AVERAGE(P70:R70)</f>
        <v>-4.7861956838728483</v>
      </c>
      <c r="AE70" s="246">
        <f t="shared" si="56"/>
        <v>-7.4666666666666659</v>
      </c>
      <c r="AF70" s="246">
        <f t="shared" si="57"/>
        <v>-7.5999999999999988</v>
      </c>
      <c r="AG70" s="247">
        <f t="shared" si="58"/>
        <v>-7.5999999999999988</v>
      </c>
      <c r="AH70" s="241">
        <f>AVERAGE(P70:AC70)</f>
        <v>-6.8632155876348788</v>
      </c>
    </row>
    <row r="71" spans="1:358" s="62" customFormat="1" ht="19" hidden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R71" si="60">AVERAGE(K67:K70)</f>
        <v>-8.1550000000000011</v>
      </c>
      <c r="L71" s="59">
        <f t="shared" si="60"/>
        <v>-8.1550000000000011</v>
      </c>
      <c r="M71" s="59">
        <f t="shared" si="60"/>
        <v>-8.33</v>
      </c>
      <c r="N71" s="59">
        <f t="shared" si="60"/>
        <v>-6.9175000000000004</v>
      </c>
      <c r="O71" s="59">
        <f t="shared" si="60"/>
        <v>-6.7333333333333334</v>
      </c>
      <c r="P71" s="59">
        <f>AVERAGE(P67:P70)</f>
        <v>-3.13</v>
      </c>
      <c r="Q71" s="59">
        <f t="shared" si="60"/>
        <v>-5.0285870516185458</v>
      </c>
      <c r="R71" s="59">
        <f t="shared" si="60"/>
        <v>-5.9749999999999996</v>
      </c>
      <c r="S71" s="60"/>
      <c r="T71" s="60"/>
      <c r="U71" s="59">
        <f t="shared" ref="U71:AG71" si="61">AVERAGE(U67:U70)</f>
        <v>-6.3250000000000002</v>
      </c>
      <c r="V71" s="59">
        <f t="shared" si="61"/>
        <v>-6.45</v>
      </c>
      <c r="W71" s="59">
        <f t="shared" si="61"/>
        <v>-6.5875000000000004</v>
      </c>
      <c r="X71" s="59">
        <f t="shared" si="61"/>
        <v>-6.9</v>
      </c>
      <c r="Y71" s="59">
        <f t="shared" si="61"/>
        <v>-6.9499999999999993</v>
      </c>
      <c r="Z71" s="59">
        <f t="shared" si="61"/>
        <v>-6.875</v>
      </c>
      <c r="AA71" s="59">
        <f t="shared" si="61"/>
        <v>-6.85</v>
      </c>
      <c r="AB71" s="59">
        <f t="shared" si="61"/>
        <v>-6.9</v>
      </c>
      <c r="AC71" s="59">
        <f t="shared" si="61"/>
        <v>-6.8249999999999993</v>
      </c>
      <c r="AD71" s="59">
        <f t="shared" si="61"/>
        <v>-4.7111956838728482</v>
      </c>
      <c r="AE71" s="59">
        <f t="shared" si="61"/>
        <v>-6.4541666666666666</v>
      </c>
      <c r="AF71" s="59">
        <f t="shared" si="61"/>
        <v>-6.9083333333333323</v>
      </c>
      <c r="AG71" s="234">
        <f t="shared" si="61"/>
        <v>-6.8583333333333325</v>
      </c>
      <c r="AH71" s="242">
        <f>AVERAGE(AH67:AH70)</f>
        <v>-6.2330072543015458</v>
      </c>
      <c r="AI71" s="61">
        <v>-6.5</v>
      </c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9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f>P71</f>
        <v>-3.13</v>
      </c>
      <c r="Q72" s="164">
        <f t="shared" ref="Q72" si="62">Q71</f>
        <v>-5.0285870516185458</v>
      </c>
      <c r="R72" s="164">
        <v>-6</v>
      </c>
      <c r="S72" s="164"/>
      <c r="T72" s="164"/>
      <c r="U72" s="164">
        <v>-6.3</v>
      </c>
      <c r="V72" s="164">
        <v>-6.5</v>
      </c>
      <c r="W72" s="164">
        <v>-6.6</v>
      </c>
      <c r="X72" s="164">
        <f>X71</f>
        <v>-6.9</v>
      </c>
      <c r="Y72" s="164">
        <v>-7</v>
      </c>
      <c r="Z72" s="164">
        <v>-6.9</v>
      </c>
      <c r="AA72" s="164">
        <v>-6.85</v>
      </c>
      <c r="AB72" s="164">
        <f>AB71</f>
        <v>-6.9</v>
      </c>
      <c r="AC72" s="164">
        <v>-6.8</v>
      </c>
      <c r="AD72" s="164">
        <f>AVERAGE(P72:R72)</f>
        <v>-4.7195290172061819</v>
      </c>
      <c r="AE72" s="164">
        <f>AVERAGE(U72:W72)</f>
        <v>-6.4666666666666659</v>
      </c>
      <c r="AF72" s="164">
        <f>AVERAGE(X72:Z72)</f>
        <v>-6.9333333333333336</v>
      </c>
      <c r="AG72" s="229">
        <f>AVERAGE(AA72:AC72)</f>
        <v>-6.8500000000000005</v>
      </c>
      <c r="AH72" s="243">
        <f>AVERAGE(P72:R72,U72:AC72)</f>
        <v>-6.2423822543015453</v>
      </c>
    </row>
    <row r="73" spans="1:358" ht="21.5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67"/>
      <c r="T73" s="67"/>
      <c r="U73" s="24"/>
      <c r="V73" s="24"/>
      <c r="W73" s="24"/>
      <c r="X73" s="24"/>
      <c r="Y73" s="23"/>
      <c r="Z73" s="23"/>
      <c r="AA73" s="23"/>
      <c r="AB73" s="23"/>
      <c r="AC73" s="23"/>
      <c r="AD73" s="23"/>
      <c r="AE73" s="23"/>
      <c r="AF73" s="23"/>
      <c r="AG73" s="24"/>
      <c r="AH73" s="238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673" t="s">
        <v>3</v>
      </c>
      <c r="F74" s="673" t="s">
        <v>4</v>
      </c>
      <c r="G74" s="673" t="s">
        <v>5</v>
      </c>
      <c r="H74" s="673" t="s">
        <v>6</v>
      </c>
      <c r="I74" s="673" t="s">
        <v>7</v>
      </c>
      <c r="J74" s="28" t="s">
        <v>2</v>
      </c>
      <c r="K74" s="673" t="s">
        <v>8</v>
      </c>
      <c r="L74" s="261" t="s">
        <v>9</v>
      </c>
      <c r="M74" s="261" t="s">
        <v>9</v>
      </c>
      <c r="N74" s="673" t="s">
        <v>12</v>
      </c>
      <c r="O74" s="673" t="s">
        <v>13</v>
      </c>
      <c r="P74" s="673" t="s">
        <v>14</v>
      </c>
      <c r="Q74" s="673" t="s">
        <v>15</v>
      </c>
      <c r="R74" s="673" t="s">
        <v>16</v>
      </c>
      <c r="S74" s="29" t="s">
        <v>10</v>
      </c>
      <c r="T74" s="30" t="s">
        <v>11</v>
      </c>
      <c r="U74" s="673" t="s">
        <v>64</v>
      </c>
      <c r="V74" s="673" t="s">
        <v>65</v>
      </c>
      <c r="W74" s="673" t="s">
        <v>66</v>
      </c>
      <c r="X74" s="673" t="s">
        <v>67</v>
      </c>
      <c r="Y74" s="673" t="s">
        <v>68</v>
      </c>
      <c r="Z74" s="673" t="s">
        <v>69</v>
      </c>
      <c r="AA74" s="673" t="s">
        <v>70</v>
      </c>
      <c r="AB74" s="673" t="s">
        <v>77</v>
      </c>
      <c r="AC74" s="673" t="s">
        <v>78</v>
      </c>
      <c r="AD74" s="688" t="s">
        <v>79</v>
      </c>
      <c r="AE74" s="688" t="s">
        <v>80</v>
      </c>
      <c r="AF74" s="688" t="s">
        <v>81</v>
      </c>
      <c r="AG74" s="690" t="s">
        <v>82</v>
      </c>
      <c r="AH74" s="692">
        <v>2016</v>
      </c>
    </row>
    <row r="75" spans="1:358" ht="21.75" hidden="1" customHeight="1" outlineLevel="1">
      <c r="A75" s="31"/>
      <c r="B75" s="68"/>
      <c r="C75" s="68"/>
      <c r="D75" s="116"/>
      <c r="E75" s="674"/>
      <c r="F75" s="674"/>
      <c r="G75" s="674"/>
      <c r="H75" s="674"/>
      <c r="I75" s="674"/>
      <c r="J75" s="69" t="str">
        <f>$J$6</f>
        <v>(8-12 Jun)</v>
      </c>
      <c r="K75" s="674"/>
      <c r="L75" s="33" t="s">
        <v>20</v>
      </c>
      <c r="M75" s="33" t="s">
        <v>63</v>
      </c>
      <c r="N75" s="674"/>
      <c r="O75" s="674"/>
      <c r="P75" s="674"/>
      <c r="Q75" s="674"/>
      <c r="R75" s="674"/>
      <c r="S75" s="187">
        <f>S6</f>
        <v>42430</v>
      </c>
      <c r="T75" s="188">
        <f>T6</f>
        <v>42461</v>
      </c>
      <c r="U75" s="674"/>
      <c r="V75" s="674"/>
      <c r="W75" s="674"/>
      <c r="X75" s="674"/>
      <c r="Y75" s="674"/>
      <c r="Z75" s="674"/>
      <c r="AA75" s="674"/>
      <c r="AB75" s="674"/>
      <c r="AC75" s="674"/>
      <c r="AD75" s="689"/>
      <c r="AE75" s="689"/>
      <c r="AF75" s="689"/>
      <c r="AG75" s="691"/>
      <c r="AH75" s="686"/>
    </row>
    <row r="76" spans="1:358" ht="21.5" hidden="1" outlineLevel="1" thickBot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122"/>
      <c r="T76" s="122"/>
      <c r="U76" s="39"/>
      <c r="V76" s="39"/>
      <c r="W76" s="39"/>
      <c r="X76" s="39"/>
      <c r="Y76" s="38"/>
      <c r="Z76" s="38"/>
      <c r="AA76" s="38"/>
      <c r="AB76" s="38"/>
      <c r="AC76" s="38"/>
      <c r="AD76" s="248"/>
      <c r="AE76" s="248"/>
      <c r="AF76" s="248"/>
      <c r="AG76" s="249"/>
      <c r="AH76" s="239"/>
    </row>
    <row r="77" spans="1:358" s="77" customFormat="1" ht="21" hidden="1" customHeight="1" outlineLevel="1">
      <c r="A77" s="675"/>
      <c r="B77" s="676"/>
      <c r="C77" s="676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216"/>
      <c r="T77" s="217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235"/>
      <c r="AH77" s="240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56">
        <v>3.1744444444444437</v>
      </c>
      <c r="R78" s="189">
        <v>3.25</v>
      </c>
      <c r="S78" s="255"/>
      <c r="T78" s="255"/>
      <c r="U78" s="189">
        <v>3.25</v>
      </c>
      <c r="V78" s="189">
        <v>3.25</v>
      </c>
      <c r="W78" s="189">
        <v>3.25</v>
      </c>
      <c r="X78" s="189">
        <v>3.25</v>
      </c>
      <c r="Y78" s="189">
        <v>3.5</v>
      </c>
      <c r="Z78" s="189">
        <v>3.5</v>
      </c>
      <c r="AA78" s="189">
        <v>3.25</v>
      </c>
      <c r="AB78" s="189">
        <v>3.25</v>
      </c>
      <c r="AC78" s="189">
        <v>3.25</v>
      </c>
      <c r="AD78" s="246">
        <f t="shared" ref="AD78:AD80" si="63">AVERAGE(P78:R78)</f>
        <v>3.3081481481481476</v>
      </c>
      <c r="AE78" s="246">
        <f>AVERAGE(U78:W78)</f>
        <v>3.25</v>
      </c>
      <c r="AF78" s="246">
        <f>AVERAGE(X78:Z78)</f>
        <v>3.4166666666666665</v>
      </c>
      <c r="AG78" s="247">
        <f>AVERAGE(AA78:AC78)</f>
        <v>3.25</v>
      </c>
      <c r="AH78" s="241">
        <f>AVERAGE(P78:AC78)</f>
        <v>3.3062037037037038</v>
      </c>
    </row>
    <row r="79" spans="1:358" ht="42.75" hidden="1" customHeight="1" outlineLevel="1">
      <c r="A79" s="47" t="s">
        <v>24</v>
      </c>
      <c r="B79" s="78">
        <f t="shared" ref="B79" si="64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56">
        <v>3.1744444444444437</v>
      </c>
      <c r="R79" s="189">
        <v>3.2</v>
      </c>
      <c r="S79" s="255"/>
      <c r="T79" s="255"/>
      <c r="U79" s="189">
        <v>3</v>
      </c>
      <c r="V79" s="189">
        <v>3.3</v>
      </c>
      <c r="W79" s="189">
        <v>3.3</v>
      </c>
      <c r="X79" s="189">
        <v>2.5</v>
      </c>
      <c r="Y79" s="189">
        <v>2</v>
      </c>
      <c r="Z79" s="189">
        <v>2</v>
      </c>
      <c r="AA79" s="189">
        <v>2.2000000000000002</v>
      </c>
      <c r="AB79" s="189">
        <v>2.2999999999999998</v>
      </c>
      <c r="AC79" s="189">
        <v>2.2999999999999998</v>
      </c>
      <c r="AD79" s="246">
        <f t="shared" si="63"/>
        <v>3.291481481481481</v>
      </c>
      <c r="AE79" s="246">
        <f t="shared" ref="AE79:AE81" si="65">AVERAGE(U79:W79)</f>
        <v>3.1999999999999997</v>
      </c>
      <c r="AF79" s="246">
        <f t="shared" ref="AF79:AF81" si="66">AVERAGE(X79:Z79)</f>
        <v>2.1666666666666665</v>
      </c>
      <c r="AG79" s="247">
        <f t="shared" ref="AG79:AG81" si="67">AVERAGE(AA79:AC79)</f>
        <v>2.2666666666666666</v>
      </c>
      <c r="AH79" s="241">
        <f>AVERAGE(P79:AC79)</f>
        <v>2.7312037037037036</v>
      </c>
    </row>
    <row r="80" spans="1:358" ht="42.75" hidden="1" customHeight="1" outlineLevel="1">
      <c r="A80" s="47" t="s">
        <v>25</v>
      </c>
      <c r="B80" s="78">
        <f t="shared" ref="B80" si="68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56">
        <v>3.1744444444444437</v>
      </c>
      <c r="R80" s="189">
        <v>3.5</v>
      </c>
      <c r="S80" s="185" t="s">
        <v>124</v>
      </c>
      <c r="T80" s="186" t="s">
        <v>124</v>
      </c>
      <c r="U80" s="189">
        <v>3.5</v>
      </c>
      <c r="V80" s="189">
        <v>3.5</v>
      </c>
      <c r="W80" s="189">
        <v>3.5</v>
      </c>
      <c r="X80" s="189">
        <v>3.5</v>
      </c>
      <c r="Y80" s="189">
        <v>3.5</v>
      </c>
      <c r="Z80" s="189">
        <v>3.5</v>
      </c>
      <c r="AA80" s="189">
        <v>3.5</v>
      </c>
      <c r="AB80" s="189">
        <v>3.5</v>
      </c>
      <c r="AC80" s="189">
        <v>3.5</v>
      </c>
      <c r="AD80" s="246">
        <f t="shared" si="63"/>
        <v>3.3914814814814811</v>
      </c>
      <c r="AE80" s="246">
        <f t="shared" si="65"/>
        <v>3.5</v>
      </c>
      <c r="AF80" s="246">
        <f t="shared" si="66"/>
        <v>3.5</v>
      </c>
      <c r="AG80" s="247">
        <f t="shared" si="67"/>
        <v>3.5</v>
      </c>
      <c r="AH80" s="241">
        <f>AVERAGE(P80:AC80)</f>
        <v>3.4728703703703707</v>
      </c>
    </row>
    <row r="81" spans="1:358" ht="42.75" hidden="1" customHeight="1" outlineLevel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56">
        <v>3.1744444444444437</v>
      </c>
      <c r="R81" s="189">
        <v>2.92</v>
      </c>
      <c r="S81" s="256"/>
      <c r="T81" s="256"/>
      <c r="U81" s="189">
        <v>2.8</v>
      </c>
      <c r="V81" s="189">
        <v>3.1</v>
      </c>
      <c r="W81" s="189">
        <v>3.1</v>
      </c>
      <c r="X81" s="189">
        <v>3.1</v>
      </c>
      <c r="Y81" s="189">
        <v>2.7</v>
      </c>
      <c r="Z81" s="189">
        <v>2.7</v>
      </c>
      <c r="AA81" s="189">
        <v>2.7</v>
      </c>
      <c r="AB81" s="189">
        <v>2.7</v>
      </c>
      <c r="AC81" s="189">
        <v>2.7</v>
      </c>
      <c r="AD81" s="246">
        <f>AVERAGE(P81:R81)</f>
        <v>3.1981481481481477</v>
      </c>
      <c r="AE81" s="246">
        <f t="shared" si="65"/>
        <v>3</v>
      </c>
      <c r="AF81" s="246">
        <f t="shared" si="66"/>
        <v>2.8333333333333335</v>
      </c>
      <c r="AG81" s="247">
        <f t="shared" si="67"/>
        <v>2.7000000000000006</v>
      </c>
      <c r="AH81" s="241">
        <f>AVERAGE(P81:AC81)</f>
        <v>2.9328703703703702</v>
      </c>
    </row>
    <row r="82" spans="1:358" s="62" customFormat="1" ht="19.5" hidden="1" customHeight="1" outlineLevel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69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f>AVERAGE(P78:P81)</f>
        <v>3.5</v>
      </c>
      <c r="Q82" s="59">
        <f>AVERAGE(Q78:Q81)</f>
        <v>3.1744444444444437</v>
      </c>
      <c r="R82" s="59">
        <f>AVERAGE(R78:R81)</f>
        <v>3.2174999999999998</v>
      </c>
      <c r="S82" s="60"/>
      <c r="T82" s="60"/>
      <c r="U82" s="59">
        <f t="shared" ref="U82:AD82" si="70">AVERAGE(U78:U81)</f>
        <v>3.1375000000000002</v>
      </c>
      <c r="V82" s="59">
        <f t="shared" si="70"/>
        <v>3.2875000000000001</v>
      </c>
      <c r="W82" s="59">
        <f t="shared" si="70"/>
        <v>3.2875000000000001</v>
      </c>
      <c r="X82" s="59">
        <f t="shared" si="70"/>
        <v>3.0874999999999999</v>
      </c>
      <c r="Y82" s="59">
        <f t="shared" si="70"/>
        <v>2.9249999999999998</v>
      </c>
      <c r="Z82" s="59">
        <f t="shared" si="70"/>
        <v>2.9249999999999998</v>
      </c>
      <c r="AA82" s="59">
        <f t="shared" si="70"/>
        <v>2.9124999999999996</v>
      </c>
      <c r="AB82" s="59">
        <f t="shared" si="70"/>
        <v>2.9375</v>
      </c>
      <c r="AC82" s="59">
        <f t="shared" si="70"/>
        <v>2.9375</v>
      </c>
      <c r="AD82" s="59">
        <f t="shared" si="70"/>
        <v>3.2973148148148144</v>
      </c>
      <c r="AE82" s="59">
        <f>AVERAGE(AE78:AE81)</f>
        <v>3.2374999999999998</v>
      </c>
      <c r="AF82" s="59">
        <f t="shared" ref="AF82:AG82" si="71">AVERAGE(AF78:AF81)</f>
        <v>2.9791666666666665</v>
      </c>
      <c r="AG82" s="234">
        <f t="shared" si="71"/>
        <v>2.9291666666666667</v>
      </c>
      <c r="AH82" s="242">
        <f>AVERAGE(AH78:AH81)</f>
        <v>3.1107870370370372</v>
      </c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f>P82</f>
        <v>3.5</v>
      </c>
      <c r="Q83" s="164">
        <f t="shared" ref="Q83" si="72">Q82</f>
        <v>3.1744444444444437</v>
      </c>
      <c r="R83" s="164">
        <v>3.2</v>
      </c>
      <c r="S83" s="164"/>
      <c r="T83" s="164"/>
      <c r="U83" s="164">
        <v>3.1</v>
      </c>
      <c r="V83" s="164">
        <v>3.3</v>
      </c>
      <c r="W83" s="164">
        <v>3.3</v>
      </c>
      <c r="X83" s="164">
        <v>3.1</v>
      </c>
      <c r="Y83" s="164">
        <v>3</v>
      </c>
      <c r="Z83" s="164">
        <v>3</v>
      </c>
      <c r="AA83" s="164">
        <v>3</v>
      </c>
      <c r="AB83" s="164">
        <v>3</v>
      </c>
      <c r="AC83" s="164">
        <v>3</v>
      </c>
      <c r="AD83" s="164">
        <f>AVERAGE(P83:R83)</f>
        <v>3.291481481481481</v>
      </c>
      <c r="AE83" s="164">
        <f>AVERAGE(U83:W83)</f>
        <v>3.2333333333333329</v>
      </c>
      <c r="AF83" s="164">
        <f>AVERAGE(X83:Z83)</f>
        <v>3.0333333333333332</v>
      </c>
      <c r="AG83" s="229">
        <f>AVERAGE(AA83:AC83)</f>
        <v>3</v>
      </c>
      <c r="AH83" s="243">
        <f>AVERAGE(P83:R83,U83:AC83)</f>
        <v>3.1395370370370372</v>
      </c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>
      <c r="A84" s="252"/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6"/>
      <c r="S84" s="125"/>
      <c r="T84" s="125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21" customHeight="1">
      <c r="A85" s="252"/>
      <c r="F85" s="127" t="s">
        <v>4</v>
      </c>
      <c r="G85" s="127" t="s">
        <v>5</v>
      </c>
      <c r="H85" s="127" t="s">
        <v>6</v>
      </c>
      <c r="I85" s="127" t="s">
        <v>7</v>
      </c>
      <c r="J85" s="28" t="s">
        <v>2</v>
      </c>
      <c r="K85" s="127" t="s">
        <v>71</v>
      </c>
      <c r="L85" s="127" t="s">
        <v>72</v>
      </c>
      <c r="M85" s="127" t="s">
        <v>73</v>
      </c>
      <c r="N85" s="127" t="s">
        <v>12</v>
      </c>
      <c r="O85" s="127" t="s">
        <v>13</v>
      </c>
      <c r="P85" s="140" t="s">
        <v>14</v>
      </c>
      <c r="Q85" s="140" t="s">
        <v>15</v>
      </c>
      <c r="R85" s="140" t="s">
        <v>16</v>
      </c>
      <c r="S85" s="141"/>
      <c r="T85" s="141"/>
      <c r="U85" s="140" t="s">
        <v>64</v>
      </c>
      <c r="V85" s="140" t="s">
        <v>65</v>
      </c>
      <c r="W85" s="140" t="s">
        <v>66</v>
      </c>
      <c r="X85" s="140" t="s">
        <v>67</v>
      </c>
      <c r="Y85" s="140" t="s">
        <v>68</v>
      </c>
      <c r="Z85" s="140" t="s">
        <v>69</v>
      </c>
      <c r="AA85" s="140" t="s">
        <v>70</v>
      </c>
      <c r="AB85" s="140" t="s">
        <v>77</v>
      </c>
      <c r="AC85" s="140" t="s">
        <v>78</v>
      </c>
      <c r="AD85" s="140" t="s">
        <v>79</v>
      </c>
      <c r="AE85" s="140" t="s">
        <v>80</v>
      </c>
      <c r="AF85" s="140" t="s">
        <v>81</v>
      </c>
      <c r="AG85" s="140" t="s">
        <v>82</v>
      </c>
      <c r="AH85" s="140">
        <v>2016</v>
      </c>
    </row>
    <row r="86" spans="1:358" ht="17.25" customHeight="1">
      <c r="A86" s="129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26.81</v>
      </c>
      <c r="Q86" s="36">
        <f t="shared" ref="Q86:AB86" si="73">Q15</f>
        <v>29.269444444444446</v>
      </c>
      <c r="R86" s="36">
        <f t="shared" si="73"/>
        <v>30.8</v>
      </c>
      <c r="S86" s="36"/>
      <c r="T86" s="36"/>
      <c r="U86" s="36">
        <f t="shared" si="73"/>
        <v>31</v>
      </c>
      <c r="V86" s="36">
        <f t="shared" si="73"/>
        <v>31.8</v>
      </c>
      <c r="W86" s="36">
        <f t="shared" si="73"/>
        <v>32</v>
      </c>
      <c r="X86" s="36">
        <f t="shared" si="73"/>
        <v>34</v>
      </c>
      <c r="Y86" s="36">
        <f t="shared" si="73"/>
        <v>36</v>
      </c>
      <c r="Z86" s="36">
        <f t="shared" si="73"/>
        <v>36.625</v>
      </c>
      <c r="AA86" s="36">
        <f t="shared" si="73"/>
        <v>38.75</v>
      </c>
      <c r="AB86" s="36">
        <f t="shared" si="73"/>
        <v>39.450000000000003</v>
      </c>
      <c r="AC86" s="36">
        <f>AC15</f>
        <v>41</v>
      </c>
      <c r="AD86" s="258">
        <f>AD15</f>
        <v>28.959814814814816</v>
      </c>
      <c r="AE86" s="258">
        <f t="shared" ref="AE86:AF86" si="74">AE15</f>
        <v>31.599999999999998</v>
      </c>
      <c r="AF86" s="258">
        <f t="shared" si="74"/>
        <v>35.541666666666664</v>
      </c>
      <c r="AG86" s="258">
        <f>AG15</f>
        <v>39.733333333333334</v>
      </c>
      <c r="AH86" s="173">
        <f t="shared" ref="AH86:AH92" si="75">AVERAGE(P86:AC86)</f>
        <v>33.958703703703705</v>
      </c>
    </row>
    <row r="87" spans="1:358" ht="18.5">
      <c r="A87" s="129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36.599999999999994</v>
      </c>
      <c r="Q87" s="36">
        <f t="shared" ref="Q87:AC87" si="76">Q15+Q26</f>
        <v>33.832222222222221</v>
      </c>
      <c r="R87" s="36">
        <f t="shared" si="76"/>
        <v>35.799999999999997</v>
      </c>
      <c r="S87" s="36"/>
      <c r="T87" s="36"/>
      <c r="U87" s="36">
        <f t="shared" si="76"/>
        <v>35.5</v>
      </c>
      <c r="V87" s="36">
        <f t="shared" si="76"/>
        <v>36.799999999999997</v>
      </c>
      <c r="W87" s="36">
        <f t="shared" si="76"/>
        <v>37</v>
      </c>
      <c r="X87" s="36">
        <f t="shared" si="76"/>
        <v>39</v>
      </c>
      <c r="Y87" s="36">
        <f t="shared" si="76"/>
        <v>41</v>
      </c>
      <c r="Z87" s="36">
        <f t="shared" si="76"/>
        <v>40.625</v>
      </c>
      <c r="AA87" s="36">
        <f t="shared" si="76"/>
        <v>42.75</v>
      </c>
      <c r="AB87" s="36">
        <f t="shared" si="76"/>
        <v>43.45</v>
      </c>
      <c r="AC87" s="36">
        <f t="shared" si="76"/>
        <v>45</v>
      </c>
      <c r="AD87" s="258">
        <f>AD15+AD26</f>
        <v>35.410740740740742</v>
      </c>
      <c r="AE87" s="258">
        <f t="shared" ref="AE87:AF87" si="77">AE15+AE26</f>
        <v>36.43333333333333</v>
      </c>
      <c r="AF87" s="258">
        <f t="shared" si="77"/>
        <v>40.208333333333329</v>
      </c>
      <c r="AG87" s="258">
        <f>AG15+AG26</f>
        <v>43.733333333333334</v>
      </c>
      <c r="AH87" s="173">
        <f t="shared" si="75"/>
        <v>38.946435185185187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5">
      <c r="A88" s="129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50.42</v>
      </c>
      <c r="Q88" s="36">
        <f t="shared" ref="Q88:AB88" si="78">Q37+Q15</f>
        <v>44.411111111111111</v>
      </c>
      <c r="R88" s="36">
        <f t="shared" si="78"/>
        <v>48.3</v>
      </c>
      <c r="S88" s="36"/>
      <c r="T88" s="36"/>
      <c r="U88" s="36">
        <f t="shared" si="78"/>
        <v>49.5</v>
      </c>
      <c r="V88" s="36">
        <f t="shared" si="78"/>
        <v>51.3</v>
      </c>
      <c r="W88" s="36">
        <f t="shared" si="78"/>
        <v>52</v>
      </c>
      <c r="X88" s="36">
        <f t="shared" si="78"/>
        <v>52.5</v>
      </c>
      <c r="Y88" s="36">
        <f t="shared" si="78"/>
        <v>53.5</v>
      </c>
      <c r="Z88" s="36">
        <f t="shared" si="78"/>
        <v>53.125</v>
      </c>
      <c r="AA88" s="36">
        <f t="shared" si="78"/>
        <v>53.75</v>
      </c>
      <c r="AB88" s="36">
        <f t="shared" si="78"/>
        <v>53.45</v>
      </c>
      <c r="AC88" s="36">
        <f>AC37+AC15</f>
        <v>55</v>
      </c>
      <c r="AD88" s="258">
        <f>AD37+AD15</f>
        <v>47.71037037037037</v>
      </c>
      <c r="AE88" s="258">
        <f t="shared" ref="AE88:AF88" si="79">AE37+AE15</f>
        <v>50.93333333333333</v>
      </c>
      <c r="AF88" s="258">
        <f t="shared" si="79"/>
        <v>53.041666666666664</v>
      </c>
      <c r="AG88" s="258">
        <f>AG37+AG15</f>
        <v>54.06666666666667</v>
      </c>
      <c r="AH88" s="173">
        <f t="shared" si="75"/>
        <v>51.438009259259267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5">
      <c r="A89" s="129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37.909999999999997</v>
      </c>
      <c r="Q89" s="36">
        <f t="shared" ref="Q89:AC89" si="80">Q48+Q15</f>
        <v>40.917777777777779</v>
      </c>
      <c r="R89" s="36">
        <f t="shared" si="80"/>
        <v>42.3</v>
      </c>
      <c r="S89" s="36"/>
      <c r="T89" s="36"/>
      <c r="U89" s="36">
        <f t="shared" si="80"/>
        <v>42.1</v>
      </c>
      <c r="V89" s="36">
        <f t="shared" si="80"/>
        <v>42.55</v>
      </c>
      <c r="W89" s="36">
        <f t="shared" si="80"/>
        <v>42.75</v>
      </c>
      <c r="X89" s="36">
        <f t="shared" si="80"/>
        <v>44.5</v>
      </c>
      <c r="Y89" s="36">
        <f t="shared" si="80"/>
        <v>46.5</v>
      </c>
      <c r="Z89" s="36">
        <f t="shared" si="80"/>
        <v>47.524999999999999</v>
      </c>
      <c r="AA89" s="36">
        <f t="shared" si="80"/>
        <v>50.95</v>
      </c>
      <c r="AB89" s="36">
        <f t="shared" si="80"/>
        <v>52.800000000000004</v>
      </c>
      <c r="AC89" s="36">
        <f t="shared" si="80"/>
        <v>54.5</v>
      </c>
      <c r="AD89" s="258">
        <f>AD48+AD15</f>
        <v>40.375925925925927</v>
      </c>
      <c r="AE89" s="258">
        <f t="shared" ref="AE89:AF89" si="81">AE48+AE15</f>
        <v>42.466666666666669</v>
      </c>
      <c r="AF89" s="258">
        <f t="shared" si="81"/>
        <v>46.174999999999997</v>
      </c>
      <c r="AG89" s="258">
        <f>AG48+AG15</f>
        <v>52.75</v>
      </c>
      <c r="AH89" s="173">
        <f t="shared" si="75"/>
        <v>45.441898148148141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5">
      <c r="A90" s="129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82">Q61+Q15</f>
        <v>38.36611111111111</v>
      </c>
      <c r="R90" s="36">
        <f t="shared" si="82"/>
        <v>40.9</v>
      </c>
      <c r="S90" s="36"/>
      <c r="T90" s="36"/>
      <c r="U90" s="36">
        <f t="shared" si="82"/>
        <v>41.65</v>
      </c>
      <c r="V90" s="36">
        <f t="shared" si="82"/>
        <v>42.5</v>
      </c>
      <c r="W90" s="36">
        <f t="shared" si="82"/>
        <v>42.75</v>
      </c>
      <c r="X90" s="36">
        <f t="shared" si="82"/>
        <v>44.5</v>
      </c>
      <c r="Y90" s="36">
        <f t="shared" si="82"/>
        <v>45.95</v>
      </c>
      <c r="Z90" s="36">
        <f t="shared" si="82"/>
        <v>46.875</v>
      </c>
      <c r="AA90" s="36">
        <f t="shared" si="82"/>
        <v>50.15</v>
      </c>
      <c r="AB90" s="36">
        <f t="shared" si="82"/>
        <v>52</v>
      </c>
      <c r="AC90" s="36">
        <f t="shared" si="82"/>
        <v>53.8</v>
      </c>
      <c r="AD90" s="258">
        <f>AD61+AD15</f>
        <v>38.47203703703704</v>
      </c>
      <c r="AE90" s="258">
        <f t="shared" ref="AE90:AF90" si="83">AE61+AE15</f>
        <v>42.3</v>
      </c>
      <c r="AF90" s="258">
        <f t="shared" si="83"/>
        <v>45.774999999999999</v>
      </c>
      <c r="AG90" s="258">
        <f>AG61+AG15</f>
        <v>51.983333333333334</v>
      </c>
      <c r="AH90" s="173">
        <f t="shared" si="75"/>
        <v>44.632592592592594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5">
      <c r="A91" s="129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150.36799999999999</v>
      </c>
      <c r="Q91" s="134">
        <f t="shared" ref="Q91:AC91" si="84">(Q72+Q15)*6.35</f>
        <v>153.92944444444447</v>
      </c>
      <c r="R91" s="134">
        <f t="shared" si="84"/>
        <v>157.47999999999999</v>
      </c>
      <c r="S91" s="134"/>
      <c r="T91" s="134"/>
      <c r="U91" s="134">
        <f t="shared" si="84"/>
        <v>156.845</v>
      </c>
      <c r="V91" s="134">
        <f t="shared" si="84"/>
        <v>160.655</v>
      </c>
      <c r="W91" s="134">
        <f t="shared" si="84"/>
        <v>161.29</v>
      </c>
      <c r="X91" s="134">
        <f t="shared" si="84"/>
        <v>172.08500000000001</v>
      </c>
      <c r="Y91" s="134">
        <f t="shared" si="84"/>
        <v>184.14999999999998</v>
      </c>
      <c r="Z91" s="134">
        <f t="shared" si="84"/>
        <v>188.75375</v>
      </c>
      <c r="AA91" s="134">
        <f t="shared" si="84"/>
        <v>202.56499999999997</v>
      </c>
      <c r="AB91" s="134">
        <f t="shared" si="84"/>
        <v>206.69250000000002</v>
      </c>
      <c r="AC91" s="134">
        <f t="shared" si="84"/>
        <v>217.17000000000002</v>
      </c>
      <c r="AD91" s="259">
        <f>(AD72+AD15)*6.35</f>
        <v>153.92581481481483</v>
      </c>
      <c r="AE91" s="259">
        <f t="shared" ref="AE91:AF91" si="85">(AE72+AE15)*6.35</f>
        <v>159.59666666666666</v>
      </c>
      <c r="AF91" s="259">
        <f t="shared" si="85"/>
        <v>181.66291666666663</v>
      </c>
      <c r="AG91" s="259">
        <f>(AG72+AG15)*6.35</f>
        <v>208.80916666666664</v>
      </c>
      <c r="AH91" s="173">
        <f t="shared" si="75"/>
        <v>175.99864120370373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8.5">
      <c r="A92" s="129" t="s">
        <v>53</v>
      </c>
      <c r="B92" s="129" t="s">
        <v>53</v>
      </c>
      <c r="C92" s="129" t="s">
        <v>53</v>
      </c>
      <c r="D92" s="130"/>
      <c r="E92" s="130"/>
      <c r="F92" s="36"/>
      <c r="G92" s="36"/>
      <c r="H92" s="36"/>
      <c r="I92" s="36"/>
      <c r="J92" s="36" t="e">
        <f>J82</f>
        <v>#DIV/0!</v>
      </c>
      <c r="K92" s="36">
        <f t="shared" ref="K92:L92" si="86">K82</f>
        <v>1.2</v>
      </c>
      <c r="L92" s="36">
        <f t="shared" si="86"/>
        <v>1.5</v>
      </c>
      <c r="M92" s="36">
        <f>M82</f>
        <v>1.625</v>
      </c>
      <c r="N92" s="36">
        <f>N83+N15</f>
        <v>47.85</v>
      </c>
      <c r="O92" s="36">
        <f>O83+O15</f>
        <v>2.0666666666666669</v>
      </c>
      <c r="P92" s="36">
        <f>P83+P15</f>
        <v>30.31</v>
      </c>
      <c r="Q92" s="36">
        <f t="shared" ref="Q92:AB92" si="87">Q83+Q15</f>
        <v>32.443888888888893</v>
      </c>
      <c r="R92" s="36">
        <f t="shared" si="87"/>
        <v>34</v>
      </c>
      <c r="S92" s="36"/>
      <c r="T92" s="36"/>
      <c r="U92" s="36">
        <f t="shared" si="87"/>
        <v>34.1</v>
      </c>
      <c r="V92" s="36">
        <f t="shared" si="87"/>
        <v>35.1</v>
      </c>
      <c r="W92" s="36">
        <f t="shared" si="87"/>
        <v>35.299999999999997</v>
      </c>
      <c r="X92" s="36">
        <f t="shared" si="87"/>
        <v>37.1</v>
      </c>
      <c r="Y92" s="36">
        <f t="shared" si="87"/>
        <v>39</v>
      </c>
      <c r="Z92" s="36">
        <f t="shared" si="87"/>
        <v>39.625</v>
      </c>
      <c r="AA92" s="36">
        <f t="shared" si="87"/>
        <v>41.75</v>
      </c>
      <c r="AB92" s="36">
        <f t="shared" si="87"/>
        <v>42.45</v>
      </c>
      <c r="AC92" s="36">
        <f>AC83+AC15</f>
        <v>44</v>
      </c>
      <c r="AD92" s="258">
        <f>AD83+AD15</f>
        <v>32.251296296296296</v>
      </c>
      <c r="AE92" s="258">
        <f t="shared" ref="AE92" si="88">AE83+AE15</f>
        <v>34.833333333333329</v>
      </c>
      <c r="AF92" s="258">
        <f>AF83+AF15</f>
        <v>38.574999999999996</v>
      </c>
      <c r="AG92" s="258">
        <f>AG83+AG15</f>
        <v>42.733333333333334</v>
      </c>
      <c r="AH92" s="173">
        <f t="shared" si="75"/>
        <v>37.098240740740735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7"/>
      <c r="S93" s="136"/>
      <c r="T93" s="136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.5">
      <c r="A94" s="200" t="s">
        <v>54</v>
      </c>
      <c r="B94" s="138" t="s">
        <v>54</v>
      </c>
      <c r="C94" s="138" t="s">
        <v>54</v>
      </c>
      <c r="D94" s="139"/>
      <c r="E94" s="139"/>
      <c r="F94" s="140" t="s">
        <v>4</v>
      </c>
      <c r="G94" s="140" t="s">
        <v>5</v>
      </c>
      <c r="H94" s="140" t="s">
        <v>6</v>
      </c>
      <c r="I94" s="140" t="s">
        <v>7</v>
      </c>
      <c r="J94" s="28" t="s">
        <v>2</v>
      </c>
      <c r="K94" s="140" t="s">
        <v>9</v>
      </c>
      <c r="L94" s="140" t="s">
        <v>9</v>
      </c>
      <c r="M94" s="140" t="s">
        <v>9</v>
      </c>
      <c r="N94" s="140" t="s">
        <v>12</v>
      </c>
      <c r="O94" s="140" t="s">
        <v>13</v>
      </c>
      <c r="P94" s="140" t="s">
        <v>14</v>
      </c>
      <c r="Q94" s="140" t="s">
        <v>15</v>
      </c>
      <c r="R94" s="140" t="s">
        <v>16</v>
      </c>
      <c r="S94" s="141"/>
      <c r="T94" s="141"/>
      <c r="U94" s="140" t="s">
        <v>64</v>
      </c>
      <c r="V94" s="140" t="s">
        <v>65</v>
      </c>
      <c r="W94" s="140" t="s">
        <v>66</v>
      </c>
      <c r="X94" s="140" t="s">
        <v>67</v>
      </c>
      <c r="Y94" s="140" t="s">
        <v>68</v>
      </c>
      <c r="Z94" s="140" t="s">
        <v>69</v>
      </c>
      <c r="AA94" s="140" t="s">
        <v>70</v>
      </c>
      <c r="AB94" s="140" t="s">
        <v>77</v>
      </c>
      <c r="AC94" s="140" t="s">
        <v>78</v>
      </c>
      <c r="AD94" s="140" t="s">
        <v>79</v>
      </c>
      <c r="AE94" s="140" t="s">
        <v>80</v>
      </c>
      <c r="AF94" s="140" t="s">
        <v>81</v>
      </c>
      <c r="AG94" s="140" t="s">
        <v>82</v>
      </c>
      <c r="AH94" s="140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.5">
      <c r="A95" s="200" t="s">
        <v>56</v>
      </c>
      <c r="B95" s="138" t="s">
        <v>56</v>
      </c>
      <c r="C95" s="138" t="s">
        <v>56</v>
      </c>
      <c r="D95" s="142"/>
      <c r="E95" s="142"/>
      <c r="F95" s="143">
        <f t="shared" ref="F95" si="89">F86</f>
        <v>0</v>
      </c>
      <c r="G95" s="143">
        <f>G86</f>
        <v>56.18</v>
      </c>
      <c r="H95" s="143">
        <f t="shared" ref="H95" si="90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91">K86</f>
        <v>48.3</v>
      </c>
      <c r="L95" s="143">
        <f t="shared" si="91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26.81</v>
      </c>
      <c r="Q95" s="143">
        <f>Q86</f>
        <v>29.269444444444446</v>
      </c>
      <c r="R95" s="143">
        <f t="shared" ref="R95" si="92">R86</f>
        <v>30.8</v>
      </c>
      <c r="S95" s="144"/>
      <c r="T95" s="144"/>
      <c r="U95" s="143">
        <f t="shared" ref="U95:AG95" si="93">U86</f>
        <v>31</v>
      </c>
      <c r="V95" s="143">
        <f t="shared" si="93"/>
        <v>31.8</v>
      </c>
      <c r="W95" s="143">
        <f t="shared" si="93"/>
        <v>32</v>
      </c>
      <c r="X95" s="143">
        <f t="shared" si="93"/>
        <v>34</v>
      </c>
      <c r="Y95" s="143">
        <f t="shared" si="93"/>
        <v>36</v>
      </c>
      <c r="Z95" s="143">
        <f t="shared" si="93"/>
        <v>36.625</v>
      </c>
      <c r="AA95" s="143">
        <f t="shared" si="93"/>
        <v>38.75</v>
      </c>
      <c r="AB95" s="143">
        <f t="shared" si="93"/>
        <v>39.450000000000003</v>
      </c>
      <c r="AC95" s="143">
        <f t="shared" si="93"/>
        <v>41</v>
      </c>
      <c r="AD95" s="260">
        <f t="shared" si="93"/>
        <v>28.959814814814816</v>
      </c>
      <c r="AE95" s="260">
        <f t="shared" si="93"/>
        <v>31.599999999999998</v>
      </c>
      <c r="AF95" s="260">
        <f t="shared" si="93"/>
        <v>35.541666666666664</v>
      </c>
      <c r="AG95" s="260">
        <f t="shared" si="93"/>
        <v>39.733333333333334</v>
      </c>
      <c r="AH95" s="173">
        <f t="shared" ref="AH95:AH101" si="94">AVERAGE(P95:AC95)</f>
        <v>33.958703703703705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.5">
      <c r="A96" s="200" t="s">
        <v>57</v>
      </c>
      <c r="B96" s="138" t="s">
        <v>57</v>
      </c>
      <c r="C96" s="138" t="s">
        <v>57</v>
      </c>
      <c r="D96" s="142"/>
      <c r="E96" s="142"/>
      <c r="F96" s="143">
        <f t="shared" ref="F96" si="95">F87-F86</f>
        <v>0</v>
      </c>
      <c r="G96" s="143">
        <f>G87-G86</f>
        <v>-3.0341000000000022</v>
      </c>
      <c r="H96" s="143">
        <f t="shared" ref="H96" si="96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97">K87-K86</f>
        <v>#REF!</v>
      </c>
      <c r="L96" s="143" t="e">
        <f t="shared" si="97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9.7899999999999956</v>
      </c>
      <c r="Q96" s="143">
        <f>Q87-Q86</f>
        <v>4.5627777777777752</v>
      </c>
      <c r="R96" s="143">
        <f t="shared" ref="R96" si="98">R87-R86</f>
        <v>4.9999999999999964</v>
      </c>
      <c r="S96" s="144"/>
      <c r="T96" s="144"/>
      <c r="U96" s="143">
        <f t="shared" ref="U96:AG96" si="99">U87-U86</f>
        <v>4.5</v>
      </c>
      <c r="V96" s="143">
        <f t="shared" si="99"/>
        <v>4.9999999999999964</v>
      </c>
      <c r="W96" s="143">
        <f t="shared" si="99"/>
        <v>5</v>
      </c>
      <c r="X96" s="143">
        <f t="shared" si="99"/>
        <v>5</v>
      </c>
      <c r="Y96" s="143">
        <f t="shared" si="99"/>
        <v>5</v>
      </c>
      <c r="Z96" s="143">
        <f t="shared" si="99"/>
        <v>4</v>
      </c>
      <c r="AA96" s="143">
        <f t="shared" si="99"/>
        <v>4</v>
      </c>
      <c r="AB96" s="143">
        <f t="shared" si="99"/>
        <v>4</v>
      </c>
      <c r="AC96" s="143">
        <f t="shared" si="99"/>
        <v>4</v>
      </c>
      <c r="AD96" s="260">
        <f t="shared" si="99"/>
        <v>6.450925925925926</v>
      </c>
      <c r="AE96" s="260">
        <f t="shared" si="99"/>
        <v>4.8333333333333321</v>
      </c>
      <c r="AF96" s="260">
        <f t="shared" si="99"/>
        <v>4.6666666666666643</v>
      </c>
      <c r="AG96" s="260">
        <f t="shared" si="99"/>
        <v>4</v>
      </c>
      <c r="AH96" s="173">
        <f t="shared" si="94"/>
        <v>4.9877314814814797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5">
      <c r="A97" s="200" t="s">
        <v>58</v>
      </c>
      <c r="B97" s="138" t="s">
        <v>58</v>
      </c>
      <c r="C97" s="138" t="s">
        <v>58</v>
      </c>
      <c r="D97" s="142"/>
      <c r="E97" s="142"/>
      <c r="F97" s="143">
        <f t="shared" ref="F97" si="100">F88-F86</f>
        <v>0</v>
      </c>
      <c r="G97" s="143">
        <f>G88-G86</f>
        <v>19.766299999999994</v>
      </c>
      <c r="H97" s="143">
        <f t="shared" ref="H97" si="101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102">K88-K86</f>
        <v>16.482500000000002</v>
      </c>
      <c r="L97" s="143">
        <f t="shared" si="102"/>
        <v>17.249999999999993</v>
      </c>
      <c r="M97" s="143">
        <f t="shared" si="102"/>
        <v>16.372499999999995</v>
      </c>
      <c r="N97" s="143">
        <f>N88-N86</f>
        <v>15.8125</v>
      </c>
      <c r="O97" s="143">
        <f>O88-O86</f>
        <v>17.5</v>
      </c>
      <c r="P97" s="143">
        <f>P88-P86</f>
        <v>23.610000000000003</v>
      </c>
      <c r="Q97" s="143">
        <f t="shared" ref="Q97" si="103">Q88-Q86</f>
        <v>15.141666666666666</v>
      </c>
      <c r="R97" s="143">
        <f>R88-R86</f>
        <v>17.499999999999996</v>
      </c>
      <c r="S97" s="144"/>
      <c r="T97" s="144"/>
      <c r="U97" s="143">
        <f t="shared" ref="U97:AG97" si="104">U88-U86</f>
        <v>18.5</v>
      </c>
      <c r="V97" s="143">
        <f t="shared" si="104"/>
        <v>19.499999999999996</v>
      </c>
      <c r="W97" s="143">
        <f t="shared" si="104"/>
        <v>20</v>
      </c>
      <c r="X97" s="143">
        <f t="shared" si="104"/>
        <v>18.5</v>
      </c>
      <c r="Y97" s="143">
        <f t="shared" si="104"/>
        <v>17.5</v>
      </c>
      <c r="Z97" s="143">
        <f t="shared" si="104"/>
        <v>16.5</v>
      </c>
      <c r="AA97" s="143">
        <f t="shared" si="104"/>
        <v>15</v>
      </c>
      <c r="AB97" s="143">
        <f t="shared" si="104"/>
        <v>14</v>
      </c>
      <c r="AC97" s="143">
        <f t="shared" si="104"/>
        <v>14</v>
      </c>
      <c r="AD97" s="260">
        <f t="shared" si="104"/>
        <v>18.750555555555554</v>
      </c>
      <c r="AE97" s="260">
        <f t="shared" si="104"/>
        <v>19.333333333333332</v>
      </c>
      <c r="AF97" s="260">
        <f t="shared" si="104"/>
        <v>17.5</v>
      </c>
      <c r="AG97" s="260">
        <f t="shared" si="104"/>
        <v>14.333333333333336</v>
      </c>
      <c r="AH97" s="173">
        <f t="shared" si="94"/>
        <v>17.479305555555555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5">
      <c r="A98" s="200" t="s">
        <v>59</v>
      </c>
      <c r="B98" s="138" t="s">
        <v>59</v>
      </c>
      <c r="C98" s="138" t="s">
        <v>59</v>
      </c>
      <c r="D98" s="142"/>
      <c r="E98" s="142"/>
      <c r="F98" s="143">
        <f t="shared" ref="F98" si="105">F89-F86</f>
        <v>0</v>
      </c>
      <c r="G98" s="143">
        <f>G89-G86</f>
        <v>9.6289999999999978</v>
      </c>
      <c r="H98" s="143">
        <f t="shared" ref="H98" si="106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107">K89-K86</f>
        <v>13.11</v>
      </c>
      <c r="L98" s="143">
        <f t="shared" si="107"/>
        <v>13.435000000000002</v>
      </c>
      <c r="M98" s="143">
        <f t="shared" si="107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11.099999999999998</v>
      </c>
      <c r="Q98" s="143">
        <f>Q89-Q86</f>
        <v>11.648333333333333</v>
      </c>
      <c r="R98" s="143">
        <f t="shared" ref="R98" si="108">R89-R86</f>
        <v>11.499999999999996</v>
      </c>
      <c r="S98" s="144"/>
      <c r="T98" s="144"/>
      <c r="U98" s="143">
        <f t="shared" ref="U98:AG98" si="109">U89-U86</f>
        <v>11.100000000000001</v>
      </c>
      <c r="V98" s="143">
        <f t="shared" si="109"/>
        <v>10.749999999999996</v>
      </c>
      <c r="W98" s="143">
        <f t="shared" si="109"/>
        <v>10.75</v>
      </c>
      <c r="X98" s="143">
        <f t="shared" si="109"/>
        <v>10.5</v>
      </c>
      <c r="Y98" s="143">
        <f t="shared" si="109"/>
        <v>10.5</v>
      </c>
      <c r="Z98" s="143">
        <f t="shared" si="109"/>
        <v>10.899999999999999</v>
      </c>
      <c r="AA98" s="143">
        <f t="shared" si="109"/>
        <v>12.200000000000003</v>
      </c>
      <c r="AB98" s="143">
        <f t="shared" si="109"/>
        <v>13.350000000000001</v>
      </c>
      <c r="AC98" s="143">
        <f t="shared" si="109"/>
        <v>13.5</v>
      </c>
      <c r="AD98" s="260">
        <f t="shared" si="109"/>
        <v>11.41611111111111</v>
      </c>
      <c r="AE98" s="260">
        <f t="shared" si="109"/>
        <v>10.866666666666671</v>
      </c>
      <c r="AF98" s="260">
        <f t="shared" si="109"/>
        <v>10.633333333333333</v>
      </c>
      <c r="AG98" s="260">
        <f t="shared" si="109"/>
        <v>13.016666666666666</v>
      </c>
      <c r="AH98" s="173">
        <f t="shared" si="94"/>
        <v>11.483194444444445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.5">
      <c r="A99" s="200" t="s">
        <v>60</v>
      </c>
      <c r="B99" s="138" t="s">
        <v>60</v>
      </c>
      <c r="C99" s="138" t="s">
        <v>60</v>
      </c>
      <c r="D99" s="142"/>
      <c r="E99" s="142"/>
      <c r="F99" s="143">
        <f t="shared" ref="F99" si="110">F90-F86</f>
        <v>0</v>
      </c>
      <c r="G99" s="143">
        <f>G90-G86</f>
        <v>8.8899999999999935</v>
      </c>
      <c r="H99" s="143">
        <f t="shared" ref="H99" si="111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112">K90-K86</f>
        <v>13.350000000000001</v>
      </c>
      <c r="L99" s="143">
        <f t="shared" si="112"/>
        <v>13.75</v>
      </c>
      <c r="M99" s="143">
        <f t="shared" si="112"/>
        <v>13.07</v>
      </c>
      <c r="N99" s="143">
        <f>N90-N86</f>
        <v>14.030000000000001</v>
      </c>
      <c r="O99" s="143">
        <f>O90-O86</f>
        <v>14.15</v>
      </c>
      <c r="P99" s="143">
        <f>P90-P86</f>
        <v>9.34</v>
      </c>
      <c r="Q99" s="143">
        <f>Q90-Q86</f>
        <v>9.096666666666664</v>
      </c>
      <c r="R99" s="143">
        <f t="shared" ref="R99" si="113">R90-R86</f>
        <v>10.099999999999998</v>
      </c>
      <c r="S99" s="144"/>
      <c r="T99" s="144"/>
      <c r="U99" s="143">
        <f t="shared" ref="U99:AG99" si="114">U90-U86</f>
        <v>10.649999999999999</v>
      </c>
      <c r="V99" s="143">
        <f t="shared" si="114"/>
        <v>10.7</v>
      </c>
      <c r="W99" s="143">
        <f t="shared" si="114"/>
        <v>10.75</v>
      </c>
      <c r="X99" s="143">
        <f t="shared" si="114"/>
        <v>10.5</v>
      </c>
      <c r="Y99" s="143">
        <f t="shared" si="114"/>
        <v>9.9500000000000028</v>
      </c>
      <c r="Z99" s="143">
        <f t="shared" si="114"/>
        <v>10.25</v>
      </c>
      <c r="AA99" s="143">
        <f t="shared" si="114"/>
        <v>11.399999999999999</v>
      </c>
      <c r="AB99" s="143">
        <f t="shared" si="114"/>
        <v>12.549999999999997</v>
      </c>
      <c r="AC99" s="143">
        <f t="shared" si="114"/>
        <v>12.799999999999997</v>
      </c>
      <c r="AD99" s="260">
        <f t="shared" si="114"/>
        <v>9.5122222222222241</v>
      </c>
      <c r="AE99" s="260">
        <f t="shared" si="114"/>
        <v>10.7</v>
      </c>
      <c r="AF99" s="260">
        <f t="shared" si="114"/>
        <v>10.233333333333334</v>
      </c>
      <c r="AG99" s="260">
        <f t="shared" si="114"/>
        <v>12.25</v>
      </c>
      <c r="AH99" s="173">
        <f t="shared" si="94"/>
        <v>10.673888888888888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18.5">
      <c r="A100" s="200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115">H91-H86</f>
        <v>-8.9503004558640669</v>
      </c>
      <c r="I100" s="143">
        <f t="shared" si="115"/>
        <v>-7.8993307086614237</v>
      </c>
      <c r="J100" s="143">
        <f t="shared" ref="J100" si="116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-3.13</v>
      </c>
      <c r="Q100" s="143">
        <f>Q72</f>
        <v>-5.0285870516185458</v>
      </c>
      <c r="R100" s="143">
        <f t="shared" ref="R100" si="117">R72</f>
        <v>-6</v>
      </c>
      <c r="S100" s="144"/>
      <c r="T100" s="144"/>
      <c r="U100" s="143">
        <f t="shared" ref="U100" si="118">U72</f>
        <v>-6.3</v>
      </c>
      <c r="V100" s="143">
        <f t="shared" ref="V100:AG100" si="119">V71</f>
        <v>-6.45</v>
      </c>
      <c r="W100" s="143">
        <f t="shared" si="119"/>
        <v>-6.5875000000000004</v>
      </c>
      <c r="X100" s="143">
        <f t="shared" si="119"/>
        <v>-6.9</v>
      </c>
      <c r="Y100" s="143">
        <f t="shared" si="119"/>
        <v>-6.9499999999999993</v>
      </c>
      <c r="Z100" s="143">
        <f t="shared" si="119"/>
        <v>-6.875</v>
      </c>
      <c r="AA100" s="143">
        <f t="shared" si="119"/>
        <v>-6.85</v>
      </c>
      <c r="AB100" s="143">
        <f t="shared" si="119"/>
        <v>-6.9</v>
      </c>
      <c r="AC100" s="143">
        <f t="shared" si="119"/>
        <v>-6.8249999999999993</v>
      </c>
      <c r="AD100" s="260">
        <f t="shared" si="119"/>
        <v>-4.7111956838728482</v>
      </c>
      <c r="AE100" s="260">
        <f t="shared" si="119"/>
        <v>-6.4541666666666666</v>
      </c>
      <c r="AF100" s="260">
        <f t="shared" si="119"/>
        <v>-6.9083333333333323</v>
      </c>
      <c r="AG100" s="260">
        <f t="shared" si="119"/>
        <v>-6.8583333333333325</v>
      </c>
      <c r="AH100" s="173">
        <f t="shared" si="94"/>
        <v>-6.2330072543015449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>
      <c r="A101" s="201" t="s">
        <v>62</v>
      </c>
      <c r="B101" s="145" t="s">
        <v>62</v>
      </c>
      <c r="C101" s="145" t="s">
        <v>62</v>
      </c>
      <c r="D101" s="142"/>
      <c r="E101" s="142"/>
      <c r="F101" s="143">
        <f t="shared" ref="F101" si="120">F82</f>
        <v>0</v>
      </c>
      <c r="G101" s="143">
        <f>G82</f>
        <v>0</v>
      </c>
      <c r="H101" s="143">
        <f t="shared" ref="H101" si="121">H82</f>
        <v>0</v>
      </c>
      <c r="I101" s="143">
        <f>I82</f>
        <v>0</v>
      </c>
      <c r="J101" s="143" t="e">
        <f>J82</f>
        <v>#DIV/0!</v>
      </c>
      <c r="K101" s="143">
        <f t="shared" ref="K101:M101" si="122">K82</f>
        <v>1.2</v>
      </c>
      <c r="L101" s="143">
        <f t="shared" si="122"/>
        <v>1.5</v>
      </c>
      <c r="M101" s="143">
        <f t="shared" si="122"/>
        <v>1.625</v>
      </c>
      <c r="N101" s="143">
        <f>N92-N86</f>
        <v>1.6000000000000014</v>
      </c>
      <c r="O101" s="143">
        <f>O92-O86</f>
        <v>2.0666666666666669</v>
      </c>
      <c r="P101" s="143">
        <f>P92-P86</f>
        <v>3.5</v>
      </c>
      <c r="Q101" s="143">
        <f>Q92-Q86</f>
        <v>3.1744444444444468</v>
      </c>
      <c r="R101" s="143">
        <f t="shared" ref="R101" si="123">R92-R86</f>
        <v>3.1999999999999993</v>
      </c>
      <c r="S101" s="144"/>
      <c r="T101" s="144"/>
      <c r="U101" s="143">
        <f t="shared" ref="U101:AG101" si="124">U92-U86</f>
        <v>3.1000000000000014</v>
      </c>
      <c r="V101" s="143">
        <f t="shared" si="124"/>
        <v>3.3000000000000007</v>
      </c>
      <c r="W101" s="143">
        <f t="shared" si="124"/>
        <v>3.2999999999999972</v>
      </c>
      <c r="X101" s="143">
        <f t="shared" si="124"/>
        <v>3.1000000000000014</v>
      </c>
      <c r="Y101" s="143">
        <f t="shared" si="124"/>
        <v>3</v>
      </c>
      <c r="Z101" s="143">
        <f t="shared" si="124"/>
        <v>3</v>
      </c>
      <c r="AA101" s="143">
        <f t="shared" si="124"/>
        <v>3</v>
      </c>
      <c r="AB101" s="143">
        <f t="shared" si="124"/>
        <v>3</v>
      </c>
      <c r="AC101" s="143">
        <f t="shared" si="124"/>
        <v>3</v>
      </c>
      <c r="AD101" s="260">
        <f>AD92-AD86</f>
        <v>3.2914814814814797</v>
      </c>
      <c r="AE101" s="260">
        <f>AE92-AE86</f>
        <v>3.2333333333333307</v>
      </c>
      <c r="AF101" s="260">
        <f>AF92-AF86</f>
        <v>3.0333333333333314</v>
      </c>
      <c r="AG101" s="260">
        <f t="shared" si="124"/>
        <v>3</v>
      </c>
      <c r="AH101" s="173">
        <f t="shared" si="94"/>
        <v>3.1395370370370372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199"/>
      <c r="R102" s="6"/>
      <c r="U102" s="6"/>
      <c r="V102" s="6"/>
      <c r="W102" s="6"/>
      <c r="AH102" s="7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199"/>
      <c r="B103" s="146"/>
      <c r="C103" s="146"/>
      <c r="D103" s="147"/>
      <c r="E103" s="147"/>
      <c r="F103" s="140" t="s">
        <v>4</v>
      </c>
      <c r="G103" s="140" t="s">
        <v>5</v>
      </c>
      <c r="H103" s="140" t="s">
        <v>6</v>
      </c>
      <c r="I103" s="140" t="s">
        <v>7</v>
      </c>
      <c r="J103" s="32"/>
      <c r="K103" s="140" t="s">
        <v>9</v>
      </c>
      <c r="L103" s="140" t="s">
        <v>9</v>
      </c>
      <c r="M103" s="140" t="s">
        <v>70</v>
      </c>
      <c r="N103" s="140" t="s">
        <v>12</v>
      </c>
      <c r="O103" s="140" t="s">
        <v>13</v>
      </c>
      <c r="P103" s="140" t="s">
        <v>13</v>
      </c>
      <c r="Q103" s="140" t="s">
        <v>13</v>
      </c>
      <c r="R103" s="140"/>
      <c r="S103" s="141"/>
      <c r="T103" s="141"/>
      <c r="U103" s="140"/>
      <c r="V103" s="140"/>
      <c r="W103" s="140"/>
      <c r="X103" s="140" t="s">
        <v>17</v>
      </c>
      <c r="Y103" s="148"/>
      <c r="Z103" s="148"/>
      <c r="AA103" s="148"/>
      <c r="AB103" s="148"/>
      <c r="AC103" s="148"/>
      <c r="AD103" s="140" t="s">
        <v>55</v>
      </c>
      <c r="AE103" s="140" t="s">
        <v>55</v>
      </c>
      <c r="AF103" s="140"/>
      <c r="AG103" s="140" t="s">
        <v>55</v>
      </c>
      <c r="AH103" s="7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199"/>
      <c r="B104" s="149">
        <v>0.03</v>
      </c>
      <c r="C104" s="149">
        <v>0.03</v>
      </c>
      <c r="D104" s="150"/>
      <c r="E104" s="150"/>
      <c r="F104" s="151">
        <f>$B$104*$J$104</f>
        <v>-0.6</v>
      </c>
      <c r="G104" s="151">
        <f>$B$104*$J$104</f>
        <v>-0.6</v>
      </c>
      <c r="H104" s="151">
        <f>$B$104*$J$104</f>
        <v>-0.6</v>
      </c>
      <c r="I104" s="151">
        <f>$B$104*$J$104</f>
        <v>-0.6</v>
      </c>
      <c r="J104" s="36">
        <v>-20</v>
      </c>
      <c r="K104" s="151">
        <f t="shared" ref="K104:P104" si="125">$B$104*$J$104</f>
        <v>-0.6</v>
      </c>
      <c r="L104" s="151">
        <f t="shared" si="125"/>
        <v>-0.6</v>
      </c>
      <c r="M104" s="151">
        <f t="shared" si="125"/>
        <v>-0.6</v>
      </c>
      <c r="N104" s="151">
        <f t="shared" si="125"/>
        <v>-0.6</v>
      </c>
      <c r="O104" s="151">
        <f t="shared" si="125"/>
        <v>-0.6</v>
      </c>
      <c r="P104" s="151">
        <f t="shared" si="125"/>
        <v>-0.6</v>
      </c>
      <c r="Q104" s="151">
        <f>$B$104*$J$104</f>
        <v>-0.6</v>
      </c>
      <c r="R104" s="132"/>
      <c r="S104" s="131"/>
      <c r="T104" s="131"/>
      <c r="U104" s="132"/>
      <c r="V104" s="132"/>
      <c r="W104" s="132"/>
      <c r="X104" s="132">
        <v>0.94499999999999995</v>
      </c>
      <c r="Y104" s="132"/>
      <c r="Z104" s="132"/>
      <c r="AA104" s="132"/>
      <c r="AB104" s="132"/>
      <c r="AC104" s="132"/>
      <c r="AD104" s="151">
        <f>$B$104*$J$104</f>
        <v>-0.6</v>
      </c>
      <c r="AE104" s="151">
        <f>$B$104*$J$104</f>
        <v>-0.6</v>
      </c>
      <c r="AF104" s="151"/>
      <c r="AG104" s="151">
        <f>$B$104*$J$104</f>
        <v>-0.6</v>
      </c>
      <c r="AH104" s="7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199"/>
      <c r="B105" s="149">
        <v>0.03</v>
      </c>
      <c r="C105" s="149">
        <v>0.03</v>
      </c>
      <c r="D105" s="150"/>
      <c r="E105" s="150"/>
      <c r="F105" s="151">
        <f t="shared" ref="F105:I108" si="126">$B105*(F87-F$86-1.7)</f>
        <v>-5.0999999999999997E-2</v>
      </c>
      <c r="G105" s="151">
        <f t="shared" si="126"/>
        <v>-0.14202300000000007</v>
      </c>
      <c r="H105" s="151">
        <f t="shared" si="126"/>
        <v>-0.10879736842105259</v>
      </c>
      <c r="I105" s="151">
        <f t="shared" si="126"/>
        <v>-8.1000000000004332E-3</v>
      </c>
      <c r="J105" s="36"/>
      <c r="K105" s="151" t="e">
        <f t="shared" ref="K105:P108" si="127">$B105*(K87-K$86-1.7)</f>
        <v>#REF!</v>
      </c>
      <c r="L105" s="151" t="e">
        <f t="shared" si="127"/>
        <v>#REF!</v>
      </c>
      <c r="M105" s="151">
        <f t="shared" si="127"/>
        <v>-8.2500000000000837E-3</v>
      </c>
      <c r="N105" s="151">
        <f t="shared" si="127"/>
        <v>6.5249999999999989E-2</v>
      </c>
      <c r="O105" s="151">
        <f t="shared" si="127"/>
        <v>0.129</v>
      </c>
      <c r="P105" s="151">
        <f t="shared" si="127"/>
        <v>0.24269999999999989</v>
      </c>
      <c r="Q105" s="151">
        <f>$B105*(Q87-Q$86-1.7)</f>
        <v>8.5883333333333242E-2</v>
      </c>
      <c r="R105" s="132"/>
      <c r="S105" s="131"/>
      <c r="T105" s="131"/>
      <c r="U105" s="132"/>
      <c r="V105" s="132"/>
      <c r="W105" s="132"/>
      <c r="X105" s="132" t="e">
        <v>#REF!</v>
      </c>
      <c r="Y105" s="132"/>
      <c r="Z105" s="132"/>
      <c r="AA105" s="132"/>
      <c r="AB105" s="132"/>
      <c r="AC105" s="132"/>
      <c r="AD105" s="151">
        <f t="shared" ref="AD105:AG108" si="128">$B105*(AD87-AD$86-1.7)</f>
        <v>0.14252777777777778</v>
      </c>
      <c r="AE105" s="151">
        <f t="shared" si="128"/>
        <v>9.3999999999999959E-2</v>
      </c>
      <c r="AF105" s="151"/>
      <c r="AG105" s="151">
        <f t="shared" si="128"/>
        <v>6.8999999999999992E-2</v>
      </c>
      <c r="AH105" s="7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199"/>
      <c r="B106" s="149">
        <v>0.16</v>
      </c>
      <c r="C106" s="149">
        <v>0.16</v>
      </c>
      <c r="D106" s="150"/>
      <c r="E106" s="150"/>
      <c r="F106" s="151">
        <f t="shared" si="126"/>
        <v>-0.27200000000000002</v>
      </c>
      <c r="G106" s="151">
        <f t="shared" si="126"/>
        <v>2.8906079999999994</v>
      </c>
      <c r="H106" s="151">
        <f t="shared" si="126"/>
        <v>2.6582315789473734</v>
      </c>
      <c r="I106" s="151">
        <f t="shared" si="126"/>
        <v>2.9057599999999999</v>
      </c>
      <c r="J106" s="36"/>
      <c r="K106" s="151">
        <f t="shared" si="127"/>
        <v>2.3652000000000006</v>
      </c>
      <c r="L106" s="151">
        <f t="shared" si="127"/>
        <v>2.4879999999999991</v>
      </c>
      <c r="M106" s="151">
        <f t="shared" si="127"/>
        <v>2.3475999999999995</v>
      </c>
      <c r="N106" s="151">
        <f t="shared" si="127"/>
        <v>2.258</v>
      </c>
      <c r="O106" s="151">
        <f t="shared" si="127"/>
        <v>2.528</v>
      </c>
      <c r="P106" s="151">
        <f t="shared" si="127"/>
        <v>3.5056000000000007</v>
      </c>
      <c r="Q106" s="151">
        <f>$B106*(Q88-Q$86-1.7)</f>
        <v>2.1506666666666665</v>
      </c>
      <c r="R106" s="132"/>
      <c r="S106" s="131"/>
      <c r="T106" s="131"/>
      <c r="U106" s="132"/>
      <c r="V106" s="132"/>
      <c r="W106" s="132"/>
      <c r="X106" s="132" t="e">
        <v>#REF!</v>
      </c>
      <c r="Y106" s="132"/>
      <c r="Z106" s="132"/>
      <c r="AA106" s="132"/>
      <c r="AB106" s="132"/>
      <c r="AC106" s="132"/>
      <c r="AD106" s="151">
        <f t="shared" si="128"/>
        <v>2.7280888888888888</v>
      </c>
      <c r="AE106" s="151">
        <f t="shared" si="128"/>
        <v>2.8213333333333335</v>
      </c>
      <c r="AF106" s="151"/>
      <c r="AG106" s="151">
        <f t="shared" si="128"/>
        <v>2.0213333333333336</v>
      </c>
      <c r="AH106" s="7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B107" s="149">
        <v>0.15</v>
      </c>
      <c r="C107" s="149">
        <v>0.15</v>
      </c>
      <c r="D107" s="150"/>
      <c r="E107" s="150"/>
      <c r="F107" s="151">
        <f t="shared" si="126"/>
        <v>-0.255</v>
      </c>
      <c r="G107" s="151">
        <f t="shared" si="126"/>
        <v>1.1893499999999997</v>
      </c>
      <c r="H107" s="151">
        <f t="shared" si="126"/>
        <v>1.1527499999999997</v>
      </c>
      <c r="I107" s="151">
        <f t="shared" si="126"/>
        <v>1.7877749999999986</v>
      </c>
      <c r="J107" s="36"/>
      <c r="K107" s="151">
        <f t="shared" si="127"/>
        <v>1.7115</v>
      </c>
      <c r="L107" s="151">
        <f t="shared" si="127"/>
        <v>1.7602500000000003</v>
      </c>
      <c r="M107" s="151">
        <f t="shared" si="127"/>
        <v>1.7467499999999998</v>
      </c>
      <c r="N107" s="151">
        <f t="shared" si="127"/>
        <v>1.8794999999999995</v>
      </c>
      <c r="O107" s="151">
        <f t="shared" si="127"/>
        <v>2.085</v>
      </c>
      <c r="P107" s="151">
        <f t="shared" si="127"/>
        <v>1.4099999999999997</v>
      </c>
      <c r="Q107" s="151">
        <f>$B107*(Q89-Q$86-1.7)</f>
        <v>1.4922500000000001</v>
      </c>
      <c r="R107" s="132"/>
      <c r="S107" s="131"/>
      <c r="T107" s="131"/>
      <c r="U107" s="132"/>
      <c r="V107" s="132"/>
      <c r="W107" s="132"/>
      <c r="X107" s="132" t="e">
        <v>#REF!</v>
      </c>
      <c r="Y107" s="132"/>
      <c r="Z107" s="132"/>
      <c r="AA107" s="132"/>
      <c r="AB107" s="132"/>
      <c r="AC107" s="132"/>
      <c r="AD107" s="151">
        <f t="shared" si="128"/>
        <v>1.4574166666666666</v>
      </c>
      <c r="AE107" s="151">
        <f t="shared" si="128"/>
        <v>1.3750000000000007</v>
      </c>
      <c r="AF107" s="151"/>
      <c r="AG107" s="151">
        <f t="shared" si="128"/>
        <v>1.6975</v>
      </c>
      <c r="AH107" s="7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B108" s="149">
        <v>0.39</v>
      </c>
      <c r="C108" s="149">
        <v>0.39</v>
      </c>
      <c r="D108" s="150"/>
      <c r="E108" s="150"/>
      <c r="F108" s="151">
        <f t="shared" si="126"/>
        <v>-0.66300000000000003</v>
      </c>
      <c r="G108" s="151">
        <f t="shared" si="126"/>
        <v>2.8040999999999974</v>
      </c>
      <c r="H108" s="151">
        <f t="shared" si="126"/>
        <v>3.0129552631578984</v>
      </c>
      <c r="I108" s="151">
        <f t="shared" si="126"/>
        <v>4.8371700000000013</v>
      </c>
      <c r="J108" s="36"/>
      <c r="K108" s="151">
        <f t="shared" si="127"/>
        <v>4.5435000000000008</v>
      </c>
      <c r="L108" s="151">
        <f t="shared" si="127"/>
        <v>4.6995000000000005</v>
      </c>
      <c r="M108" s="151">
        <f t="shared" si="127"/>
        <v>4.4343000000000004</v>
      </c>
      <c r="N108" s="151">
        <f t="shared" si="127"/>
        <v>4.8087000000000009</v>
      </c>
      <c r="O108" s="151">
        <f t="shared" si="127"/>
        <v>4.8555000000000001</v>
      </c>
      <c r="P108" s="151">
        <f t="shared" si="127"/>
        <v>2.9796</v>
      </c>
      <c r="Q108" s="151">
        <f>$B108*(Q90-Q$86-1.7)</f>
        <v>2.8846999999999992</v>
      </c>
      <c r="R108" s="132"/>
      <c r="S108" s="131"/>
      <c r="T108" s="131"/>
      <c r="U108" s="132"/>
      <c r="V108" s="132"/>
      <c r="W108" s="132"/>
      <c r="X108" s="132" t="e">
        <v>#REF!</v>
      </c>
      <c r="Y108" s="132"/>
      <c r="Z108" s="132"/>
      <c r="AA108" s="132"/>
      <c r="AB108" s="132"/>
      <c r="AC108" s="132"/>
      <c r="AD108" s="151">
        <f t="shared" si="128"/>
        <v>3.0467666666666675</v>
      </c>
      <c r="AE108" s="151">
        <f t="shared" si="128"/>
        <v>3.5100000000000002</v>
      </c>
      <c r="AF108" s="151"/>
      <c r="AG108" s="151">
        <f t="shared" si="128"/>
        <v>4.1145000000000005</v>
      </c>
      <c r="AH108" s="7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>
      <c r="B109" s="149">
        <v>0.12</v>
      </c>
      <c r="C109" s="149">
        <v>0.12</v>
      </c>
      <c r="D109" s="150"/>
      <c r="E109" s="150"/>
      <c r="F109" s="151">
        <f>$B$109*((F91/6.5)-(F$86-1.7))</f>
        <v>0.20399999999999999</v>
      </c>
      <c r="G109" s="151">
        <f>$B$109*((G91/6.5)-(G$86-1.7))</f>
        <v>-5.637637662992125</v>
      </c>
      <c r="H109" s="151">
        <f>$B$109*((H91/6.5)-(H$86-1.7))</f>
        <v>-4.8036857088208089</v>
      </c>
      <c r="I109" s="151">
        <f>$B$109*((I91/6.5)-(I$86-1.7))</f>
        <v>-4.5491414900060576</v>
      </c>
      <c r="J109" s="36"/>
      <c r="K109" s="151">
        <f t="shared" ref="K109:M109" si="129">$B$109*((K91/6.5)-(K$86-1.7))</f>
        <v>-0.88577076923076925</v>
      </c>
      <c r="L109" s="151">
        <f t="shared" si="129"/>
        <v>-0.88175538461538472</v>
      </c>
      <c r="M109" s="151">
        <f t="shared" si="129"/>
        <v>-0.90721384615384548</v>
      </c>
      <c r="N109" s="151">
        <f>$B$109*((N91/6.5)-(N$86-1.7))</f>
        <v>-0.73502076923076998</v>
      </c>
      <c r="O109" s="151">
        <f>$B$109*((O91/6.5)-(O$86-1.7))</f>
        <v>-0.58535384615384611</v>
      </c>
      <c r="P109" s="151">
        <f>$B$109*((P91/6.5)-(P$86-1.7))</f>
        <v>-0.23717538461538468</v>
      </c>
      <c r="Q109" s="151">
        <f>$B$109*((Q91/6.5)-(Q$86-1.7))</f>
        <v>-0.46655897435897398</v>
      </c>
      <c r="R109" s="132"/>
      <c r="S109" s="131"/>
      <c r="T109" s="131"/>
      <c r="U109" s="132"/>
      <c r="V109" s="132"/>
      <c r="W109" s="132"/>
      <c r="X109" s="132" t="e">
        <v>#REF!</v>
      </c>
      <c r="Y109" s="132"/>
      <c r="Z109" s="132"/>
      <c r="AA109" s="132"/>
      <c r="AB109" s="132"/>
      <c r="AC109" s="132"/>
      <c r="AD109" s="151">
        <f t="shared" ref="AD109:AG109" si="130">$B$109*((AD91/6.5)-(AD$86-1.7))</f>
        <v>-0.4294704273504274</v>
      </c>
      <c r="AE109" s="151">
        <f t="shared" si="130"/>
        <v>-0.64159999999999962</v>
      </c>
      <c r="AF109" s="151"/>
      <c r="AG109" s="151">
        <f t="shared" si="130"/>
        <v>-0.70906153846153863</v>
      </c>
      <c r="AH109" s="7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>
      <c r="B110" s="149">
        <v>0.03</v>
      </c>
      <c r="C110" s="149">
        <v>0.03</v>
      </c>
      <c r="D110" s="150"/>
      <c r="E110" s="150"/>
      <c r="F110" s="151">
        <f>$B110*(F93-F$86-1.7)</f>
        <v>-5.0999999999999997E-2</v>
      </c>
      <c r="G110" s="151">
        <f>$B110*(G93-G$86-1.7)</f>
        <v>-1.7363999999999999</v>
      </c>
      <c r="H110" s="151">
        <f>$B110*(H93-H$86-1.7)</f>
        <v>-1.4817236842105261</v>
      </c>
      <c r="I110" s="151">
        <f>$B110*(I93-I$86-1.7)</f>
        <v>-1.4122500000000002</v>
      </c>
      <c r="J110" s="36"/>
      <c r="K110" s="151">
        <f t="shared" ref="K110:M110" si="131">$B110*(K93-K$86-1.7)</f>
        <v>-1.5</v>
      </c>
      <c r="L110" s="151">
        <f t="shared" si="131"/>
        <v>-1.4565000000000001</v>
      </c>
      <c r="M110" s="151">
        <f t="shared" si="131"/>
        <v>-1.5100499999999999</v>
      </c>
      <c r="N110" s="151">
        <f>$B110*(N93-N$86-1.7)</f>
        <v>-1.4385000000000001</v>
      </c>
      <c r="O110" s="151">
        <f>$B110*(O93-O$86-1.7)</f>
        <v>-5.0999999999999997E-2</v>
      </c>
      <c r="P110" s="151">
        <f>$B110*(P93-P$86-1.7)</f>
        <v>-0.85529999999999995</v>
      </c>
      <c r="Q110" s="151">
        <f>$B110*(Q93-Q$86-1.7)</f>
        <v>-0.92908333333333326</v>
      </c>
      <c r="R110" s="132"/>
      <c r="S110" s="131"/>
      <c r="T110" s="131"/>
      <c r="U110" s="132"/>
      <c r="V110" s="132"/>
      <c r="W110" s="132"/>
      <c r="X110" s="132" t="e">
        <v>#REF!</v>
      </c>
      <c r="Y110" s="132"/>
      <c r="Z110" s="132"/>
      <c r="AA110" s="132"/>
      <c r="AB110" s="132"/>
      <c r="AC110" s="132"/>
      <c r="AD110" s="151">
        <f t="shared" ref="AD110:AG110" si="132">$B110*(AD93-AD$86-1.7)</f>
        <v>-0.91979444444444447</v>
      </c>
      <c r="AE110" s="151">
        <f t="shared" si="132"/>
        <v>-0.99899999999999989</v>
      </c>
      <c r="AF110" s="151"/>
      <c r="AG110" s="151">
        <f t="shared" si="132"/>
        <v>-1.2430000000000001</v>
      </c>
      <c r="AH110" s="7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>
      <c r="B111" s="149">
        <v>0.09</v>
      </c>
      <c r="C111" s="149">
        <v>0.09</v>
      </c>
      <c r="D111" s="150"/>
      <c r="E111" s="150"/>
      <c r="F111" s="151"/>
      <c r="G111" s="151"/>
      <c r="H111" s="151"/>
      <c r="I111" s="151"/>
      <c r="J111" s="36"/>
      <c r="K111" s="151"/>
      <c r="L111" s="151"/>
      <c r="M111" s="151"/>
      <c r="N111" s="151"/>
      <c r="O111" s="151"/>
      <c r="P111" s="151"/>
      <c r="Q111" s="151"/>
      <c r="R111" s="132"/>
      <c r="S111" s="131"/>
      <c r="T111" s="131"/>
      <c r="U111" s="132"/>
      <c r="V111" s="132"/>
      <c r="W111" s="132"/>
      <c r="X111" s="132"/>
      <c r="Y111" s="132"/>
      <c r="Z111" s="132"/>
      <c r="AA111" s="132"/>
      <c r="AB111" s="132"/>
      <c r="AC111" s="132"/>
      <c r="AD111" s="151"/>
      <c r="AE111" s="151"/>
      <c r="AF111" s="151"/>
      <c r="AG111" s="151"/>
      <c r="AH111" s="7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>
      <c r="B112" s="129"/>
      <c r="C112" s="129"/>
      <c r="D112" s="130"/>
      <c r="E112" s="130"/>
      <c r="F112" s="151">
        <f>SUM(F104:F110)</f>
        <v>-1.6879999999999999</v>
      </c>
      <c r="G112" s="151">
        <f>SUM(G104:G110)</f>
        <v>-1.2320026629921286</v>
      </c>
      <c r="H112" s="151">
        <f t="shared" ref="H112" si="133">SUM(H104:H110)</f>
        <v>-0.17026991934711599</v>
      </c>
      <c r="I112" s="151">
        <f>SUM(I104:I110)</f>
        <v>2.9612135099939429</v>
      </c>
      <c r="J112" s="36"/>
      <c r="K112" s="151" t="e">
        <f t="shared" ref="K112:M112" si="134">SUM(K104:K110)</f>
        <v>#REF!</v>
      </c>
      <c r="L112" s="151" t="e">
        <f t="shared" si="134"/>
        <v>#REF!</v>
      </c>
      <c r="M112" s="151">
        <f t="shared" si="134"/>
        <v>5.503136153846155</v>
      </c>
      <c r="N112" s="151">
        <f>SUM(N104:N110)</f>
        <v>6.2379292307692298</v>
      </c>
      <c r="O112" s="151">
        <f>SUM(O104:O110)</f>
        <v>8.3611461538461516</v>
      </c>
      <c r="P112" s="151">
        <f>SUM(P104:P110)</f>
        <v>6.4454246153846162</v>
      </c>
      <c r="Q112" s="151">
        <f t="shared" ref="Q112" si="135">SUM(Q104:Q110)</f>
        <v>4.6178576923076911</v>
      </c>
      <c r="R112" s="132"/>
      <c r="S112" s="131"/>
      <c r="T112" s="131"/>
      <c r="U112" s="132"/>
      <c r="V112" s="132"/>
      <c r="W112" s="132"/>
      <c r="X112" s="132" t="e">
        <v>#REF!</v>
      </c>
      <c r="Y112" s="132"/>
      <c r="Z112" s="132"/>
      <c r="AA112" s="132"/>
      <c r="AB112" s="132"/>
      <c r="AC112" s="132"/>
      <c r="AD112" s="151">
        <f t="shared" ref="AD112:AG112" si="136">SUM(AD104:AD110)</f>
        <v>5.4255351282051292</v>
      </c>
      <c r="AE112" s="151">
        <f t="shared" si="136"/>
        <v>5.5597333333333356</v>
      </c>
      <c r="AF112" s="151"/>
      <c r="AG112" s="151">
        <f t="shared" si="136"/>
        <v>5.3502717948717953</v>
      </c>
      <c r="AH112" s="7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H113" s="7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H114" s="7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H115" s="7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02"/>
      <c r="AH116" s="7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02"/>
      <c r="AH117" s="7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02"/>
      <c r="AH118" s="7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02"/>
      <c r="AH119" s="7"/>
    </row>
    <row r="120" spans="1:358">
      <c r="AH120" s="7"/>
    </row>
    <row r="121" spans="1:358">
      <c r="AH121" s="7"/>
    </row>
    <row r="122" spans="1:358">
      <c r="A122" s="199"/>
      <c r="AH122" s="7"/>
    </row>
    <row r="123" spans="1:358">
      <c r="A123" s="199"/>
      <c r="AH123" s="7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5"/>
      <c r="T124" s="5"/>
      <c r="U124" s="3"/>
      <c r="V124" s="3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194"/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3"/>
      <c r="S125" s="5"/>
      <c r="T125" s="5"/>
      <c r="U125" s="3"/>
      <c r="V125" s="3"/>
      <c r="W125" s="3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194"/>
      <c r="B126" s="2"/>
      <c r="C126" s="2"/>
      <c r="F126" s="3"/>
      <c r="G126" s="3"/>
      <c r="H126" s="3"/>
      <c r="I126" s="3"/>
      <c r="J126" s="4"/>
      <c r="K126" s="3"/>
      <c r="L126" s="3"/>
      <c r="M126" s="3"/>
      <c r="N126" s="3"/>
      <c r="O126" s="3"/>
      <c r="P126" s="3"/>
      <c r="Q126" s="3"/>
      <c r="R126" s="3"/>
      <c r="S126" s="5"/>
      <c r="T126" s="5"/>
      <c r="U126" s="3"/>
      <c r="V126" s="3"/>
      <c r="W126" s="3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194"/>
      <c r="B127" s="2"/>
      <c r="C127" s="2"/>
      <c r="F127" s="3"/>
      <c r="G127" s="3"/>
      <c r="H127" s="3"/>
      <c r="I127" s="3"/>
      <c r="J127" s="4"/>
      <c r="K127" s="3"/>
      <c r="L127" s="3"/>
      <c r="M127" s="3"/>
      <c r="N127" s="3"/>
      <c r="O127" s="3"/>
      <c r="P127" s="3"/>
      <c r="Q127" s="3"/>
      <c r="R127" s="3"/>
      <c r="S127" s="5"/>
      <c r="T127" s="5"/>
      <c r="U127" s="3"/>
      <c r="V127" s="3"/>
      <c r="W127" s="3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194"/>
      <c r="B128" s="2"/>
      <c r="C128" s="2"/>
      <c r="F128" s="3"/>
      <c r="G128" s="3"/>
      <c r="H128" s="3"/>
      <c r="I128" s="3"/>
      <c r="J128" s="4"/>
      <c r="K128" s="3"/>
      <c r="L128" s="3"/>
      <c r="M128" s="3"/>
      <c r="N128" s="3"/>
      <c r="O128" s="3"/>
      <c r="P128" s="3"/>
      <c r="Q128" s="3"/>
      <c r="R128" s="3"/>
      <c r="S128" s="5"/>
      <c r="T128" s="5"/>
      <c r="U128" s="3"/>
      <c r="V128" s="3"/>
      <c r="W128" s="3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194"/>
      <c r="B129" s="2"/>
      <c r="C129" s="2"/>
      <c r="F129" s="3"/>
      <c r="G129" s="3"/>
      <c r="H129" s="3"/>
      <c r="I129" s="3"/>
      <c r="J129" s="4"/>
      <c r="K129" s="3"/>
      <c r="L129" s="3"/>
      <c r="M129" s="3"/>
      <c r="N129" s="3"/>
      <c r="O129" s="3"/>
      <c r="P129" s="3"/>
      <c r="Q129" s="3"/>
      <c r="R129" s="3"/>
      <c r="S129" s="5"/>
      <c r="T129" s="5"/>
      <c r="U129" s="3"/>
      <c r="V129" s="3"/>
      <c r="W129" s="3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194"/>
      <c r="B130" s="2"/>
      <c r="C130" s="2"/>
      <c r="F130" s="3"/>
      <c r="G130" s="3"/>
      <c r="H130" s="3"/>
      <c r="I130" s="3"/>
      <c r="J130" s="4"/>
      <c r="K130" s="3"/>
      <c r="L130" s="3"/>
      <c r="M130" s="3"/>
      <c r="N130" s="3"/>
      <c r="O130" s="3"/>
      <c r="P130" s="3"/>
      <c r="Q130" s="3"/>
      <c r="R130" s="3"/>
      <c r="S130" s="5"/>
      <c r="T130" s="5"/>
      <c r="U130" s="3"/>
      <c r="V130" s="3"/>
      <c r="W130" s="3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194"/>
      <c r="B131" s="2"/>
      <c r="C131" s="2"/>
      <c r="F131" s="3"/>
      <c r="G131" s="3"/>
      <c r="H131" s="3"/>
      <c r="I131" s="3"/>
      <c r="J131" s="4"/>
      <c r="K131" s="3"/>
      <c r="L131" s="3"/>
      <c r="M131" s="3"/>
      <c r="N131" s="3"/>
      <c r="O131" s="3"/>
      <c r="P131" s="3"/>
      <c r="Q131" s="3"/>
      <c r="R131" s="3"/>
      <c r="S131" s="5"/>
      <c r="T131" s="5"/>
      <c r="U131" s="3"/>
      <c r="V131" s="3"/>
      <c r="W131" s="3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194"/>
      <c r="B132" s="2"/>
      <c r="C132" s="2"/>
      <c r="F132" s="3"/>
      <c r="G132" s="3"/>
      <c r="H132" s="3"/>
      <c r="I132" s="3"/>
      <c r="J132" s="4"/>
      <c r="K132" s="3"/>
      <c r="L132" s="3"/>
      <c r="M132" s="3"/>
      <c r="N132" s="3"/>
      <c r="O132" s="3"/>
      <c r="P132" s="3"/>
      <c r="Q132" s="3"/>
      <c r="R132" s="3"/>
      <c r="S132" s="5"/>
      <c r="T132" s="5"/>
      <c r="U132" s="3"/>
      <c r="V132" s="3"/>
      <c r="W132" s="3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194"/>
      <c r="B133" s="2"/>
      <c r="C133" s="2"/>
      <c r="F133" s="3"/>
      <c r="G133" s="3"/>
      <c r="H133" s="3"/>
      <c r="I133" s="3"/>
      <c r="J133" s="4"/>
      <c r="K133" s="3"/>
      <c r="L133" s="3"/>
      <c r="M133" s="3"/>
      <c r="N133" s="3"/>
      <c r="O133" s="3"/>
      <c r="P133" s="3"/>
      <c r="Q133" s="3"/>
      <c r="R133" s="3"/>
      <c r="S133" s="5"/>
      <c r="T133" s="5"/>
      <c r="U133" s="3"/>
      <c r="V133" s="3"/>
      <c r="W133" s="3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194"/>
      <c r="B134" s="2"/>
      <c r="C134" s="2"/>
      <c r="F134" s="3"/>
      <c r="G134" s="3"/>
      <c r="H134" s="3"/>
      <c r="I134" s="3"/>
      <c r="J134" s="4"/>
      <c r="K134" s="3"/>
      <c r="L134" s="3"/>
      <c r="M134" s="3"/>
      <c r="N134" s="3"/>
      <c r="O134" s="3"/>
      <c r="P134" s="3"/>
      <c r="Q134" s="3"/>
      <c r="R134" s="3"/>
      <c r="S134" s="5"/>
      <c r="T134" s="5"/>
      <c r="U134" s="3"/>
      <c r="V134" s="3"/>
      <c r="W134" s="3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194"/>
      <c r="B135" s="2"/>
      <c r="C135" s="2"/>
      <c r="F135" s="3"/>
      <c r="G135" s="3"/>
      <c r="H135" s="3"/>
      <c r="I135" s="3"/>
      <c r="J135" s="4"/>
      <c r="K135" s="3"/>
      <c r="L135" s="3"/>
      <c r="M135" s="3"/>
      <c r="N135" s="3"/>
      <c r="O135" s="3"/>
      <c r="P135" s="3"/>
      <c r="Q135" s="3"/>
      <c r="R135" s="3"/>
      <c r="S135" s="5"/>
      <c r="T135" s="5"/>
      <c r="U135" s="3"/>
      <c r="V135" s="3"/>
      <c r="W135" s="3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3"/>
      <c r="S136" s="5"/>
      <c r="T136" s="5"/>
      <c r="U136" s="3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U74:U75"/>
    <mergeCell ref="V74:V75"/>
    <mergeCell ref="W74:W75"/>
    <mergeCell ref="X74:X75"/>
    <mergeCell ref="Y74:Y75"/>
    <mergeCell ref="Z74:Z75"/>
    <mergeCell ref="K74:K75"/>
    <mergeCell ref="N74:N75"/>
    <mergeCell ref="O74:O75"/>
    <mergeCell ref="P74:P75"/>
    <mergeCell ref="Q74:Q75"/>
    <mergeCell ref="R74:R75"/>
    <mergeCell ref="A66:C66"/>
    <mergeCell ref="E74:E75"/>
    <mergeCell ref="F74:F75"/>
    <mergeCell ref="G74:G75"/>
    <mergeCell ref="H74:H75"/>
    <mergeCell ref="I74:I75"/>
    <mergeCell ref="AC63:AC64"/>
    <mergeCell ref="AD63:AD64"/>
    <mergeCell ref="AE63:AE64"/>
    <mergeCell ref="O63:O64"/>
    <mergeCell ref="P63:P64"/>
    <mergeCell ref="Q63:Q64"/>
    <mergeCell ref="R63:R64"/>
    <mergeCell ref="U63:U64"/>
    <mergeCell ref="V63:V64"/>
    <mergeCell ref="AF63:AF64"/>
    <mergeCell ref="AG63:AG64"/>
    <mergeCell ref="AH63:AH64"/>
    <mergeCell ref="W63:W64"/>
    <mergeCell ref="X63:X64"/>
    <mergeCell ref="Y63:Y64"/>
    <mergeCell ref="Z63:Z64"/>
    <mergeCell ref="AA63:AA64"/>
    <mergeCell ref="AB63:AB64"/>
    <mergeCell ref="AG52:AG53"/>
    <mergeCell ref="AH52:AH53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AB52:AB53"/>
    <mergeCell ref="AC52:AC53"/>
    <mergeCell ref="AD52:AD53"/>
    <mergeCell ref="AE52:AE53"/>
    <mergeCell ref="AF52:AF53"/>
    <mergeCell ref="U52:U53"/>
    <mergeCell ref="V52:V53"/>
    <mergeCell ref="W52:W53"/>
    <mergeCell ref="X52:X53"/>
    <mergeCell ref="Y52:Y53"/>
    <mergeCell ref="Z52:Z53"/>
    <mergeCell ref="K52:K53"/>
    <mergeCell ref="N52:N53"/>
    <mergeCell ref="O52:O53"/>
    <mergeCell ref="P52:P53"/>
    <mergeCell ref="Q52:Q53"/>
    <mergeCell ref="R52:R53"/>
    <mergeCell ref="A42:C42"/>
    <mergeCell ref="E52:E53"/>
    <mergeCell ref="F52:F53"/>
    <mergeCell ref="G52:G53"/>
    <mergeCell ref="H52:H53"/>
    <mergeCell ref="I52:I53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U28:U29"/>
    <mergeCell ref="V28:V29"/>
    <mergeCell ref="W39:W40"/>
    <mergeCell ref="X39:X40"/>
    <mergeCell ref="Y39:Y40"/>
    <mergeCell ref="Z39:Z40"/>
    <mergeCell ref="AA39:AA40"/>
    <mergeCell ref="R28:R29"/>
    <mergeCell ref="O39:O40"/>
    <mergeCell ref="P39:P40"/>
    <mergeCell ref="Q39:Q40"/>
    <mergeCell ref="R39:R40"/>
    <mergeCell ref="U39:U40"/>
    <mergeCell ref="V39:V40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R17:R18"/>
    <mergeCell ref="U17:U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P5:P6"/>
    <mergeCell ref="Q5:Q6"/>
    <mergeCell ref="R5:R6"/>
    <mergeCell ref="U5:U6"/>
    <mergeCell ref="E5:E6"/>
    <mergeCell ref="F5:F6"/>
    <mergeCell ref="G5:G6"/>
    <mergeCell ref="H5:H6"/>
    <mergeCell ref="I5:I6"/>
    <mergeCell ref="K5:K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T136"/>
  <sheetViews>
    <sheetView topLeftCell="A4" zoomScale="80" zoomScaleNormal="80" workbookViewId="0">
      <pane xSplit="15" ySplit="3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08984375" defaultRowHeight="21" outlineLevelRow="1" outlineLevelCol="1"/>
  <cols>
    <col min="1" max="1" width="18.1796875" style="194" customWidth="1"/>
    <col min="2" max="2" width="24.90625" style="2" hidden="1" customWidth="1"/>
    <col min="3" max="3" width="21.36328125" style="2" hidden="1" customWidth="1"/>
    <col min="4" max="4" width="13.453125" style="1" hidden="1" customWidth="1"/>
    <col min="5" max="5" width="10.36328125" style="1" hidden="1" customWidth="1"/>
    <col min="6" max="9" width="11.08984375" style="3" hidden="1" customWidth="1"/>
    <col min="10" max="10" width="31.90625" style="4" hidden="1" customWidth="1"/>
    <col min="11" max="14" width="11.08984375" style="3" hidden="1" customWidth="1"/>
    <col min="15" max="15" width="15.453125" style="3" hidden="1" customWidth="1"/>
    <col min="16" max="16" width="9.1796875" style="3" customWidth="1"/>
    <col min="17" max="17" width="9.7265625" style="3" customWidth="1"/>
    <col min="18" max="18" width="10.36328125" style="3" customWidth="1"/>
    <col min="19" max="19" width="10" style="3" customWidth="1"/>
    <col min="20" max="20" width="23.08984375" style="5" hidden="1" customWidth="1" outlineLevel="1"/>
    <col min="21" max="21" width="22.36328125" style="5" hidden="1" customWidth="1" outlineLevel="1"/>
    <col min="22" max="22" width="9.08984375" style="3" customWidth="1" collapsed="1"/>
    <col min="23" max="23" width="9.08984375" style="3" customWidth="1"/>
    <col min="24" max="29" width="9.08984375" style="6" customWidth="1"/>
    <col min="30" max="30" width="8.7265625" style="6" hidden="1" customWidth="1" outlineLevel="1"/>
    <col min="31" max="33" width="9.1796875" style="6" hidden="1" customWidth="1" outlineLevel="1"/>
    <col min="34" max="34" width="8.7265625" style="153" hidden="1" customWidth="1" outlineLevel="1"/>
    <col min="35" max="35" width="10.08984375" style="7" bestFit="1" customWidth="1" collapsed="1"/>
    <col min="36" max="358" width="9.08984375" style="7"/>
    <col min="359" max="16384" width="9.0898437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2"/>
      <c r="U2" s="12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7"/>
      <c r="U3" s="17"/>
      <c r="V3" s="14"/>
      <c r="W3" s="14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8" t="s">
        <v>3</v>
      </c>
      <c r="F5" s="673" t="s">
        <v>4</v>
      </c>
      <c r="G5" s="673" t="s">
        <v>5</v>
      </c>
      <c r="H5" s="680" t="s">
        <v>6</v>
      </c>
      <c r="I5" s="673" t="s">
        <v>7</v>
      </c>
      <c r="J5" s="28" t="s">
        <v>2</v>
      </c>
      <c r="K5" s="673" t="s">
        <v>8</v>
      </c>
      <c r="L5" s="250" t="s">
        <v>9</v>
      </c>
      <c r="M5" s="250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29" t="s">
        <v>10</v>
      </c>
      <c r="U5" s="30" t="s">
        <v>11</v>
      </c>
      <c r="V5" s="673" t="s">
        <v>65</v>
      </c>
      <c r="W5" s="673" t="s">
        <v>66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73" t="s">
        <v>78</v>
      </c>
      <c r="AD5" s="688" t="s">
        <v>79</v>
      </c>
      <c r="AE5" s="688" t="s">
        <v>80</v>
      </c>
      <c r="AF5" s="688" t="s">
        <v>81</v>
      </c>
      <c r="AG5" s="690" t="s">
        <v>82</v>
      </c>
      <c r="AH5" s="685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79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187">
        <v>42461</v>
      </c>
      <c r="U6" s="188">
        <v>42491</v>
      </c>
      <c r="V6" s="674"/>
      <c r="W6" s="674"/>
      <c r="X6" s="674"/>
      <c r="Y6" s="674"/>
      <c r="Z6" s="674"/>
      <c r="AA6" s="674"/>
      <c r="AB6" s="674"/>
      <c r="AC6" s="674"/>
      <c r="AD6" s="689"/>
      <c r="AE6" s="689"/>
      <c r="AF6" s="689"/>
      <c r="AG6" s="691"/>
      <c r="AH6" s="686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2"/>
      <c r="U7" s="22"/>
      <c r="V7" s="24"/>
      <c r="W7" s="24"/>
      <c r="X7" s="24"/>
      <c r="Y7" s="23"/>
      <c r="Z7" s="24"/>
      <c r="AA7" s="24"/>
      <c r="AB7" s="24"/>
      <c r="AC7" s="23"/>
      <c r="AD7" s="24"/>
      <c r="AE7" s="24"/>
      <c r="AF7" s="24"/>
      <c r="AG7" s="24"/>
      <c r="AH7" s="238"/>
      <c r="AI7" s="266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214"/>
      <c r="U8" s="215"/>
      <c r="V8" s="39"/>
      <c r="W8" s="39"/>
      <c r="X8" s="39"/>
      <c r="Y8" s="38"/>
      <c r="Z8" s="38"/>
      <c r="AA8" s="38"/>
      <c r="AB8" s="38"/>
      <c r="AC8" s="38"/>
      <c r="AD8" s="248"/>
      <c r="AE8" s="248"/>
      <c r="AF8" s="248"/>
      <c r="AG8" s="249"/>
      <c r="AH8" s="239"/>
      <c r="AI8" s="267"/>
    </row>
    <row r="9" spans="1:358" s="46" customFormat="1" ht="18.75" hidden="1" customHeight="1" outlineLevel="1">
      <c r="A9" s="681"/>
      <c r="B9" s="682"/>
      <c r="C9" s="682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16"/>
      <c r="U9" s="217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33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29.38</v>
      </c>
      <c r="R10" s="189">
        <v>35.25</v>
      </c>
      <c r="S10" s="189">
        <v>34</v>
      </c>
      <c r="T10" s="185" t="s">
        <v>120</v>
      </c>
      <c r="U10" s="186" t="s">
        <v>121</v>
      </c>
      <c r="V10" s="189">
        <v>35</v>
      </c>
      <c r="W10" s="189">
        <v>35.5</v>
      </c>
      <c r="X10" s="189">
        <v>36.5</v>
      </c>
      <c r="Y10" s="189">
        <v>38</v>
      </c>
      <c r="Z10" s="189">
        <v>40.5</v>
      </c>
      <c r="AA10" s="189">
        <v>41</v>
      </c>
      <c r="AB10" s="189">
        <v>42</v>
      </c>
      <c r="AC10" s="189">
        <v>42.5</v>
      </c>
      <c r="AD10" s="246">
        <f>AVERAGE(P10:R10)</f>
        <v>30.48</v>
      </c>
      <c r="AE10" s="246">
        <f>AVERAGE(S10:W10)</f>
        <v>34.833333333333336</v>
      </c>
      <c r="AF10" s="246">
        <f>AVERAGE(X10:Z10)</f>
        <v>38.333333333333336</v>
      </c>
      <c r="AG10" s="247">
        <f>AVERAGE(AA10:AC10)</f>
        <v>41.833333333333336</v>
      </c>
      <c r="AH10" s="241">
        <f>AVERAGE(P10:AC10)</f>
        <v>36.369999999999997</v>
      </c>
      <c r="AI10" s="267"/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29.38</v>
      </c>
      <c r="R11" s="183">
        <v>34.5</v>
      </c>
      <c r="S11" s="183">
        <v>33</v>
      </c>
      <c r="T11" s="185" t="s">
        <v>168</v>
      </c>
      <c r="U11" s="186" t="s">
        <v>169</v>
      </c>
      <c r="V11" s="183">
        <v>33</v>
      </c>
      <c r="W11" s="183">
        <v>33.5</v>
      </c>
      <c r="X11" s="183">
        <v>35</v>
      </c>
      <c r="Y11" s="183">
        <v>36</v>
      </c>
      <c r="Z11" s="183">
        <v>37</v>
      </c>
      <c r="AA11" s="183">
        <v>39</v>
      </c>
      <c r="AB11" s="183">
        <v>40</v>
      </c>
      <c r="AC11" s="183">
        <v>41</v>
      </c>
      <c r="AD11" s="246">
        <f>AVERAGE(P11:R11)</f>
        <v>30.23</v>
      </c>
      <c r="AE11" s="246">
        <f t="shared" ref="AE11:AE13" si="1">AVERAGE(S11:W11)</f>
        <v>33.166666666666664</v>
      </c>
      <c r="AF11" s="246">
        <f t="shared" ref="AF11:AF13" si="2">AVERAGE(X11:Z11)</f>
        <v>36</v>
      </c>
      <c r="AG11" s="247">
        <f t="shared" ref="AG11:AG13" si="3">AVERAGE(AA11:AC11)</f>
        <v>40</v>
      </c>
      <c r="AH11" s="241">
        <f>AVERAGE(P11:AC11)</f>
        <v>34.849166666666669</v>
      </c>
      <c r="AI11" s="267"/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29.38</v>
      </c>
      <c r="R12" s="189">
        <v>35</v>
      </c>
      <c r="S12" s="183">
        <v>34</v>
      </c>
      <c r="T12" s="185" t="s">
        <v>156</v>
      </c>
      <c r="U12" s="186" t="s">
        <v>157</v>
      </c>
      <c r="V12" s="183">
        <v>34</v>
      </c>
      <c r="W12" s="183">
        <v>34</v>
      </c>
      <c r="X12" s="183">
        <v>36</v>
      </c>
      <c r="Y12" s="189">
        <v>37</v>
      </c>
      <c r="Z12" s="189">
        <v>37</v>
      </c>
      <c r="AA12" s="189">
        <v>40</v>
      </c>
      <c r="AB12" s="189">
        <v>40</v>
      </c>
      <c r="AC12" s="189">
        <v>40</v>
      </c>
      <c r="AD12" s="246">
        <f>AVERAGE(P12:R12)</f>
        <v>30.396666666666665</v>
      </c>
      <c r="AE12" s="246">
        <f t="shared" si="1"/>
        <v>34</v>
      </c>
      <c r="AF12" s="246">
        <f t="shared" si="2"/>
        <v>36.666666666666664</v>
      </c>
      <c r="AG12" s="247">
        <f t="shared" si="3"/>
        <v>40</v>
      </c>
      <c r="AH12" s="241">
        <f>AVERAGE(P12:AC12)</f>
        <v>35.265833333333333</v>
      </c>
      <c r="AI12" s="267"/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29.38</v>
      </c>
      <c r="R13" s="189">
        <v>32.51</v>
      </c>
      <c r="S13" s="189">
        <v>32.82</v>
      </c>
      <c r="T13" s="253" t="s">
        <v>167</v>
      </c>
      <c r="U13" s="254"/>
      <c r="V13" s="189">
        <v>33.659999999999997</v>
      </c>
      <c r="W13" s="189">
        <v>35.549999999999997</v>
      </c>
      <c r="X13" s="189">
        <v>37.200000000000003</v>
      </c>
      <c r="Y13" s="189">
        <v>37.76</v>
      </c>
      <c r="Z13" s="189">
        <v>38.07</v>
      </c>
      <c r="AA13" s="189">
        <v>40.14</v>
      </c>
      <c r="AB13" s="189">
        <v>42</v>
      </c>
      <c r="AC13" s="189">
        <v>44.5</v>
      </c>
      <c r="AD13" s="246">
        <f>AVERAGE(P13:R13)</f>
        <v>29.566666666666663</v>
      </c>
      <c r="AE13" s="246">
        <f t="shared" si="1"/>
        <v>34.01</v>
      </c>
      <c r="AF13" s="246">
        <f t="shared" si="2"/>
        <v>37.676666666666669</v>
      </c>
      <c r="AG13" s="247">
        <f t="shared" si="3"/>
        <v>42.213333333333331</v>
      </c>
      <c r="AH13" s="241">
        <f>AVERAGE(P13:AC13)</f>
        <v>35.86666666666666</v>
      </c>
      <c r="AI13" s="267"/>
    </row>
    <row r="14" spans="1:358" s="62" customFormat="1" ht="19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4">AVERAGE(J10:J13)</f>
        <v>#DIV/0!</v>
      </c>
      <c r="K14" s="59">
        <f t="shared" si="4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5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34.314999999999998</v>
      </c>
      <c r="S14" s="59">
        <f>AVERAGE(S10:S13)</f>
        <v>33.454999999999998</v>
      </c>
      <c r="T14" s="60"/>
      <c r="U14" s="60"/>
      <c r="V14" s="59">
        <f t="shared" ref="V14:AC14" si="6">AVERAGE(V10:V13)</f>
        <v>33.914999999999999</v>
      </c>
      <c r="W14" s="59">
        <f t="shared" si="6"/>
        <v>34.637500000000003</v>
      </c>
      <c r="X14" s="59">
        <f t="shared" si="6"/>
        <v>36.174999999999997</v>
      </c>
      <c r="Y14" s="59">
        <f t="shared" si="6"/>
        <v>37.19</v>
      </c>
      <c r="Z14" s="59">
        <f t="shared" si="6"/>
        <v>38.142499999999998</v>
      </c>
      <c r="AA14" s="59">
        <f t="shared" si="6"/>
        <v>40.034999999999997</v>
      </c>
      <c r="AB14" s="59">
        <f t="shared" si="6"/>
        <v>41</v>
      </c>
      <c r="AC14" s="59">
        <f t="shared" si="6"/>
        <v>42</v>
      </c>
      <c r="AD14" s="59">
        <f>AVERAGE(AD10:AD13)</f>
        <v>30.168333333333333</v>
      </c>
      <c r="AE14" s="59">
        <f t="shared" ref="AE14" si="7">AVERAGE(AE10:AE13)</f>
        <v>34.002499999999998</v>
      </c>
      <c r="AF14" s="59">
        <f>AVERAGE(AF10:AF13)</f>
        <v>37.169166666666669</v>
      </c>
      <c r="AG14" s="234">
        <f>AVERAGE(AG10:AG13)</f>
        <v>41.01166666666667</v>
      </c>
      <c r="AH14" s="242">
        <f>AVERAGE(AH10:AH13)</f>
        <v>35.587916666666665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8">Q14</f>
        <v>29.38</v>
      </c>
      <c r="R15" s="164">
        <f>R14</f>
        <v>34.314999999999998</v>
      </c>
      <c r="S15" s="164">
        <v>33.5</v>
      </c>
      <c r="T15" s="164"/>
      <c r="U15" s="164"/>
      <c r="V15" s="164">
        <v>34</v>
      </c>
      <c r="W15" s="164">
        <v>34.5</v>
      </c>
      <c r="X15" s="164">
        <v>36</v>
      </c>
      <c r="Y15" s="164">
        <v>37</v>
      </c>
      <c r="Z15" s="164">
        <v>38</v>
      </c>
      <c r="AA15" s="164">
        <v>39.5</v>
      </c>
      <c r="AB15" s="164">
        <v>41</v>
      </c>
      <c r="AC15" s="164">
        <v>42.5</v>
      </c>
      <c r="AD15" s="164">
        <f>AVERAGE(P15:R15)</f>
        <v>30.168333333333333</v>
      </c>
      <c r="AE15" s="164">
        <f>AVERAGE(S15:W15)</f>
        <v>34</v>
      </c>
      <c r="AF15" s="164">
        <f>AVERAGE(X15:Z15)</f>
        <v>37</v>
      </c>
      <c r="AG15" s="229">
        <f>AVERAGE(AA15:AC15)</f>
        <v>41</v>
      </c>
      <c r="AH15" s="242">
        <f>AVERAGE(P15:R15,S15:AC15)</f>
        <v>35.542083333333331</v>
      </c>
      <c r="AI15" s="271">
        <v>54</v>
      </c>
      <c r="AJ15" s="179"/>
      <c r="AK15" s="179"/>
    </row>
    <row r="16" spans="1:358" ht="21.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67"/>
      <c r="U16" s="67"/>
      <c r="V16" s="24"/>
      <c r="W16" s="24"/>
      <c r="X16" s="24"/>
      <c r="Y16" s="23"/>
      <c r="Z16" s="23"/>
      <c r="AA16" s="23"/>
      <c r="AB16" s="23"/>
      <c r="AC16" s="23"/>
      <c r="AD16" s="23"/>
      <c r="AE16" s="23"/>
      <c r="AF16" s="23"/>
      <c r="AG16" s="24"/>
      <c r="AH16" s="238"/>
      <c r="AI16" s="272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673" t="s">
        <v>3</v>
      </c>
      <c r="F17" s="673" t="s">
        <v>4</v>
      </c>
      <c r="G17" s="673" t="s">
        <v>5</v>
      </c>
      <c r="H17" s="673" t="s">
        <v>6</v>
      </c>
      <c r="I17" s="673" t="s">
        <v>7</v>
      </c>
      <c r="J17" s="28" t="s">
        <v>2</v>
      </c>
      <c r="K17" s="673" t="s">
        <v>8</v>
      </c>
      <c r="L17" s="250" t="s">
        <v>9</v>
      </c>
      <c r="M17" s="250" t="s">
        <v>9</v>
      </c>
      <c r="N17" s="673" t="s">
        <v>12</v>
      </c>
      <c r="O17" s="673" t="s">
        <v>13</v>
      </c>
      <c r="P17" s="673" t="s">
        <v>14</v>
      </c>
      <c r="Q17" s="673" t="s">
        <v>15</v>
      </c>
      <c r="R17" s="673" t="s">
        <v>16</v>
      </c>
      <c r="S17" s="673" t="s">
        <v>64</v>
      </c>
      <c r="T17" s="29" t="s">
        <v>10</v>
      </c>
      <c r="U17" s="30" t="s">
        <v>11</v>
      </c>
      <c r="V17" s="673" t="s">
        <v>65</v>
      </c>
      <c r="W17" s="673" t="s">
        <v>66</v>
      </c>
      <c r="X17" s="673" t="s">
        <v>67</v>
      </c>
      <c r="Y17" s="673" t="s">
        <v>68</v>
      </c>
      <c r="Z17" s="673" t="s">
        <v>69</v>
      </c>
      <c r="AA17" s="673" t="s">
        <v>70</v>
      </c>
      <c r="AB17" s="673" t="s">
        <v>77</v>
      </c>
      <c r="AC17" s="673" t="s">
        <v>78</v>
      </c>
      <c r="AD17" s="688" t="s">
        <v>79</v>
      </c>
      <c r="AE17" s="688" t="s">
        <v>80</v>
      </c>
      <c r="AF17" s="688" t="s">
        <v>81</v>
      </c>
      <c r="AG17" s="690" t="s">
        <v>82</v>
      </c>
      <c r="AH17" s="692">
        <v>2016</v>
      </c>
      <c r="AI17" s="272"/>
    </row>
    <row r="18" spans="1:358" ht="16.5" hidden="1" customHeight="1" outlineLevel="1">
      <c r="A18" s="232"/>
      <c r="B18" s="68"/>
      <c r="C18" s="68"/>
      <c r="D18" s="27"/>
      <c r="E18" s="674"/>
      <c r="F18" s="674"/>
      <c r="G18" s="674"/>
      <c r="H18" s="674"/>
      <c r="I18" s="674"/>
      <c r="J18" s="69" t="str">
        <f>$J$6</f>
        <v>(8-12 Jun)</v>
      </c>
      <c r="K18" s="674"/>
      <c r="L18" s="33" t="s">
        <v>20</v>
      </c>
      <c r="M18" s="33" t="s">
        <v>63</v>
      </c>
      <c r="N18" s="674"/>
      <c r="O18" s="674"/>
      <c r="P18" s="674"/>
      <c r="Q18" s="674"/>
      <c r="R18" s="674"/>
      <c r="S18" s="674"/>
      <c r="T18" s="187">
        <v>42430</v>
      </c>
      <c r="U18" s="188">
        <v>42461</v>
      </c>
      <c r="V18" s="674"/>
      <c r="W18" s="674"/>
      <c r="X18" s="674"/>
      <c r="Y18" s="674"/>
      <c r="Z18" s="674"/>
      <c r="AA18" s="674"/>
      <c r="AB18" s="674"/>
      <c r="AC18" s="674"/>
      <c r="AD18" s="689"/>
      <c r="AE18" s="689"/>
      <c r="AF18" s="689"/>
      <c r="AG18" s="691"/>
      <c r="AH18" s="686"/>
      <c r="AI18" s="272"/>
    </row>
    <row r="19" spans="1:358" hidden="1" outlineLevel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39"/>
      <c r="T19" s="73"/>
      <c r="U19" s="73"/>
      <c r="V19" s="39"/>
      <c r="W19" s="39"/>
      <c r="X19" s="39"/>
      <c r="Y19" s="38"/>
      <c r="Z19" s="38"/>
      <c r="AA19" s="38"/>
      <c r="AB19" s="38"/>
      <c r="AC19" s="38"/>
      <c r="AD19" s="248"/>
      <c r="AE19" s="248"/>
      <c r="AF19" s="248"/>
      <c r="AG19" s="249"/>
      <c r="AH19" s="239"/>
      <c r="AI19" s="272"/>
    </row>
    <row r="20" spans="1:358" s="77" customFormat="1" ht="21" hidden="1" customHeight="1" outlineLevel="1">
      <c r="A20" s="675"/>
      <c r="B20" s="676"/>
      <c r="C20" s="676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44"/>
      <c r="T20" s="216"/>
      <c r="U20" s="217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235"/>
      <c r="AH20" s="240"/>
      <c r="AI20" s="272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9.7899999999999991</v>
      </c>
      <c r="Q21" s="56">
        <v>4.5627777777777778</v>
      </c>
      <c r="R21" s="189">
        <v>3.25</v>
      </c>
      <c r="S21" s="189">
        <v>2</v>
      </c>
      <c r="T21" s="185" t="s">
        <v>122</v>
      </c>
      <c r="U21" s="186" t="s">
        <v>123</v>
      </c>
      <c r="V21" s="189">
        <v>1</v>
      </c>
      <c r="W21" s="189">
        <v>1.5</v>
      </c>
      <c r="X21" s="189">
        <v>1.5</v>
      </c>
      <c r="Y21" s="189">
        <v>1.25</v>
      </c>
      <c r="Z21" s="189">
        <v>1.25</v>
      </c>
      <c r="AA21" s="189">
        <v>1.5</v>
      </c>
      <c r="AB21" s="189">
        <v>2.5</v>
      </c>
      <c r="AC21" s="189">
        <v>3</v>
      </c>
      <c r="AD21" s="246">
        <f>AVERAGE(P21:R21)</f>
        <v>5.8675925925925929</v>
      </c>
      <c r="AE21" s="246">
        <f>AVERAGE(S21:W21)</f>
        <v>1.5</v>
      </c>
      <c r="AF21" s="246">
        <f>AVERAGE(X21:Z21)</f>
        <v>1.3333333333333333</v>
      </c>
      <c r="AG21" s="247">
        <f>AVERAGE(AA21:AC21)</f>
        <v>2.3333333333333335</v>
      </c>
      <c r="AH21" s="241">
        <f>AVERAGE(P21:AC21)</f>
        <v>2.7585648148148145</v>
      </c>
      <c r="AI21" s="272"/>
    </row>
    <row r="22" spans="1:358" ht="66" hidden="1" customHeight="1" outlineLevel="1">
      <c r="A22" s="47" t="s">
        <v>24</v>
      </c>
      <c r="B22" s="48">
        <f t="shared" ref="B22" si="9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9.7899999999999991</v>
      </c>
      <c r="Q22" s="50">
        <v>4.5627777777777778</v>
      </c>
      <c r="R22" s="183">
        <v>3.2</v>
      </c>
      <c r="S22" s="183">
        <v>3.5</v>
      </c>
      <c r="T22" s="185"/>
      <c r="U22" s="186" t="s">
        <v>170</v>
      </c>
      <c r="V22" s="183">
        <v>4</v>
      </c>
      <c r="W22" s="183">
        <v>4</v>
      </c>
      <c r="X22" s="183">
        <v>3.6</v>
      </c>
      <c r="Y22" s="183">
        <v>3.1</v>
      </c>
      <c r="Z22" s="183">
        <v>2.7</v>
      </c>
      <c r="AA22" s="183">
        <v>2.6</v>
      </c>
      <c r="AB22" s="183">
        <v>2.9</v>
      </c>
      <c r="AC22" s="183">
        <v>3.2</v>
      </c>
      <c r="AD22" s="246">
        <f>AVERAGE(P22:R22)</f>
        <v>5.8509259259259254</v>
      </c>
      <c r="AE22" s="246">
        <f>AVERAGE(S22:W22)</f>
        <v>3.8333333333333335</v>
      </c>
      <c r="AF22" s="246">
        <f t="shared" ref="AF22:AF24" si="10">AVERAGE(X22:Z22)</f>
        <v>3.1333333333333333</v>
      </c>
      <c r="AG22" s="247">
        <f t="shared" ref="AG22:AG24" si="11">AVERAGE(AA22:AC22)</f>
        <v>2.9</v>
      </c>
      <c r="AH22" s="241">
        <f>AVERAGE(P22:AC22)</f>
        <v>3.9293981481481488</v>
      </c>
      <c r="AI22" s="272"/>
    </row>
    <row r="23" spans="1:358" ht="62.25" hidden="1" customHeight="1" outlineLevel="1">
      <c r="A23" s="47" t="s">
        <v>25</v>
      </c>
      <c r="B23" s="78">
        <f t="shared" ref="B23" si="12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9.7899999999999991</v>
      </c>
      <c r="Q23" s="56">
        <v>4.5627777777777778</v>
      </c>
      <c r="R23" s="189">
        <v>4</v>
      </c>
      <c r="S23" s="189">
        <v>3.5</v>
      </c>
      <c r="T23" s="185" t="s">
        <v>165</v>
      </c>
      <c r="U23" s="186" t="s">
        <v>174</v>
      </c>
      <c r="V23" s="189">
        <v>4</v>
      </c>
      <c r="W23" s="189">
        <v>4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189">
        <v>4</v>
      </c>
      <c r="AD23" s="246">
        <f>AVERAGE(P23:R23)</f>
        <v>6.1175925925925929</v>
      </c>
      <c r="AE23" s="246">
        <f>AVERAGE(S23:W23)</f>
        <v>3.8333333333333335</v>
      </c>
      <c r="AF23" s="246">
        <f t="shared" si="10"/>
        <v>4.5</v>
      </c>
      <c r="AG23" s="247">
        <f t="shared" si="11"/>
        <v>4</v>
      </c>
      <c r="AH23" s="241">
        <f>AVERAGE(P23:AC23)</f>
        <v>4.6127314814814815</v>
      </c>
      <c r="AI23" s="272"/>
    </row>
    <row r="24" spans="1:358" ht="66" hidden="1" customHeight="1" outlineLevel="1" thickBot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9.7899999999999991</v>
      </c>
      <c r="Q24" s="56">
        <v>4.5627777777777778</v>
      </c>
      <c r="R24" s="189">
        <v>2.81</v>
      </c>
      <c r="S24" s="189">
        <v>2.76</v>
      </c>
      <c r="T24" s="185"/>
      <c r="U24" s="186"/>
      <c r="V24" s="189">
        <v>3.5</v>
      </c>
      <c r="W24" s="189">
        <v>3.5</v>
      </c>
      <c r="X24" s="189">
        <v>3</v>
      </c>
      <c r="Y24" s="189">
        <v>2.5</v>
      </c>
      <c r="Z24" s="189">
        <v>2.2000000000000002</v>
      </c>
      <c r="AA24" s="189">
        <v>2</v>
      </c>
      <c r="AB24" s="189">
        <v>1.8</v>
      </c>
      <c r="AC24" s="189">
        <v>1.8</v>
      </c>
      <c r="AD24" s="246">
        <f>AVERAGE(P24:R24)</f>
        <v>5.7209259259259255</v>
      </c>
      <c r="AE24" s="246">
        <f t="shared" ref="AE24" si="13">AVERAGE(S24:W24)</f>
        <v>3.2533333333333334</v>
      </c>
      <c r="AF24" s="246">
        <f t="shared" si="10"/>
        <v>2.5666666666666669</v>
      </c>
      <c r="AG24" s="247">
        <f t="shared" si="11"/>
        <v>1.8666666666666665</v>
      </c>
      <c r="AH24" s="241">
        <f>AVERAGE(P24:AC24)</f>
        <v>3.3518981481481478</v>
      </c>
      <c r="AI24" s="272"/>
    </row>
    <row r="25" spans="1:358" ht="26.25" hidden="1" customHeight="1" outlineLevel="1" thickBot="1">
      <c r="A25" s="245" t="s">
        <v>75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9.7899999999999991</v>
      </c>
      <c r="Q25" s="59">
        <f>AVERAGE(Q21:Q24)</f>
        <v>4.5627777777777778</v>
      </c>
      <c r="R25" s="59">
        <f t="shared" ref="R25" si="14">AVERAGE(R21:R24)</f>
        <v>3.3149999999999999</v>
      </c>
      <c r="S25" s="59">
        <f>AVERAGE(S21:S24)</f>
        <v>2.94</v>
      </c>
      <c r="T25" s="59"/>
      <c r="U25" s="59"/>
      <c r="V25" s="59">
        <f t="shared" ref="V25:AC25" si="15">AVERAGE(V21:V24)</f>
        <v>3.125</v>
      </c>
      <c r="W25" s="59">
        <f t="shared" si="15"/>
        <v>3.25</v>
      </c>
      <c r="X25" s="59">
        <f t="shared" si="15"/>
        <v>3.15</v>
      </c>
      <c r="Y25" s="59">
        <f t="shared" si="15"/>
        <v>2.8374999999999999</v>
      </c>
      <c r="Z25" s="59">
        <f t="shared" si="15"/>
        <v>2.6624999999999996</v>
      </c>
      <c r="AA25" s="59">
        <f t="shared" si="15"/>
        <v>2.5249999999999999</v>
      </c>
      <c r="AB25" s="59">
        <f t="shared" si="15"/>
        <v>2.8000000000000003</v>
      </c>
      <c r="AC25" s="59">
        <f t="shared" si="15"/>
        <v>3</v>
      </c>
      <c r="AD25" s="59">
        <f>AVERAGE(AD21:AD24)</f>
        <v>5.8892592592592594</v>
      </c>
      <c r="AE25" s="59">
        <f>AVERAGE(AE21:AE24)</f>
        <v>3.1050000000000004</v>
      </c>
      <c r="AF25" s="59">
        <f t="shared" ref="AF25:AG25" si="16">AVERAGE(AF21:AF24)</f>
        <v>2.8833333333333333</v>
      </c>
      <c r="AG25" s="234">
        <f t="shared" si="16"/>
        <v>2.7750000000000004</v>
      </c>
      <c r="AH25" s="242">
        <f>AVERAGE(AH21:AH24)</f>
        <v>3.6631481481481485</v>
      </c>
      <c r="AI25" s="272"/>
    </row>
    <row r="26" spans="1:358" ht="19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9.7899999999999991</v>
      </c>
      <c r="Q26" s="164">
        <f t="shared" ref="Q26" si="17">Q25</f>
        <v>4.5627777777777778</v>
      </c>
      <c r="R26" s="164">
        <f>R25</f>
        <v>3.3149999999999999</v>
      </c>
      <c r="S26" s="164">
        <v>3</v>
      </c>
      <c r="T26" s="164"/>
      <c r="U26" s="164"/>
      <c r="V26" s="164">
        <v>3.5</v>
      </c>
      <c r="W26" s="164">
        <v>4</v>
      </c>
      <c r="X26" s="164">
        <v>3.5</v>
      </c>
      <c r="Y26" s="164">
        <v>3</v>
      </c>
      <c r="Z26" s="164">
        <v>2.7</v>
      </c>
      <c r="AA26" s="164">
        <v>2.7</v>
      </c>
      <c r="AB26" s="164">
        <v>2.7</v>
      </c>
      <c r="AC26" s="164">
        <v>3</v>
      </c>
      <c r="AD26" s="164">
        <f>AVERAGE(P26:R26)</f>
        <v>5.8892592592592594</v>
      </c>
      <c r="AE26" s="164">
        <f>AVERAGE(S26:W26)</f>
        <v>3.5</v>
      </c>
      <c r="AF26" s="164">
        <f>AVERAGE(X26:Z26)</f>
        <v>3.0666666666666664</v>
      </c>
      <c r="AG26" s="229">
        <f>AVERAGE(AA26:AC26)</f>
        <v>2.8000000000000003</v>
      </c>
      <c r="AH26" s="242">
        <f>AVERAGE(P26:R26,S26:AC26)</f>
        <v>3.8139814814814823</v>
      </c>
      <c r="AI26" s="271">
        <v>-1</v>
      </c>
    </row>
    <row r="27" spans="1:358" ht="21.5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24"/>
      <c r="T27" s="67"/>
      <c r="U27" s="67"/>
      <c r="V27" s="24"/>
      <c r="W27" s="24"/>
      <c r="X27" s="24"/>
      <c r="Y27" s="23"/>
      <c r="Z27" s="23"/>
      <c r="AA27" s="23"/>
      <c r="AB27" s="23"/>
      <c r="AC27" s="23"/>
      <c r="AD27" s="23"/>
      <c r="AE27" s="23"/>
      <c r="AF27" s="23"/>
      <c r="AG27" s="24"/>
      <c r="AH27" s="238"/>
      <c r="AI27" s="272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673" t="s">
        <v>3</v>
      </c>
      <c r="F28" s="673" t="s">
        <v>4</v>
      </c>
      <c r="G28" s="673" t="s">
        <v>5</v>
      </c>
      <c r="H28" s="673" t="s">
        <v>6</v>
      </c>
      <c r="I28" s="673" t="s">
        <v>7</v>
      </c>
      <c r="J28" s="28" t="s">
        <v>2</v>
      </c>
      <c r="K28" s="673" t="s">
        <v>8</v>
      </c>
      <c r="L28" s="250" t="s">
        <v>9</v>
      </c>
      <c r="M28" s="250" t="s">
        <v>9</v>
      </c>
      <c r="N28" s="673" t="s">
        <v>12</v>
      </c>
      <c r="O28" s="673" t="s">
        <v>13</v>
      </c>
      <c r="P28" s="673" t="s">
        <v>14</v>
      </c>
      <c r="Q28" s="673" t="s">
        <v>15</v>
      </c>
      <c r="R28" s="673" t="s">
        <v>16</v>
      </c>
      <c r="S28" s="673" t="s">
        <v>64</v>
      </c>
      <c r="T28" s="29" t="s">
        <v>10</v>
      </c>
      <c r="U28" s="30" t="s">
        <v>11</v>
      </c>
      <c r="V28" s="673" t="s">
        <v>65</v>
      </c>
      <c r="W28" s="673" t="s">
        <v>66</v>
      </c>
      <c r="X28" s="673" t="s">
        <v>67</v>
      </c>
      <c r="Y28" s="673" t="s">
        <v>68</v>
      </c>
      <c r="Z28" s="673" t="s">
        <v>69</v>
      </c>
      <c r="AA28" s="673" t="s">
        <v>70</v>
      </c>
      <c r="AB28" s="673" t="s">
        <v>77</v>
      </c>
      <c r="AC28" s="673" t="s">
        <v>78</v>
      </c>
      <c r="AD28" s="688" t="s">
        <v>79</v>
      </c>
      <c r="AE28" s="688" t="s">
        <v>80</v>
      </c>
      <c r="AF28" s="688" t="s">
        <v>81</v>
      </c>
      <c r="AG28" s="690" t="s">
        <v>82</v>
      </c>
      <c r="AH28" s="692">
        <v>2016</v>
      </c>
      <c r="AI28" s="272"/>
    </row>
    <row r="29" spans="1:358" ht="16.5" hidden="1" customHeight="1" outlineLevel="1">
      <c r="A29" s="31"/>
      <c r="B29" s="68"/>
      <c r="C29" s="68"/>
      <c r="D29" s="27"/>
      <c r="E29" s="674"/>
      <c r="F29" s="674"/>
      <c r="G29" s="674"/>
      <c r="H29" s="674"/>
      <c r="I29" s="674"/>
      <c r="J29" s="69" t="str">
        <f>$J$6</f>
        <v>(8-12 Jun)</v>
      </c>
      <c r="K29" s="674"/>
      <c r="L29" s="33" t="s">
        <v>20</v>
      </c>
      <c r="M29" s="33" t="s">
        <v>63</v>
      </c>
      <c r="N29" s="674"/>
      <c r="O29" s="674"/>
      <c r="P29" s="674"/>
      <c r="Q29" s="674"/>
      <c r="R29" s="674"/>
      <c r="S29" s="674"/>
      <c r="T29" s="187">
        <v>42430</v>
      </c>
      <c r="U29" s="188">
        <v>42461</v>
      </c>
      <c r="V29" s="674"/>
      <c r="W29" s="674"/>
      <c r="X29" s="674"/>
      <c r="Y29" s="674"/>
      <c r="Z29" s="674"/>
      <c r="AA29" s="674"/>
      <c r="AB29" s="674"/>
      <c r="AC29" s="674"/>
      <c r="AD29" s="689"/>
      <c r="AE29" s="689"/>
      <c r="AF29" s="689"/>
      <c r="AG29" s="691"/>
      <c r="AH29" s="686"/>
      <c r="AI29" s="272"/>
    </row>
    <row r="30" spans="1:358" hidden="1" outlineLevel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39"/>
      <c r="T30" s="73"/>
      <c r="U30" s="73"/>
      <c r="V30" s="39"/>
      <c r="W30" s="39"/>
      <c r="X30" s="39"/>
      <c r="Y30" s="38"/>
      <c r="Z30" s="38"/>
      <c r="AA30" s="38"/>
      <c r="AB30" s="38"/>
      <c r="AC30" s="38"/>
      <c r="AD30" s="248"/>
      <c r="AE30" s="248"/>
      <c r="AF30" s="248"/>
      <c r="AG30" s="249"/>
      <c r="AH30" s="239"/>
      <c r="AI30" s="272"/>
    </row>
    <row r="31" spans="1:358" s="77" customFormat="1" ht="21" hidden="1" customHeight="1" outlineLevel="1">
      <c r="A31" s="683"/>
      <c r="B31" s="684"/>
      <c r="C31" s="684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44"/>
      <c r="T31" s="218"/>
      <c r="U31" s="219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235"/>
      <c r="AH31" s="240"/>
      <c r="AI31" s="272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23.61</v>
      </c>
      <c r="Q32" s="56">
        <v>15.2</v>
      </c>
      <c r="R32" s="189">
        <v>18.5</v>
      </c>
      <c r="S32" s="189">
        <v>21</v>
      </c>
      <c r="T32" s="185" t="s">
        <v>88</v>
      </c>
      <c r="U32" s="186" t="s">
        <v>89</v>
      </c>
      <c r="V32" s="189">
        <v>21</v>
      </c>
      <c r="W32" s="189">
        <v>20</v>
      </c>
      <c r="X32" s="189">
        <v>18.5</v>
      </c>
      <c r="Y32" s="189">
        <v>17.5</v>
      </c>
      <c r="Z32" s="189">
        <v>16</v>
      </c>
      <c r="AA32" s="189">
        <v>16</v>
      </c>
      <c r="AB32" s="189">
        <v>15</v>
      </c>
      <c r="AC32" s="189">
        <v>14.5</v>
      </c>
      <c r="AD32" s="246">
        <f>AVERAGE(P32:R32)</f>
        <v>19.103333333333335</v>
      </c>
      <c r="AE32" s="246">
        <f>AVERAGE(S32:W32)</f>
        <v>20.666666666666668</v>
      </c>
      <c r="AF32" s="246">
        <f>AVERAGE(X32:Z32)</f>
        <v>17.333333333333332</v>
      </c>
      <c r="AG32" s="247">
        <f>AVERAGE(AA32:AC32)</f>
        <v>15.166666666666666</v>
      </c>
      <c r="AH32" s="241">
        <f>AVERAGE(P32:AC32)</f>
        <v>18.067499999999999</v>
      </c>
      <c r="AI32" s="272"/>
    </row>
    <row r="33" spans="1:358" ht="54.75" hidden="1" customHeight="1" outlineLevel="1">
      <c r="A33" s="47" t="s">
        <v>24</v>
      </c>
      <c r="B33" s="78">
        <f t="shared" ref="B33" si="18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23.61</v>
      </c>
      <c r="Q33" s="56">
        <v>15.2</v>
      </c>
      <c r="R33" s="183">
        <v>17.8</v>
      </c>
      <c r="S33" s="183">
        <v>19</v>
      </c>
      <c r="T33" s="185"/>
      <c r="U33" s="186"/>
      <c r="V33" s="183">
        <v>20.5</v>
      </c>
      <c r="W33" s="183">
        <v>21.5</v>
      </c>
      <c r="X33" s="183">
        <v>21</v>
      </c>
      <c r="Y33" s="183">
        <v>19.8</v>
      </c>
      <c r="Z33" s="183">
        <v>18</v>
      </c>
      <c r="AA33" s="183">
        <v>17.5</v>
      </c>
      <c r="AB33" s="183">
        <v>16</v>
      </c>
      <c r="AC33" s="183">
        <v>16</v>
      </c>
      <c r="AD33" s="246">
        <f>AVERAGE(P33:R33)</f>
        <v>18.87</v>
      </c>
      <c r="AE33" s="246">
        <f t="shared" ref="AE33:AE35" si="19">AVERAGE(S33:W33)</f>
        <v>20.333333333333332</v>
      </c>
      <c r="AF33" s="246">
        <f t="shared" ref="AF33:AF35" si="20">AVERAGE(X33:Z33)</f>
        <v>19.599999999999998</v>
      </c>
      <c r="AG33" s="247">
        <f t="shared" ref="AG33:AG35" si="21">AVERAGE(AA33:AC33)</f>
        <v>16.5</v>
      </c>
      <c r="AH33" s="241">
        <f>AVERAGE(P33:AC33)</f>
        <v>18.825833333333335</v>
      </c>
      <c r="AI33" s="272"/>
    </row>
    <row r="34" spans="1:358" ht="54.75" hidden="1" customHeight="1" outlineLevel="1">
      <c r="A34" s="47" t="s">
        <v>25</v>
      </c>
      <c r="B34" s="48">
        <f t="shared" ref="B34" si="22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23.61</v>
      </c>
      <c r="Q34" s="56">
        <v>15.2</v>
      </c>
      <c r="R34" s="189">
        <v>18</v>
      </c>
      <c r="S34" s="189">
        <v>18</v>
      </c>
      <c r="T34" s="185" t="s">
        <v>166</v>
      </c>
      <c r="U34" s="186" t="s">
        <v>96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189">
        <v>17.5</v>
      </c>
      <c r="AD34" s="246">
        <f>AVERAGE(P34:R34)</f>
        <v>18.936666666666667</v>
      </c>
      <c r="AE34" s="246">
        <f t="shared" si="19"/>
        <v>18.833333333333332</v>
      </c>
      <c r="AF34" s="246">
        <f t="shared" si="20"/>
        <v>19</v>
      </c>
      <c r="AG34" s="247">
        <f t="shared" si="21"/>
        <v>17.5</v>
      </c>
      <c r="AH34" s="241">
        <f>AVERAGE(P34:AC34)</f>
        <v>18.567499999999999</v>
      </c>
      <c r="AI34" s="272"/>
    </row>
    <row r="35" spans="1:358" ht="47.25" hidden="1" customHeight="1" outlineLevel="1" thickBot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23.61</v>
      </c>
      <c r="Q35" s="56">
        <v>15.2</v>
      </c>
      <c r="R35" s="189">
        <v>18.55</v>
      </c>
      <c r="S35" s="189">
        <v>20.09</v>
      </c>
      <c r="T35" s="185" t="s">
        <v>171</v>
      </c>
      <c r="U35" s="186"/>
      <c r="V35" s="189">
        <v>20.65</v>
      </c>
      <c r="W35" s="189">
        <v>20.73</v>
      </c>
      <c r="X35" s="189">
        <v>17.100000000000001</v>
      </c>
      <c r="Y35" s="189">
        <v>15.9</v>
      </c>
      <c r="Z35" s="189">
        <v>14.3</v>
      </c>
      <c r="AA35" s="189">
        <v>14.4</v>
      </c>
      <c r="AB35" s="189">
        <v>14</v>
      </c>
      <c r="AC35" s="189">
        <v>13.9</v>
      </c>
      <c r="AD35" s="246">
        <f>AVERAGE(P35:R35)</f>
        <v>19.12</v>
      </c>
      <c r="AE35" s="246">
        <f t="shared" si="19"/>
        <v>20.49</v>
      </c>
      <c r="AF35" s="246">
        <f t="shared" si="20"/>
        <v>15.766666666666666</v>
      </c>
      <c r="AG35" s="247">
        <f t="shared" si="21"/>
        <v>14.1</v>
      </c>
      <c r="AH35" s="241">
        <f>AVERAGE(P35:AC35)</f>
        <v>17.369166666666668</v>
      </c>
      <c r="AI35" s="272"/>
    </row>
    <row r="36" spans="1:358" s="62" customFormat="1" ht="19" hidden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R36" si="23">AVERAGE(J32:J35)</f>
        <v>#DIV/0!</v>
      </c>
      <c r="K36" s="59">
        <f t="shared" si="23"/>
        <v>16.482500000000002</v>
      </c>
      <c r="L36" s="59">
        <f t="shared" si="23"/>
        <v>17.25</v>
      </c>
      <c r="M36" s="59">
        <f t="shared" si="23"/>
        <v>16.372499999999999</v>
      </c>
      <c r="N36" s="59">
        <f t="shared" si="23"/>
        <v>15.8125</v>
      </c>
      <c r="O36" s="59">
        <f t="shared" si="23"/>
        <v>18.166666666666668</v>
      </c>
      <c r="P36" s="59">
        <f t="shared" si="23"/>
        <v>23.61</v>
      </c>
      <c r="Q36" s="59">
        <f t="shared" si="23"/>
        <v>15.2</v>
      </c>
      <c r="R36" s="59">
        <f t="shared" si="23"/>
        <v>18.212499999999999</v>
      </c>
      <c r="S36" s="59">
        <f t="shared" ref="S36:AC36" si="24">AVERAGE(S32:S35)</f>
        <v>19.522500000000001</v>
      </c>
      <c r="T36" s="60"/>
      <c r="U36" s="60"/>
      <c r="V36" s="59">
        <f t="shared" si="24"/>
        <v>20.162500000000001</v>
      </c>
      <c r="W36" s="59">
        <f t="shared" si="24"/>
        <v>20.557500000000001</v>
      </c>
      <c r="X36" s="59">
        <f t="shared" si="24"/>
        <v>19.149999999999999</v>
      </c>
      <c r="Y36" s="59">
        <f t="shared" si="24"/>
        <v>18.05</v>
      </c>
      <c r="Z36" s="59">
        <f t="shared" si="24"/>
        <v>16.574999999999999</v>
      </c>
      <c r="AA36" s="59">
        <f t="shared" si="24"/>
        <v>16.350000000000001</v>
      </c>
      <c r="AB36" s="59">
        <f t="shared" si="24"/>
        <v>15.625</v>
      </c>
      <c r="AC36" s="59">
        <f t="shared" si="24"/>
        <v>15.475</v>
      </c>
      <c r="AD36" s="59">
        <f>AVERAGE(AD32:AD35)</f>
        <v>19.0075</v>
      </c>
      <c r="AE36" s="59">
        <f t="shared" ref="AE36:AG36" si="25">AVERAGE(AE32:AE35)</f>
        <v>20.080833333333331</v>
      </c>
      <c r="AF36" s="59">
        <f t="shared" si="25"/>
        <v>17.924999999999997</v>
      </c>
      <c r="AG36" s="234">
        <f t="shared" si="25"/>
        <v>15.816666666666666</v>
      </c>
      <c r="AH36" s="242">
        <f>AVERAGE(AH32:AH35)</f>
        <v>18.2075</v>
      </c>
      <c r="AI36" s="273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9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23.61</v>
      </c>
      <c r="Q37" s="164">
        <f t="shared" ref="Q37" si="26">Q36</f>
        <v>15.2</v>
      </c>
      <c r="R37" s="164">
        <f>R36</f>
        <v>18.212499999999999</v>
      </c>
      <c r="S37" s="164">
        <v>19.5</v>
      </c>
      <c r="T37" s="164"/>
      <c r="U37" s="164"/>
      <c r="V37" s="164">
        <v>20</v>
      </c>
      <c r="W37" s="164">
        <v>20.5</v>
      </c>
      <c r="X37" s="164">
        <v>19.5</v>
      </c>
      <c r="Y37" s="164">
        <v>18</v>
      </c>
      <c r="Z37" s="164">
        <v>16.5</v>
      </c>
      <c r="AA37" s="164">
        <v>16</v>
      </c>
      <c r="AB37" s="164">
        <v>15</v>
      </c>
      <c r="AC37" s="164">
        <v>15</v>
      </c>
      <c r="AD37" s="164">
        <f>AVERAGE(P37:R37)</f>
        <v>19.0075</v>
      </c>
      <c r="AE37" s="164">
        <f>AVERAGE(S37:W37)</f>
        <v>20</v>
      </c>
      <c r="AF37" s="164">
        <f>AVERAGE(X37:Z37)</f>
        <v>18</v>
      </c>
      <c r="AG37" s="229">
        <f>AVERAGE(AA37:AC37)</f>
        <v>15.333333333333334</v>
      </c>
      <c r="AH37" s="242">
        <f>AVERAGE(P37:R37,S37:AC37)</f>
        <v>18.085208333333334</v>
      </c>
      <c r="AI37" s="271">
        <v>16</v>
      </c>
    </row>
    <row r="38" spans="1:358" ht="21.5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24"/>
      <c r="T38" s="67"/>
      <c r="U38" s="67"/>
      <c r="V38" s="24"/>
      <c r="W38" s="24"/>
      <c r="X38" s="24"/>
      <c r="Y38" s="23"/>
      <c r="Z38" s="23"/>
      <c r="AA38" s="23"/>
      <c r="AB38" s="23"/>
      <c r="AC38" s="23"/>
      <c r="AD38" s="23"/>
      <c r="AE38" s="23"/>
      <c r="AF38" s="23"/>
      <c r="AG38" s="24"/>
      <c r="AH38" s="238"/>
      <c r="AI38" s="272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673" t="s">
        <v>3</v>
      </c>
      <c r="F39" s="673" t="s">
        <v>4</v>
      </c>
      <c r="G39" s="673" t="s">
        <v>5</v>
      </c>
      <c r="H39" s="673" t="s">
        <v>6</v>
      </c>
      <c r="I39" s="673" t="s">
        <v>7</v>
      </c>
      <c r="J39" s="28" t="s">
        <v>2</v>
      </c>
      <c r="K39" s="673" t="s">
        <v>8</v>
      </c>
      <c r="L39" s="250" t="s">
        <v>9</v>
      </c>
      <c r="M39" s="250" t="s">
        <v>9</v>
      </c>
      <c r="N39" s="673" t="s">
        <v>12</v>
      </c>
      <c r="O39" s="673" t="s">
        <v>13</v>
      </c>
      <c r="P39" s="673" t="s">
        <v>14</v>
      </c>
      <c r="Q39" s="673" t="s">
        <v>15</v>
      </c>
      <c r="R39" s="673" t="s">
        <v>16</v>
      </c>
      <c r="S39" s="673" t="s">
        <v>64</v>
      </c>
      <c r="T39" s="29" t="s">
        <v>10</v>
      </c>
      <c r="U39" s="30" t="s">
        <v>11</v>
      </c>
      <c r="V39" s="673" t="s">
        <v>65</v>
      </c>
      <c r="W39" s="673" t="s">
        <v>66</v>
      </c>
      <c r="X39" s="673" t="s">
        <v>67</v>
      </c>
      <c r="Y39" s="673" t="s">
        <v>68</v>
      </c>
      <c r="Z39" s="673" t="s">
        <v>69</v>
      </c>
      <c r="AA39" s="673" t="s">
        <v>70</v>
      </c>
      <c r="AB39" s="673" t="s">
        <v>77</v>
      </c>
      <c r="AC39" s="673" t="s">
        <v>78</v>
      </c>
      <c r="AD39" s="688" t="s">
        <v>79</v>
      </c>
      <c r="AE39" s="688" t="s">
        <v>80</v>
      </c>
      <c r="AF39" s="688" t="s">
        <v>81</v>
      </c>
      <c r="AG39" s="690" t="s">
        <v>82</v>
      </c>
      <c r="AH39" s="692">
        <v>2016</v>
      </c>
      <c r="AI39" s="272"/>
    </row>
    <row r="40" spans="1:358" ht="16.5" hidden="1" customHeight="1" outlineLevel="1">
      <c r="A40" s="31"/>
      <c r="B40" s="68"/>
      <c r="C40" s="68"/>
      <c r="D40" s="27"/>
      <c r="E40" s="674"/>
      <c r="F40" s="674"/>
      <c r="G40" s="674"/>
      <c r="H40" s="674"/>
      <c r="I40" s="674"/>
      <c r="J40" s="69" t="str">
        <f>$J$6</f>
        <v>(8-12 Jun)</v>
      </c>
      <c r="K40" s="674"/>
      <c r="L40" s="33" t="s">
        <v>20</v>
      </c>
      <c r="M40" s="33" t="s">
        <v>63</v>
      </c>
      <c r="N40" s="674"/>
      <c r="O40" s="674"/>
      <c r="P40" s="674"/>
      <c r="Q40" s="674"/>
      <c r="R40" s="674"/>
      <c r="S40" s="674"/>
      <c r="T40" s="187">
        <f>T6</f>
        <v>42461</v>
      </c>
      <c r="U40" s="188">
        <f>U6</f>
        <v>42491</v>
      </c>
      <c r="V40" s="674"/>
      <c r="W40" s="674"/>
      <c r="X40" s="674"/>
      <c r="Y40" s="674"/>
      <c r="Z40" s="674"/>
      <c r="AA40" s="674"/>
      <c r="AB40" s="674"/>
      <c r="AC40" s="674"/>
      <c r="AD40" s="689"/>
      <c r="AE40" s="689"/>
      <c r="AF40" s="689"/>
      <c r="AG40" s="691"/>
      <c r="AH40" s="686"/>
      <c r="AI40" s="272"/>
    </row>
    <row r="41" spans="1:358" hidden="1" outlineLevel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39"/>
      <c r="T41" s="100"/>
      <c r="U41" s="100"/>
      <c r="V41" s="39"/>
      <c r="W41" s="39"/>
      <c r="X41" s="39"/>
      <c r="Y41" s="38"/>
      <c r="Z41" s="38"/>
      <c r="AA41" s="38"/>
      <c r="AB41" s="38"/>
      <c r="AC41" s="38"/>
      <c r="AD41" s="248"/>
      <c r="AE41" s="248"/>
      <c r="AF41" s="248"/>
      <c r="AG41" s="249"/>
      <c r="AH41" s="239"/>
      <c r="AI41" s="272"/>
    </row>
    <row r="42" spans="1:358" s="77" customFormat="1" ht="21" hidden="1" customHeight="1" outlineLevel="1">
      <c r="A42" s="675"/>
      <c r="B42" s="676"/>
      <c r="C42" s="676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44"/>
      <c r="T42" s="216"/>
      <c r="U42" s="217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235"/>
      <c r="AH42" s="240"/>
      <c r="AI42" s="272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11.1</v>
      </c>
      <c r="Q43" s="56">
        <v>11.62</v>
      </c>
      <c r="R43" s="181">
        <v>12</v>
      </c>
      <c r="S43" s="181">
        <v>11</v>
      </c>
      <c r="T43" s="185" t="s">
        <v>150</v>
      </c>
      <c r="U43" s="186" t="s">
        <v>151</v>
      </c>
      <c r="V43" s="181">
        <v>10.5</v>
      </c>
      <c r="W43" s="181">
        <v>10.75</v>
      </c>
      <c r="X43" s="181">
        <v>10.5</v>
      </c>
      <c r="Y43" s="181">
        <v>10</v>
      </c>
      <c r="Z43" s="181">
        <v>10</v>
      </c>
      <c r="AA43" s="181">
        <v>11.5</v>
      </c>
      <c r="AB43" s="181">
        <v>12.75</v>
      </c>
      <c r="AC43" s="181">
        <v>13.75</v>
      </c>
      <c r="AD43" s="246">
        <f>AVERAGE(P43:R43)</f>
        <v>11.573333333333332</v>
      </c>
      <c r="AE43" s="246">
        <f>AVERAGE(S43:W43)</f>
        <v>10.75</v>
      </c>
      <c r="AF43" s="246">
        <f>AVERAGE(X43:Z43)</f>
        <v>10.166666666666666</v>
      </c>
      <c r="AG43" s="247">
        <f>AVERAGE(AA43:AC43)</f>
        <v>12.666666666666666</v>
      </c>
      <c r="AH43" s="241">
        <f>AVERAGE(P43:AC43)</f>
        <v>11.289166666666667</v>
      </c>
      <c r="AI43" s="272"/>
    </row>
    <row r="44" spans="1:358" ht="60.75" hidden="1" customHeight="1" outlineLevel="1">
      <c r="A44" s="47" t="s">
        <v>24</v>
      </c>
      <c r="B44" s="78">
        <f t="shared" ref="B44" si="27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11.1</v>
      </c>
      <c r="Q44" s="56">
        <v>11.62</v>
      </c>
      <c r="R44" s="175">
        <v>12.3</v>
      </c>
      <c r="S44" s="175">
        <v>11.8</v>
      </c>
      <c r="T44" s="185"/>
      <c r="U44" s="186"/>
      <c r="V44" s="175">
        <v>11.3</v>
      </c>
      <c r="W44" s="175">
        <v>11.3</v>
      </c>
      <c r="X44" s="175">
        <v>12</v>
      </c>
      <c r="Y44" s="175">
        <v>11</v>
      </c>
      <c r="Z44" s="175">
        <v>11.7</v>
      </c>
      <c r="AA44" s="175">
        <v>13</v>
      </c>
      <c r="AB44" s="175">
        <v>14</v>
      </c>
      <c r="AC44" s="175">
        <v>13.9</v>
      </c>
      <c r="AD44" s="246">
        <f>AVERAGE(P44:R44)</f>
        <v>11.673333333333332</v>
      </c>
      <c r="AE44" s="246">
        <f t="shared" ref="AE44:AE46" si="28">AVERAGE(S44:W44)</f>
        <v>11.466666666666669</v>
      </c>
      <c r="AF44" s="246">
        <f t="shared" ref="AF44:AF46" si="29">AVERAGE(X44:Z44)</f>
        <v>11.566666666666668</v>
      </c>
      <c r="AG44" s="247">
        <f t="shared" ref="AG44:AG46" si="30">AVERAGE(AA44:AC44)</f>
        <v>13.633333333333333</v>
      </c>
      <c r="AH44" s="241">
        <f>AVERAGE(P44:AC44)</f>
        <v>12.085000000000001</v>
      </c>
      <c r="AI44" s="272"/>
    </row>
    <row r="45" spans="1:358" ht="60.75" hidden="1" customHeight="1" outlineLevel="1">
      <c r="A45" s="47" t="s">
        <v>25</v>
      </c>
      <c r="B45" s="78">
        <f t="shared" ref="B45" si="31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11.1</v>
      </c>
      <c r="Q45" s="56">
        <v>11.62</v>
      </c>
      <c r="R45" s="189">
        <v>11.5</v>
      </c>
      <c r="S45" s="181">
        <v>11.6</v>
      </c>
      <c r="T45" s="185" t="s">
        <v>161</v>
      </c>
      <c r="U45" s="186" t="s">
        <v>36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181">
        <v>12</v>
      </c>
      <c r="AD45" s="246">
        <f>AVERAGE(P45:R45)</f>
        <v>11.406666666666666</v>
      </c>
      <c r="AE45" s="246">
        <f t="shared" si="28"/>
        <v>11.200000000000001</v>
      </c>
      <c r="AF45" s="246">
        <f t="shared" si="29"/>
        <v>11.166666666666666</v>
      </c>
      <c r="AG45" s="247">
        <f t="shared" si="30"/>
        <v>11.833333333333334</v>
      </c>
      <c r="AH45" s="241">
        <f>AVERAGE(P45:AC45)</f>
        <v>11.401666666666666</v>
      </c>
      <c r="AI45" s="272"/>
    </row>
    <row r="46" spans="1:358" ht="60.75" hidden="1" customHeight="1" outlineLevel="1" thickBot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11.1</v>
      </c>
      <c r="Q46" s="56">
        <v>11.62</v>
      </c>
      <c r="R46" s="181">
        <v>12.32</v>
      </c>
      <c r="S46" s="181">
        <v>10.8</v>
      </c>
      <c r="T46" s="185" t="s">
        <v>172</v>
      </c>
      <c r="U46" s="186"/>
      <c r="V46" s="181">
        <v>10.199999999999999</v>
      </c>
      <c r="W46" s="181">
        <v>11.9</v>
      </c>
      <c r="X46" s="181">
        <v>12.5</v>
      </c>
      <c r="Y46" s="181">
        <v>10.7</v>
      </c>
      <c r="Z46" s="181">
        <v>10.3</v>
      </c>
      <c r="AA46" s="181">
        <v>12.7</v>
      </c>
      <c r="AB46" s="181">
        <v>14.65</v>
      </c>
      <c r="AC46" s="181">
        <v>14.39</v>
      </c>
      <c r="AD46" s="246">
        <f>AVERAGE(P46:R46)</f>
        <v>11.68</v>
      </c>
      <c r="AE46" s="246">
        <f t="shared" si="28"/>
        <v>10.966666666666667</v>
      </c>
      <c r="AF46" s="246">
        <f t="shared" si="29"/>
        <v>11.166666666666666</v>
      </c>
      <c r="AG46" s="247">
        <f t="shared" si="30"/>
        <v>13.913333333333334</v>
      </c>
      <c r="AH46" s="241">
        <f>AVERAGE(P46:AC46)</f>
        <v>11.931666666666667</v>
      </c>
      <c r="AI46" s="272"/>
    </row>
    <row r="47" spans="1:358" s="62" customFormat="1" ht="19" hidden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R47" si="32">AVERAGE(J43:J46)</f>
        <v>#DIV/0!</v>
      </c>
      <c r="K47" s="157">
        <f t="shared" si="32"/>
        <v>13.11</v>
      </c>
      <c r="L47" s="157">
        <f t="shared" si="32"/>
        <v>13.435000000000002</v>
      </c>
      <c r="M47" s="157">
        <f t="shared" si="32"/>
        <v>13.345000000000001</v>
      </c>
      <c r="N47" s="157">
        <f t="shared" si="32"/>
        <v>14.229999999999999</v>
      </c>
      <c r="O47" s="157">
        <f t="shared" si="32"/>
        <v>14.25</v>
      </c>
      <c r="P47" s="157">
        <f t="shared" si="32"/>
        <v>11.1</v>
      </c>
      <c r="Q47" s="157">
        <f t="shared" si="32"/>
        <v>11.62</v>
      </c>
      <c r="R47" s="157">
        <f t="shared" si="32"/>
        <v>12.03</v>
      </c>
      <c r="S47" s="59">
        <f t="shared" ref="S47:AG47" si="33">AVERAGE(S43:S46)</f>
        <v>11.3</v>
      </c>
      <c r="T47" s="158"/>
      <c r="U47" s="158"/>
      <c r="V47" s="59">
        <f t="shared" si="33"/>
        <v>10.75</v>
      </c>
      <c r="W47" s="59">
        <f t="shared" si="33"/>
        <v>11.237499999999999</v>
      </c>
      <c r="X47" s="59">
        <f t="shared" si="33"/>
        <v>11.5</v>
      </c>
      <c r="Y47" s="59">
        <f t="shared" si="33"/>
        <v>10.675000000000001</v>
      </c>
      <c r="Z47" s="59">
        <f t="shared" si="33"/>
        <v>10.875</v>
      </c>
      <c r="AA47" s="59">
        <f t="shared" si="33"/>
        <v>12.175000000000001</v>
      </c>
      <c r="AB47" s="59">
        <f t="shared" si="33"/>
        <v>13.35</v>
      </c>
      <c r="AC47" s="59">
        <f t="shared" si="33"/>
        <v>13.51</v>
      </c>
      <c r="AD47" s="59">
        <f t="shared" si="33"/>
        <v>11.583333333333332</v>
      </c>
      <c r="AE47" s="59">
        <f t="shared" si="33"/>
        <v>11.095833333333335</v>
      </c>
      <c r="AF47" s="59">
        <f t="shared" si="33"/>
        <v>11.016666666666666</v>
      </c>
      <c r="AG47" s="234">
        <f t="shared" si="33"/>
        <v>13.011666666666667</v>
      </c>
      <c r="AH47" s="242">
        <f>AVERAGE(AH43:AH46)</f>
        <v>11.676874999999999</v>
      </c>
      <c r="AI47" s="272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5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11.1</v>
      </c>
      <c r="Q48" s="164">
        <f t="shared" ref="Q48" si="34">Q47</f>
        <v>11.62</v>
      </c>
      <c r="R48" s="164">
        <f>R47</f>
        <v>12.03</v>
      </c>
      <c r="S48" s="164">
        <f>S47</f>
        <v>11.3</v>
      </c>
      <c r="T48" s="164"/>
      <c r="U48" s="164"/>
      <c r="V48" s="164">
        <f t="shared" ref="V48:X48" si="35">V47</f>
        <v>10.75</v>
      </c>
      <c r="W48" s="164">
        <f t="shared" si="35"/>
        <v>11.237499999999999</v>
      </c>
      <c r="X48" s="164">
        <f t="shared" si="35"/>
        <v>11.5</v>
      </c>
      <c r="Y48" s="164">
        <v>10.7</v>
      </c>
      <c r="Z48" s="164">
        <v>11</v>
      </c>
      <c r="AA48" s="164">
        <v>12.2</v>
      </c>
      <c r="AB48" s="164">
        <v>13.3</v>
      </c>
      <c r="AC48" s="164">
        <v>13.8</v>
      </c>
      <c r="AD48" s="164">
        <f>AVERAGE(P48:R48)</f>
        <v>11.583333333333334</v>
      </c>
      <c r="AE48" s="164">
        <f>AVERAGE(S48:W48)</f>
        <v>11.095833333333333</v>
      </c>
      <c r="AF48" s="164">
        <f>AVERAGE(X48:Z48)</f>
        <v>11.066666666666668</v>
      </c>
      <c r="AG48" s="229">
        <f>AVERAGE(AA48:AC48)</f>
        <v>13.1</v>
      </c>
      <c r="AH48" s="242">
        <f>AVERAGE(P48:R48,S48:AC48)</f>
        <v>11.711458333333333</v>
      </c>
      <c r="AI48" s="271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5" hidden="1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1.7599999999999998</v>
      </c>
      <c r="Q49" s="157">
        <f t="shared" ref="Q49:AC50" si="36">Q47-Q60</f>
        <v>2.4599999999999991</v>
      </c>
      <c r="R49" s="157">
        <f>R47-R60</f>
        <v>1.4625000000000004</v>
      </c>
      <c r="S49" s="157">
        <f t="shared" ref="S49:AH50" si="37">S47-S60</f>
        <v>0.42500000000000071</v>
      </c>
      <c r="T49" s="159"/>
      <c r="U49" s="159"/>
      <c r="V49" s="157">
        <f t="shared" si="37"/>
        <v>1.2499999999999289E-2</v>
      </c>
      <c r="W49" s="157">
        <f t="shared" si="37"/>
        <v>0.66249999999999964</v>
      </c>
      <c r="X49" s="157">
        <f t="shared" si="37"/>
        <v>0.80000000000000071</v>
      </c>
      <c r="Y49" s="157">
        <f t="shared" si="37"/>
        <v>0.75</v>
      </c>
      <c r="Z49" s="157">
        <f t="shared" si="37"/>
        <v>0.65000000000000036</v>
      </c>
      <c r="AA49" s="157">
        <f t="shared" si="37"/>
        <v>0.77500000000000036</v>
      </c>
      <c r="AB49" s="157">
        <f t="shared" si="37"/>
        <v>0.80750000000000099</v>
      </c>
      <c r="AC49" s="157">
        <f t="shared" si="37"/>
        <v>0.70500000000000007</v>
      </c>
      <c r="AD49" s="157">
        <f t="shared" si="37"/>
        <v>1.8941666666666634</v>
      </c>
      <c r="AE49" s="157">
        <f t="shared" si="37"/>
        <v>0.36666666666666892</v>
      </c>
      <c r="AF49" s="157">
        <f t="shared" si="37"/>
        <v>0.7333333333333325</v>
      </c>
      <c r="AG49" s="236">
        <f t="shared" si="37"/>
        <v>0.76249999999999929</v>
      </c>
      <c r="AH49" s="242">
        <f t="shared" si="37"/>
        <v>0.93916666666666693</v>
      </c>
      <c r="AI49" s="272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9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1.7599999999999998</v>
      </c>
      <c r="Q50" s="164">
        <f t="shared" si="36"/>
        <v>2.4599999999999991</v>
      </c>
      <c r="R50" s="164">
        <f t="shared" si="36"/>
        <v>1.4625000000000004</v>
      </c>
      <c r="S50" s="164">
        <f t="shared" si="36"/>
        <v>0.40000000000000036</v>
      </c>
      <c r="T50" s="164"/>
      <c r="U50" s="164"/>
      <c r="V50" s="164">
        <f t="shared" si="36"/>
        <v>5.0000000000000711E-2</v>
      </c>
      <c r="W50" s="164">
        <f t="shared" si="36"/>
        <v>0.63749999999999929</v>
      </c>
      <c r="X50" s="164">
        <f t="shared" si="36"/>
        <v>0.80000000000000071</v>
      </c>
      <c r="Y50" s="164">
        <f t="shared" si="36"/>
        <v>0.79999999999999893</v>
      </c>
      <c r="Z50" s="164">
        <f t="shared" si="36"/>
        <v>0.80000000000000071</v>
      </c>
      <c r="AA50" s="164">
        <f t="shared" si="36"/>
        <v>0.79999999999999893</v>
      </c>
      <c r="AB50" s="164">
        <f t="shared" si="36"/>
        <v>0.80000000000000071</v>
      </c>
      <c r="AC50" s="164">
        <f t="shared" si="36"/>
        <v>1</v>
      </c>
      <c r="AD50" s="164">
        <f>AVERAGE(P50:R50)</f>
        <v>1.8941666666666663</v>
      </c>
      <c r="AE50" s="164">
        <f t="shared" si="37"/>
        <v>0.36249999999999893</v>
      </c>
      <c r="AF50" s="164">
        <f t="shared" si="37"/>
        <v>0.80000000000000071</v>
      </c>
      <c r="AG50" s="229">
        <f t="shared" si="37"/>
        <v>0.86666666666666536</v>
      </c>
      <c r="AH50" s="243">
        <f t="shared" si="37"/>
        <v>0.98083333333333123</v>
      </c>
      <c r="AI50" s="274">
        <f>AI48-AI60</f>
        <v>13.1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5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24"/>
      <c r="T51" s="67"/>
      <c r="U51" s="67"/>
      <c r="V51" s="24"/>
      <c r="W51" s="24"/>
      <c r="X51" s="24"/>
      <c r="Y51" s="177"/>
      <c r="Z51" s="177"/>
      <c r="AA51" s="177"/>
      <c r="AB51" s="177"/>
      <c r="AC51" s="177"/>
      <c r="AD51" s="23"/>
      <c r="AE51" s="23"/>
      <c r="AF51" s="23"/>
      <c r="AG51" s="24"/>
      <c r="AH51" s="238"/>
      <c r="AI51" s="275">
        <f>AH48-AH61</f>
        <v>0.98083333333333123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673" t="s">
        <v>3</v>
      </c>
      <c r="F52" s="673" t="s">
        <v>4</v>
      </c>
      <c r="G52" s="673" t="s">
        <v>5</v>
      </c>
      <c r="H52" s="673" t="s">
        <v>6</v>
      </c>
      <c r="I52" s="673" t="s">
        <v>7</v>
      </c>
      <c r="J52" s="28" t="s">
        <v>2</v>
      </c>
      <c r="K52" s="673" t="s">
        <v>8</v>
      </c>
      <c r="L52" s="250" t="s">
        <v>9</v>
      </c>
      <c r="M52" s="250" t="s">
        <v>9</v>
      </c>
      <c r="N52" s="673" t="s">
        <v>12</v>
      </c>
      <c r="O52" s="673" t="s">
        <v>13</v>
      </c>
      <c r="P52" s="673" t="s">
        <v>14</v>
      </c>
      <c r="Q52" s="673" t="s">
        <v>15</v>
      </c>
      <c r="R52" s="673" t="s">
        <v>16</v>
      </c>
      <c r="S52" s="673" t="s">
        <v>64</v>
      </c>
      <c r="T52" s="29" t="s">
        <v>10</v>
      </c>
      <c r="U52" s="30" t="s">
        <v>11</v>
      </c>
      <c r="V52" s="673" t="s">
        <v>65</v>
      </c>
      <c r="W52" s="673" t="s">
        <v>66</v>
      </c>
      <c r="X52" s="673" t="s">
        <v>67</v>
      </c>
      <c r="Y52" s="673" t="s">
        <v>68</v>
      </c>
      <c r="Z52" s="673" t="s">
        <v>69</v>
      </c>
      <c r="AA52" s="673" t="s">
        <v>70</v>
      </c>
      <c r="AB52" s="673" t="s">
        <v>77</v>
      </c>
      <c r="AC52" s="673" t="s">
        <v>78</v>
      </c>
      <c r="AD52" s="688" t="s">
        <v>79</v>
      </c>
      <c r="AE52" s="688" t="s">
        <v>80</v>
      </c>
      <c r="AF52" s="688" t="s">
        <v>81</v>
      </c>
      <c r="AG52" s="690" t="s">
        <v>82</v>
      </c>
      <c r="AH52" s="692">
        <v>2016</v>
      </c>
      <c r="AI52" s="267"/>
    </row>
    <row r="53" spans="1:358" ht="17.25" hidden="1" customHeight="1" outlineLevel="1">
      <c r="A53" s="31"/>
      <c r="B53" s="68"/>
      <c r="C53" s="68"/>
      <c r="D53" s="27"/>
      <c r="E53" s="674"/>
      <c r="F53" s="674"/>
      <c r="G53" s="674"/>
      <c r="H53" s="674"/>
      <c r="I53" s="674"/>
      <c r="J53" s="69" t="str">
        <f>$J$6</f>
        <v>(8-12 Jun)</v>
      </c>
      <c r="K53" s="674"/>
      <c r="L53" s="33" t="s">
        <v>20</v>
      </c>
      <c r="M53" s="33" t="s">
        <v>63</v>
      </c>
      <c r="N53" s="674"/>
      <c r="O53" s="674"/>
      <c r="P53" s="674"/>
      <c r="Q53" s="674"/>
      <c r="R53" s="674"/>
      <c r="S53" s="674"/>
      <c r="T53" s="187">
        <f>T6</f>
        <v>42461</v>
      </c>
      <c r="U53" s="188">
        <f>U6</f>
        <v>42491</v>
      </c>
      <c r="V53" s="674"/>
      <c r="W53" s="674"/>
      <c r="X53" s="674"/>
      <c r="Y53" s="674"/>
      <c r="Z53" s="674"/>
      <c r="AA53" s="674"/>
      <c r="AB53" s="674"/>
      <c r="AC53" s="674"/>
      <c r="AD53" s="689"/>
      <c r="AE53" s="689"/>
      <c r="AF53" s="689"/>
      <c r="AG53" s="691"/>
      <c r="AH53" s="686"/>
      <c r="AI53" s="267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39"/>
      <c r="T54" s="107"/>
      <c r="U54" s="107"/>
      <c r="V54" s="39"/>
      <c r="W54" s="39"/>
      <c r="X54" s="39"/>
      <c r="Y54" s="38"/>
      <c r="Z54" s="38"/>
      <c r="AA54" s="38"/>
      <c r="AB54" s="38"/>
      <c r="AC54" s="38"/>
      <c r="AD54" s="248"/>
      <c r="AE54" s="248"/>
      <c r="AF54" s="248"/>
      <c r="AG54" s="249"/>
      <c r="AH54" s="239"/>
      <c r="AI54" s="267"/>
    </row>
    <row r="55" spans="1:358" s="77" customFormat="1" ht="16.5" hidden="1" customHeight="1" outlineLevel="1">
      <c r="A55" s="675"/>
      <c r="B55" s="676"/>
      <c r="C55" s="676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44"/>
      <c r="T55" s="220"/>
      <c r="U55" s="221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235"/>
      <c r="AH55" s="240"/>
      <c r="AI55" s="268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9.34</v>
      </c>
      <c r="Q56" s="56">
        <v>9.16</v>
      </c>
      <c r="R56" s="189">
        <v>10.199999999999999</v>
      </c>
      <c r="S56" s="189">
        <v>10.6</v>
      </c>
      <c r="T56" s="185" t="s">
        <v>152</v>
      </c>
      <c r="U56" s="186" t="s">
        <v>153</v>
      </c>
      <c r="V56" s="189">
        <v>10.75</v>
      </c>
      <c r="W56" s="189">
        <v>10.5</v>
      </c>
      <c r="X56" s="189">
        <v>9.5</v>
      </c>
      <c r="Y56" s="189">
        <v>9</v>
      </c>
      <c r="Z56" s="189">
        <v>9.5</v>
      </c>
      <c r="AA56" s="189">
        <v>10.5</v>
      </c>
      <c r="AB56" s="189">
        <v>11.5</v>
      </c>
      <c r="AC56" s="189">
        <v>12.5</v>
      </c>
      <c r="AD56" s="246">
        <f>AVERAGE(P56:R56)</f>
        <v>9.5666666666666664</v>
      </c>
      <c r="AE56" s="246">
        <f>AVERAGE(S56:W56)</f>
        <v>10.616666666666667</v>
      </c>
      <c r="AF56" s="246">
        <f>AVERAGE(X56:Z56)</f>
        <v>9.3333333333333339</v>
      </c>
      <c r="AG56" s="247">
        <f>AVERAGE(AA56:AC56)</f>
        <v>11.5</v>
      </c>
      <c r="AH56" s="241">
        <f>AVERAGE(P56:AC56)</f>
        <v>10.254166666666666</v>
      </c>
      <c r="AI56" s="267"/>
    </row>
    <row r="57" spans="1:358" ht="50.25" hidden="1" customHeight="1" outlineLevel="1">
      <c r="A57" s="47" t="s">
        <v>24</v>
      </c>
      <c r="B57" s="78">
        <f t="shared" ref="B57" si="38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9.34</v>
      </c>
      <c r="Q57" s="56">
        <v>9.16</v>
      </c>
      <c r="R57" s="183">
        <v>10.8</v>
      </c>
      <c r="S57" s="183">
        <v>11.3</v>
      </c>
      <c r="T57" s="185"/>
      <c r="U57" s="186"/>
      <c r="V57" s="183">
        <v>11.2</v>
      </c>
      <c r="W57" s="183">
        <v>10.8</v>
      </c>
      <c r="X57" s="183">
        <v>11.5</v>
      </c>
      <c r="Y57" s="183">
        <v>10.199999999999999</v>
      </c>
      <c r="Z57" s="183">
        <v>11.3</v>
      </c>
      <c r="AA57" s="183">
        <v>12.5</v>
      </c>
      <c r="AB57" s="183">
        <v>13.3</v>
      </c>
      <c r="AC57" s="183">
        <v>13.1</v>
      </c>
      <c r="AD57" s="246">
        <f>AVERAGE(P57:R57)</f>
        <v>9.7666666666666675</v>
      </c>
      <c r="AE57" s="246">
        <f t="shared" ref="AE57:AE59" si="39">AVERAGE(S57:W57)</f>
        <v>11.1</v>
      </c>
      <c r="AF57" s="246">
        <f t="shared" ref="AF57:AF59" si="40">AVERAGE(X57:Z57)</f>
        <v>11</v>
      </c>
      <c r="AG57" s="247">
        <f t="shared" ref="AG57:AG59" si="41">AVERAGE(AA57:AC57)</f>
        <v>12.966666666666667</v>
      </c>
      <c r="AH57" s="241">
        <f>AVERAGE(P57:AC57)</f>
        <v>11.208333333333334</v>
      </c>
      <c r="AI57" s="267"/>
    </row>
    <row r="58" spans="1:358" ht="50.25" hidden="1" customHeight="1" outlineLevel="1">
      <c r="A58" s="47" t="s">
        <v>25</v>
      </c>
      <c r="B58" s="78">
        <f t="shared" ref="B58" si="42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9.34</v>
      </c>
      <c r="Q58" s="56">
        <v>9.16</v>
      </c>
      <c r="R58" s="189">
        <v>11</v>
      </c>
      <c r="S58" s="189">
        <v>11</v>
      </c>
      <c r="T58" s="185" t="s">
        <v>162</v>
      </c>
      <c r="U58" s="186" t="s">
        <v>36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189">
        <v>11.5</v>
      </c>
      <c r="AD58" s="246">
        <f>AVERAGE(P58:R58)</f>
        <v>9.8333333333333339</v>
      </c>
      <c r="AE58" s="246">
        <f t="shared" si="39"/>
        <v>10.666666666666666</v>
      </c>
      <c r="AF58" s="246">
        <f t="shared" si="40"/>
        <v>10.666666666666666</v>
      </c>
      <c r="AG58" s="247">
        <f t="shared" si="41"/>
        <v>11.333333333333334</v>
      </c>
      <c r="AH58" s="241">
        <f>AVERAGE(P58:AC58)</f>
        <v>10.625</v>
      </c>
      <c r="AI58" s="267"/>
    </row>
    <row r="59" spans="1:358" ht="50.25" hidden="1" customHeight="1" outlineLevel="1" thickBot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9.34</v>
      </c>
      <c r="Q59" s="56">
        <v>9.16</v>
      </c>
      <c r="R59" s="183">
        <v>10.27</v>
      </c>
      <c r="S59" s="183">
        <v>10.6</v>
      </c>
      <c r="T59" s="224"/>
      <c r="U59" s="186"/>
      <c r="V59" s="183">
        <v>10.5</v>
      </c>
      <c r="W59" s="189">
        <v>10.5</v>
      </c>
      <c r="X59" s="189">
        <v>11.3</v>
      </c>
      <c r="Y59" s="183">
        <v>10</v>
      </c>
      <c r="Z59" s="183">
        <v>9.1</v>
      </c>
      <c r="AA59" s="183">
        <v>11.6</v>
      </c>
      <c r="AB59" s="183">
        <v>13.87</v>
      </c>
      <c r="AC59" s="183">
        <v>14.12</v>
      </c>
      <c r="AD59" s="246">
        <f>AVERAGE(P59:R59)</f>
        <v>9.59</v>
      </c>
      <c r="AE59" s="246">
        <f t="shared" si="39"/>
        <v>10.533333333333333</v>
      </c>
      <c r="AF59" s="246">
        <f t="shared" si="40"/>
        <v>10.133333333333333</v>
      </c>
      <c r="AG59" s="247">
        <f t="shared" si="41"/>
        <v>13.196666666666665</v>
      </c>
      <c r="AH59" s="241">
        <f>AVERAGE(P59:AC59)</f>
        <v>10.863333333333332</v>
      </c>
      <c r="AI59" s="267"/>
    </row>
    <row r="60" spans="1:358" s="62" customFormat="1" ht="19" hidden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3">AVERAGE(J56:J59)</f>
        <v>#DIV/0!</v>
      </c>
      <c r="K60" s="157">
        <f t="shared" si="43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9.34</v>
      </c>
      <c r="Q60" s="157">
        <f>AVERAGE(Q56:Q59)</f>
        <v>9.16</v>
      </c>
      <c r="R60" s="157">
        <f t="shared" ref="R60" si="44">AVERAGE(R56:R59)</f>
        <v>10.567499999999999</v>
      </c>
      <c r="S60" s="59">
        <f t="shared" ref="S60:AG60" si="45">AVERAGE(S56:S59)</f>
        <v>10.875</v>
      </c>
      <c r="T60" s="158"/>
      <c r="U60" s="158"/>
      <c r="V60" s="59">
        <f t="shared" si="45"/>
        <v>10.737500000000001</v>
      </c>
      <c r="W60" s="59">
        <f t="shared" si="45"/>
        <v>10.574999999999999</v>
      </c>
      <c r="X60" s="59">
        <f t="shared" si="45"/>
        <v>10.7</v>
      </c>
      <c r="Y60" s="59">
        <f t="shared" si="45"/>
        <v>9.9250000000000007</v>
      </c>
      <c r="Z60" s="59">
        <f t="shared" si="45"/>
        <v>10.225</v>
      </c>
      <c r="AA60" s="59">
        <f t="shared" si="45"/>
        <v>11.4</v>
      </c>
      <c r="AB60" s="59">
        <f t="shared" si="45"/>
        <v>12.542499999999999</v>
      </c>
      <c r="AC60" s="59">
        <f t="shared" si="45"/>
        <v>12.805</v>
      </c>
      <c r="AD60" s="59">
        <f t="shared" si="45"/>
        <v>9.6891666666666687</v>
      </c>
      <c r="AE60" s="59">
        <f t="shared" si="45"/>
        <v>10.729166666666666</v>
      </c>
      <c r="AF60" s="59">
        <f t="shared" si="45"/>
        <v>10.283333333333333</v>
      </c>
      <c r="AG60" s="234">
        <f t="shared" si="45"/>
        <v>12.249166666666667</v>
      </c>
      <c r="AH60" s="242">
        <f>AVERAGE(AH56:AH59)</f>
        <v>10.737708333333332</v>
      </c>
      <c r="AI60" s="270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9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46">O60</f>
        <v>14.15</v>
      </c>
      <c r="P61" s="164">
        <f>P60</f>
        <v>9.34</v>
      </c>
      <c r="Q61" s="164">
        <f t="shared" ref="Q61" si="47">Q60</f>
        <v>9.16</v>
      </c>
      <c r="R61" s="164">
        <f>R60</f>
        <v>10.567499999999999</v>
      </c>
      <c r="S61" s="164">
        <v>10.9</v>
      </c>
      <c r="T61" s="164"/>
      <c r="U61" s="164"/>
      <c r="V61" s="164">
        <v>10.7</v>
      </c>
      <c r="W61" s="164">
        <v>10.6</v>
      </c>
      <c r="X61" s="164">
        <f t="shared" ref="X61:AA61" si="48">X60</f>
        <v>10.7</v>
      </c>
      <c r="Y61" s="164">
        <v>9.9</v>
      </c>
      <c r="Z61" s="164">
        <v>10.199999999999999</v>
      </c>
      <c r="AA61" s="164">
        <f t="shared" si="48"/>
        <v>11.4</v>
      </c>
      <c r="AB61" s="164">
        <v>12.5</v>
      </c>
      <c r="AC61" s="164">
        <v>12.8</v>
      </c>
      <c r="AD61" s="164">
        <f>AVERAGE(P61:R61)</f>
        <v>9.6891666666666669</v>
      </c>
      <c r="AE61" s="164">
        <f>AVERAGE(S61:W61)</f>
        <v>10.733333333333334</v>
      </c>
      <c r="AF61" s="164">
        <f>AVERAGE(X61:Z61)</f>
        <v>10.266666666666667</v>
      </c>
      <c r="AG61" s="229">
        <f>AVERAGE(AA61:AC61)</f>
        <v>12.233333333333334</v>
      </c>
      <c r="AH61" s="242">
        <f>AVERAGE(P61:R61,S61:AC61)</f>
        <v>10.730625000000002</v>
      </c>
      <c r="AI61" s="275">
        <v>12.8</v>
      </c>
    </row>
    <row r="62" spans="1:358" ht="21.5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24"/>
      <c r="T62" s="67"/>
      <c r="U62" s="67"/>
      <c r="V62" s="24"/>
      <c r="W62" s="24"/>
      <c r="X62" s="24"/>
      <c r="Y62" s="23"/>
      <c r="Z62" s="23"/>
      <c r="AA62" s="23"/>
      <c r="AB62" s="23"/>
      <c r="AC62" s="23"/>
      <c r="AD62" s="23"/>
      <c r="AE62" s="23"/>
      <c r="AF62" s="23"/>
      <c r="AG62" s="24"/>
      <c r="AH62" s="238"/>
      <c r="AI62" s="267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673" t="s">
        <v>3</v>
      </c>
      <c r="F63" s="673" t="s">
        <v>4</v>
      </c>
      <c r="G63" s="673" t="s">
        <v>5</v>
      </c>
      <c r="H63" s="673" t="s">
        <v>6</v>
      </c>
      <c r="I63" s="673" t="s">
        <v>7</v>
      </c>
      <c r="J63" s="28" t="s">
        <v>2</v>
      </c>
      <c r="K63" s="673" t="s">
        <v>8</v>
      </c>
      <c r="L63" s="250" t="s">
        <v>9</v>
      </c>
      <c r="M63" s="250" t="s">
        <v>9</v>
      </c>
      <c r="N63" s="673" t="s">
        <v>12</v>
      </c>
      <c r="O63" s="673" t="s">
        <v>13</v>
      </c>
      <c r="P63" s="673" t="s">
        <v>14</v>
      </c>
      <c r="Q63" s="673" t="s">
        <v>15</v>
      </c>
      <c r="R63" s="673" t="s">
        <v>16</v>
      </c>
      <c r="S63" s="673" t="s">
        <v>64</v>
      </c>
      <c r="T63" s="29" t="s">
        <v>10</v>
      </c>
      <c r="U63" s="30" t="s">
        <v>11</v>
      </c>
      <c r="V63" s="673" t="s">
        <v>65</v>
      </c>
      <c r="W63" s="673" t="s">
        <v>66</v>
      </c>
      <c r="X63" s="673" t="s">
        <v>67</v>
      </c>
      <c r="Y63" s="673" t="s">
        <v>68</v>
      </c>
      <c r="Z63" s="673" t="s">
        <v>69</v>
      </c>
      <c r="AA63" s="673" t="s">
        <v>70</v>
      </c>
      <c r="AB63" s="673" t="s">
        <v>77</v>
      </c>
      <c r="AC63" s="673" t="s">
        <v>78</v>
      </c>
      <c r="AD63" s="688" t="s">
        <v>79</v>
      </c>
      <c r="AE63" s="688" t="s">
        <v>80</v>
      </c>
      <c r="AF63" s="688" t="s">
        <v>81</v>
      </c>
      <c r="AG63" s="690" t="s">
        <v>82</v>
      </c>
      <c r="AH63" s="692">
        <v>2016</v>
      </c>
      <c r="AI63" s="267"/>
    </row>
    <row r="64" spans="1:358" ht="18.75" hidden="1" customHeight="1" outlineLevel="1">
      <c r="A64" s="31"/>
      <c r="B64" s="68"/>
      <c r="C64" s="68"/>
      <c r="D64" s="27"/>
      <c r="E64" s="674"/>
      <c r="F64" s="674"/>
      <c r="G64" s="674"/>
      <c r="H64" s="674"/>
      <c r="I64" s="674"/>
      <c r="J64" s="69" t="str">
        <f>$J$6</f>
        <v>(8-12 Jun)</v>
      </c>
      <c r="K64" s="674"/>
      <c r="L64" s="33" t="s">
        <v>20</v>
      </c>
      <c r="M64" s="33" t="s">
        <v>63</v>
      </c>
      <c r="N64" s="674"/>
      <c r="O64" s="674"/>
      <c r="P64" s="674"/>
      <c r="Q64" s="674"/>
      <c r="R64" s="674"/>
      <c r="S64" s="674"/>
      <c r="T64" s="187">
        <f>T6</f>
        <v>42461</v>
      </c>
      <c r="U64" s="188">
        <f>U6</f>
        <v>42491</v>
      </c>
      <c r="V64" s="674"/>
      <c r="W64" s="674"/>
      <c r="X64" s="674"/>
      <c r="Y64" s="674"/>
      <c r="Z64" s="674"/>
      <c r="AA64" s="674"/>
      <c r="AB64" s="674"/>
      <c r="AC64" s="674"/>
      <c r="AD64" s="689"/>
      <c r="AE64" s="689"/>
      <c r="AF64" s="689"/>
      <c r="AG64" s="691"/>
      <c r="AH64" s="686"/>
      <c r="AI64" s="267"/>
    </row>
    <row r="65" spans="1:358" hidden="1" outlineLevel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39"/>
      <c r="T65" s="73"/>
      <c r="U65" s="73"/>
      <c r="V65" s="39"/>
      <c r="W65" s="39"/>
      <c r="X65" s="39"/>
      <c r="Y65" s="38"/>
      <c r="Z65" s="38"/>
      <c r="AA65" s="38"/>
      <c r="AB65" s="38"/>
      <c r="AC65" s="38"/>
      <c r="AD65" s="248"/>
      <c r="AE65" s="248"/>
      <c r="AF65" s="248"/>
      <c r="AG65" s="249"/>
      <c r="AH65" s="239"/>
      <c r="AI65" s="267"/>
    </row>
    <row r="66" spans="1:358" s="77" customFormat="1" ht="18.5" hidden="1" outlineLevel="1">
      <c r="A66" s="675"/>
      <c r="B66" s="676"/>
      <c r="C66" s="676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44"/>
      <c r="T66" s="218"/>
      <c r="U66" s="219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235"/>
      <c r="AH66" s="240"/>
      <c r="AI66" s="268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-3.13</v>
      </c>
      <c r="Q67" s="50">
        <v>-5.08</v>
      </c>
      <c r="R67" s="183">
        <v>-6.8</v>
      </c>
      <c r="S67" s="183">
        <v>-6.3</v>
      </c>
      <c r="T67" s="185" t="s">
        <v>154</v>
      </c>
      <c r="U67" s="186" t="s">
        <v>155</v>
      </c>
      <c r="V67" s="189">
        <v>-5.8</v>
      </c>
      <c r="W67" s="189">
        <v>-5.75</v>
      </c>
      <c r="X67" s="189">
        <v>-6.5</v>
      </c>
      <c r="Y67" s="189">
        <v>-7</v>
      </c>
      <c r="Z67" s="189">
        <v>-6.8</v>
      </c>
      <c r="AA67" s="189">
        <v>-6.7</v>
      </c>
      <c r="AB67" s="189">
        <v>-6.6</v>
      </c>
      <c r="AC67" s="189">
        <v>-6.5</v>
      </c>
      <c r="AD67" s="246">
        <f>AVERAGE(P67:R67)</f>
        <v>-5.0033333333333339</v>
      </c>
      <c r="AE67" s="246">
        <f>AVERAGE(S67:W67)</f>
        <v>-5.95</v>
      </c>
      <c r="AF67" s="246">
        <f>AVERAGE(X67:Z67)</f>
        <v>-6.7666666666666666</v>
      </c>
      <c r="AG67" s="247">
        <f>AVERAGE(AA67:AC67)</f>
        <v>-6.6000000000000005</v>
      </c>
      <c r="AH67" s="241">
        <f>AVERAGE(P67:AC67)</f>
        <v>-6.0799999999999992</v>
      </c>
      <c r="AI67" s="267"/>
    </row>
    <row r="68" spans="1:358" ht="54.75" hidden="1" customHeight="1" outlineLevel="1">
      <c r="A68" s="47" t="s">
        <v>24</v>
      </c>
      <c r="B68" s="78">
        <f t="shared" ref="B68" si="49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-3.13</v>
      </c>
      <c r="Q68" s="50">
        <v>-5.08</v>
      </c>
      <c r="R68" s="189">
        <v>-6.8</v>
      </c>
      <c r="S68" s="189">
        <v>-6.5</v>
      </c>
      <c r="T68" s="185"/>
      <c r="U68" s="186"/>
      <c r="V68" s="189">
        <v>-6.3</v>
      </c>
      <c r="W68" s="189">
        <v>-6.5</v>
      </c>
      <c r="X68" s="189">
        <v>-7</v>
      </c>
      <c r="Y68" s="189">
        <v>-7.2</v>
      </c>
      <c r="Z68" s="189">
        <v>-7.1</v>
      </c>
      <c r="AA68" s="189">
        <v>-7.1</v>
      </c>
      <c r="AB68" s="189">
        <v>-6.9</v>
      </c>
      <c r="AC68" s="189">
        <v>-6.7</v>
      </c>
      <c r="AD68" s="246">
        <f>AVERAGE(P68:R68)</f>
        <v>-5.0033333333333339</v>
      </c>
      <c r="AE68" s="246">
        <f t="shared" ref="AE68:AE70" si="50">AVERAGE(S68:W68)</f>
        <v>-6.4333333333333336</v>
      </c>
      <c r="AF68" s="246">
        <f t="shared" ref="AF68:AF70" si="51">AVERAGE(X68:Z68)</f>
        <v>-7.0999999999999988</v>
      </c>
      <c r="AG68" s="247">
        <f t="shared" ref="AG68:AG70" si="52">AVERAGE(AA68:AC68)</f>
        <v>-6.8999999999999995</v>
      </c>
      <c r="AH68" s="241">
        <f>AVERAGE(P68:AC68)</f>
        <v>-6.3591666666666677</v>
      </c>
      <c r="AI68" s="267"/>
    </row>
    <row r="69" spans="1:358" ht="54.75" hidden="1" customHeight="1" outlineLevel="1">
      <c r="A69" s="47" t="s">
        <v>25</v>
      </c>
      <c r="B69" s="78">
        <f t="shared" ref="B69" si="53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-3.13</v>
      </c>
      <c r="Q69" s="50">
        <v>-5.08</v>
      </c>
      <c r="R69" s="183">
        <v>-7</v>
      </c>
      <c r="S69" s="183">
        <v>-6</v>
      </c>
      <c r="T69" s="185" t="s">
        <v>43</v>
      </c>
      <c r="U69" s="186" t="s">
        <v>43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189">
        <v>-6.5</v>
      </c>
      <c r="AD69" s="246">
        <f>AVERAGE(P69:R69)</f>
        <v>-5.07</v>
      </c>
      <c r="AE69" s="246">
        <f t="shared" si="50"/>
        <v>-6.333333333333333</v>
      </c>
      <c r="AF69" s="246">
        <f t="shared" si="51"/>
        <v>-6.166666666666667</v>
      </c>
      <c r="AG69" s="247">
        <f t="shared" si="52"/>
        <v>-6.333333333333333</v>
      </c>
      <c r="AH69" s="241">
        <f>AVERAGE(P69:AC69)</f>
        <v>-5.975833333333334</v>
      </c>
      <c r="AI69" s="267"/>
    </row>
    <row r="70" spans="1:358" ht="54.75" hidden="1" customHeight="1" outlineLevel="1" thickBot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-3.13</v>
      </c>
      <c r="Q70" s="50">
        <v>-5.08</v>
      </c>
      <c r="R70" s="189">
        <v>-7.25</v>
      </c>
      <c r="S70" s="189">
        <v>-7.35</v>
      </c>
      <c r="T70" s="185"/>
      <c r="U70" s="186"/>
      <c r="V70" s="189">
        <v>-7.5</v>
      </c>
      <c r="W70" s="189">
        <v>-7.6</v>
      </c>
      <c r="X70" s="189">
        <v>-8</v>
      </c>
      <c r="Y70" s="189">
        <v>-8</v>
      </c>
      <c r="Z70" s="189">
        <v>-8</v>
      </c>
      <c r="AA70" s="189">
        <v>-8.3000000000000007</v>
      </c>
      <c r="AB70" s="189">
        <v>-8.3000000000000007</v>
      </c>
      <c r="AC70" s="189">
        <v>-8.3000000000000007</v>
      </c>
      <c r="AD70" s="246">
        <f>AVERAGE(P70:R70)</f>
        <v>-5.1533333333333333</v>
      </c>
      <c r="AE70" s="246">
        <f t="shared" si="50"/>
        <v>-7.4833333333333334</v>
      </c>
      <c r="AF70" s="246">
        <f t="shared" si="51"/>
        <v>-8</v>
      </c>
      <c r="AG70" s="247">
        <f t="shared" si="52"/>
        <v>-8.3000000000000007</v>
      </c>
      <c r="AH70" s="241">
        <f>AVERAGE(P70:AC70)</f>
        <v>-7.2341666666666669</v>
      </c>
      <c r="AI70" s="267"/>
    </row>
    <row r="71" spans="1:358" s="62" customFormat="1" ht="19" hidden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R71" si="54">AVERAGE(K67:K70)</f>
        <v>-8.1550000000000011</v>
      </c>
      <c r="L71" s="59">
        <f t="shared" si="54"/>
        <v>-8.1550000000000011</v>
      </c>
      <c r="M71" s="59">
        <f t="shared" si="54"/>
        <v>-8.33</v>
      </c>
      <c r="N71" s="59">
        <f t="shared" si="54"/>
        <v>-6.9175000000000004</v>
      </c>
      <c r="O71" s="59">
        <f t="shared" si="54"/>
        <v>-6.7333333333333334</v>
      </c>
      <c r="P71" s="59">
        <f>AVERAGE(P67:P70)</f>
        <v>-3.13</v>
      </c>
      <c r="Q71" s="59">
        <f t="shared" si="54"/>
        <v>-5.08</v>
      </c>
      <c r="R71" s="59">
        <f t="shared" si="54"/>
        <v>-6.9625000000000004</v>
      </c>
      <c r="S71" s="59">
        <f t="shared" ref="S71:AG71" si="55">AVERAGE(S67:S70)</f>
        <v>-6.5374999999999996</v>
      </c>
      <c r="T71" s="60"/>
      <c r="U71" s="60"/>
      <c r="V71" s="59">
        <f t="shared" si="55"/>
        <v>-6.5250000000000004</v>
      </c>
      <c r="W71" s="59">
        <f t="shared" si="55"/>
        <v>-6.5875000000000004</v>
      </c>
      <c r="X71" s="59">
        <f t="shared" si="55"/>
        <v>-7</v>
      </c>
      <c r="Y71" s="59">
        <f t="shared" si="55"/>
        <v>-7.05</v>
      </c>
      <c r="Z71" s="59">
        <f t="shared" si="55"/>
        <v>-6.9749999999999996</v>
      </c>
      <c r="AA71" s="59">
        <f t="shared" si="55"/>
        <v>-7.0250000000000004</v>
      </c>
      <c r="AB71" s="59">
        <f t="shared" si="55"/>
        <v>-7.0750000000000002</v>
      </c>
      <c r="AC71" s="59">
        <f t="shared" si="55"/>
        <v>-7</v>
      </c>
      <c r="AD71" s="59">
        <f t="shared" si="55"/>
        <v>-5.0575000000000001</v>
      </c>
      <c r="AE71" s="59">
        <f t="shared" si="55"/>
        <v>-6.55</v>
      </c>
      <c r="AF71" s="59">
        <f t="shared" si="55"/>
        <v>-7.0083333333333329</v>
      </c>
      <c r="AG71" s="234">
        <f t="shared" si="55"/>
        <v>-7.0333333333333332</v>
      </c>
      <c r="AH71" s="242">
        <f>AVERAGE(AH67:AH70)</f>
        <v>-6.4122916666666665</v>
      </c>
      <c r="AI71" s="269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9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f>P71</f>
        <v>-3.13</v>
      </c>
      <c r="Q72" s="164">
        <f t="shared" ref="Q72" si="56">Q71</f>
        <v>-5.08</v>
      </c>
      <c r="R72" s="164">
        <f>R71</f>
        <v>-6.9625000000000004</v>
      </c>
      <c r="S72" s="164">
        <v>-6.5</v>
      </c>
      <c r="T72" s="164"/>
      <c r="U72" s="164"/>
      <c r="V72" s="164">
        <v>-6.5</v>
      </c>
      <c r="W72" s="164">
        <v>-6.6</v>
      </c>
      <c r="X72" s="164">
        <v>-7</v>
      </c>
      <c r="Y72" s="164">
        <v>-7.1</v>
      </c>
      <c r="Z72" s="164">
        <v>-7</v>
      </c>
      <c r="AA72" s="164">
        <v>-7</v>
      </c>
      <c r="AB72" s="164">
        <v>-7</v>
      </c>
      <c r="AC72" s="164">
        <v>-6.8</v>
      </c>
      <c r="AD72" s="164">
        <f>AVERAGE(P72:R72)</f>
        <v>-5.0575000000000001</v>
      </c>
      <c r="AE72" s="164">
        <f>AVERAGE(S72:W72)</f>
        <v>-6.5333333333333341</v>
      </c>
      <c r="AF72" s="164">
        <f>AVERAGE(X72:Z72)</f>
        <v>-7.0333333333333341</v>
      </c>
      <c r="AG72" s="229">
        <f>AVERAGE(AA72:AC72)</f>
        <v>-6.9333333333333336</v>
      </c>
      <c r="AH72" s="242">
        <f>AVERAGE(P72:R72,S72:AC72)</f>
        <v>-6.3893750000000002</v>
      </c>
      <c r="AI72" s="275">
        <v>-6.5</v>
      </c>
    </row>
    <row r="73" spans="1:358" ht="21.5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24"/>
      <c r="T73" s="67"/>
      <c r="U73" s="67"/>
      <c r="V73" s="24"/>
      <c r="W73" s="24"/>
      <c r="X73" s="24"/>
      <c r="Y73" s="23"/>
      <c r="Z73" s="23"/>
      <c r="AA73" s="23"/>
      <c r="AB73" s="23"/>
      <c r="AC73" s="23"/>
      <c r="AD73" s="23"/>
      <c r="AE73" s="23"/>
      <c r="AF73" s="23"/>
      <c r="AG73" s="24"/>
      <c r="AH73" s="238"/>
      <c r="AI73" s="267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673" t="s">
        <v>3</v>
      </c>
      <c r="F74" s="673" t="s">
        <v>4</v>
      </c>
      <c r="G74" s="673" t="s">
        <v>5</v>
      </c>
      <c r="H74" s="673" t="s">
        <v>6</v>
      </c>
      <c r="I74" s="673" t="s">
        <v>7</v>
      </c>
      <c r="J74" s="28" t="s">
        <v>2</v>
      </c>
      <c r="K74" s="673" t="s">
        <v>8</v>
      </c>
      <c r="L74" s="250" t="s">
        <v>9</v>
      </c>
      <c r="M74" s="250" t="s">
        <v>9</v>
      </c>
      <c r="N74" s="673" t="s">
        <v>12</v>
      </c>
      <c r="O74" s="673" t="s">
        <v>13</v>
      </c>
      <c r="P74" s="673" t="s">
        <v>14</v>
      </c>
      <c r="Q74" s="673" t="s">
        <v>15</v>
      </c>
      <c r="R74" s="673" t="s">
        <v>16</v>
      </c>
      <c r="S74" s="673" t="s">
        <v>64</v>
      </c>
      <c r="T74" s="29" t="s">
        <v>10</v>
      </c>
      <c r="U74" s="30" t="s">
        <v>11</v>
      </c>
      <c r="V74" s="673" t="s">
        <v>65</v>
      </c>
      <c r="W74" s="673" t="s">
        <v>66</v>
      </c>
      <c r="X74" s="673" t="s">
        <v>67</v>
      </c>
      <c r="Y74" s="673" t="s">
        <v>68</v>
      </c>
      <c r="Z74" s="673" t="s">
        <v>69</v>
      </c>
      <c r="AA74" s="673" t="s">
        <v>70</v>
      </c>
      <c r="AB74" s="673" t="s">
        <v>77</v>
      </c>
      <c r="AC74" s="673" t="s">
        <v>78</v>
      </c>
      <c r="AD74" s="688" t="s">
        <v>79</v>
      </c>
      <c r="AE74" s="688" t="s">
        <v>80</v>
      </c>
      <c r="AF74" s="688" t="s">
        <v>81</v>
      </c>
      <c r="AG74" s="690" t="s">
        <v>82</v>
      </c>
      <c r="AH74" s="692">
        <v>2016</v>
      </c>
      <c r="AI74" s="267"/>
    </row>
    <row r="75" spans="1:358" ht="21.75" hidden="1" customHeight="1" outlineLevel="1">
      <c r="A75" s="31"/>
      <c r="B75" s="68"/>
      <c r="C75" s="68"/>
      <c r="D75" s="116"/>
      <c r="E75" s="674"/>
      <c r="F75" s="674"/>
      <c r="G75" s="674"/>
      <c r="H75" s="674"/>
      <c r="I75" s="674"/>
      <c r="J75" s="69" t="str">
        <f>$J$6</f>
        <v>(8-12 Jun)</v>
      </c>
      <c r="K75" s="674"/>
      <c r="L75" s="33" t="s">
        <v>20</v>
      </c>
      <c r="M75" s="33" t="s">
        <v>63</v>
      </c>
      <c r="N75" s="674"/>
      <c r="O75" s="674"/>
      <c r="P75" s="674"/>
      <c r="Q75" s="674"/>
      <c r="R75" s="674"/>
      <c r="S75" s="674"/>
      <c r="T75" s="187">
        <f>T6</f>
        <v>42461</v>
      </c>
      <c r="U75" s="188">
        <f>U6</f>
        <v>42491</v>
      </c>
      <c r="V75" s="674"/>
      <c r="W75" s="674"/>
      <c r="X75" s="674"/>
      <c r="Y75" s="674"/>
      <c r="Z75" s="674"/>
      <c r="AA75" s="674"/>
      <c r="AB75" s="674"/>
      <c r="AC75" s="674"/>
      <c r="AD75" s="689"/>
      <c r="AE75" s="689"/>
      <c r="AF75" s="689"/>
      <c r="AG75" s="691"/>
      <c r="AH75" s="686"/>
      <c r="AI75" s="267"/>
    </row>
    <row r="76" spans="1:358" hidden="1" outlineLevel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39"/>
      <c r="T76" s="122"/>
      <c r="U76" s="122"/>
      <c r="V76" s="39"/>
      <c r="W76" s="39"/>
      <c r="X76" s="39"/>
      <c r="Y76" s="38"/>
      <c r="Z76" s="38"/>
      <c r="AA76" s="38"/>
      <c r="AB76" s="38"/>
      <c r="AC76" s="38"/>
      <c r="AD76" s="248"/>
      <c r="AE76" s="248"/>
      <c r="AF76" s="248"/>
      <c r="AG76" s="249"/>
      <c r="AH76" s="239"/>
      <c r="AI76" s="267"/>
    </row>
    <row r="77" spans="1:358" s="77" customFormat="1" ht="21" hidden="1" customHeight="1" outlineLevel="1">
      <c r="A77" s="675"/>
      <c r="B77" s="676"/>
      <c r="C77" s="676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44"/>
      <c r="T77" s="216"/>
      <c r="U77" s="217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235"/>
      <c r="AH77" s="240"/>
      <c r="AI77" s="268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56">
        <v>3.18</v>
      </c>
      <c r="R78" s="189">
        <v>3.5</v>
      </c>
      <c r="S78" s="189">
        <v>3.25</v>
      </c>
      <c r="T78" s="255"/>
      <c r="U78" s="255"/>
      <c r="V78" s="189">
        <v>3.25</v>
      </c>
      <c r="W78" s="189">
        <v>3.25</v>
      </c>
      <c r="X78" s="189">
        <v>3.25</v>
      </c>
      <c r="Y78" s="189">
        <v>3.5</v>
      </c>
      <c r="Z78" s="189">
        <v>3.5</v>
      </c>
      <c r="AA78" s="189">
        <v>3.25</v>
      </c>
      <c r="AB78" s="189">
        <v>3.25</v>
      </c>
      <c r="AC78" s="189">
        <v>3.25</v>
      </c>
      <c r="AD78" s="246">
        <f>AVERAGE(P78:R78)</f>
        <v>3.3933333333333331</v>
      </c>
      <c r="AE78" s="246">
        <f>AVERAGE(S78:W78)</f>
        <v>3.25</v>
      </c>
      <c r="AF78" s="246">
        <f>AVERAGE(X78:Z78)</f>
        <v>3.4166666666666665</v>
      </c>
      <c r="AG78" s="247">
        <f>AVERAGE(AA78:AC78)</f>
        <v>3.25</v>
      </c>
      <c r="AH78" s="241">
        <f>AVERAGE(P78:AC78)</f>
        <v>3.3275000000000001</v>
      </c>
      <c r="AI78" s="267"/>
    </row>
    <row r="79" spans="1:358" ht="42.75" hidden="1" customHeight="1" outlineLevel="1">
      <c r="A79" s="47" t="s">
        <v>24</v>
      </c>
      <c r="B79" s="78">
        <f t="shared" ref="B79" si="57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56">
        <v>3.18</v>
      </c>
      <c r="R79" s="189">
        <v>3.7</v>
      </c>
      <c r="S79" s="189">
        <v>3.3</v>
      </c>
      <c r="T79" s="255"/>
      <c r="U79" s="255"/>
      <c r="V79" s="189">
        <v>3.4</v>
      </c>
      <c r="W79" s="189">
        <v>3.3</v>
      </c>
      <c r="X79" s="189">
        <v>3</v>
      </c>
      <c r="Y79" s="189">
        <v>2.5</v>
      </c>
      <c r="Z79" s="189">
        <v>2.5</v>
      </c>
      <c r="AA79" s="189">
        <v>2.7</v>
      </c>
      <c r="AB79" s="189">
        <v>2.8</v>
      </c>
      <c r="AC79" s="189">
        <v>2.8</v>
      </c>
      <c r="AD79" s="246">
        <f>AVERAGE(P79:R79)</f>
        <v>3.4599999999999995</v>
      </c>
      <c r="AE79" s="246">
        <f t="shared" ref="AE79:AE81" si="58">AVERAGE(S79:W79)</f>
        <v>3.3333333333333335</v>
      </c>
      <c r="AF79" s="246">
        <f t="shared" ref="AF79:AF81" si="59">AVERAGE(X79:Z79)</f>
        <v>2.6666666666666665</v>
      </c>
      <c r="AG79" s="247">
        <f t="shared" ref="AG79:AG81" si="60">AVERAGE(AA79:AC79)</f>
        <v>2.7666666666666671</v>
      </c>
      <c r="AH79" s="241">
        <f>AVERAGE(P79:AC79)</f>
        <v>3.0566666666666662</v>
      </c>
      <c r="AI79" s="267"/>
    </row>
    <row r="80" spans="1:358" ht="42.75" hidden="1" customHeight="1" outlineLevel="1">
      <c r="A80" s="47" t="s">
        <v>25</v>
      </c>
      <c r="B80" s="78">
        <f t="shared" ref="B80" si="61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56">
        <v>3.18</v>
      </c>
      <c r="R80" s="189">
        <v>3.5</v>
      </c>
      <c r="S80" s="189">
        <v>3.5</v>
      </c>
      <c r="T80" s="185" t="s">
        <v>124</v>
      </c>
      <c r="U80" s="186" t="s">
        <v>124</v>
      </c>
      <c r="V80" s="189">
        <v>3.5</v>
      </c>
      <c r="W80" s="189">
        <v>3.5</v>
      </c>
      <c r="X80" s="189">
        <v>3.5</v>
      </c>
      <c r="Y80" s="189">
        <v>3.5</v>
      </c>
      <c r="Z80" s="189">
        <v>3.5</v>
      </c>
      <c r="AA80" s="189">
        <v>3.5</v>
      </c>
      <c r="AB80" s="189">
        <v>3.5</v>
      </c>
      <c r="AC80" s="189">
        <v>3.5</v>
      </c>
      <c r="AD80" s="246">
        <f>AVERAGE(P80:R80)</f>
        <v>3.3933333333333331</v>
      </c>
      <c r="AE80" s="246">
        <f t="shared" si="58"/>
        <v>3.5</v>
      </c>
      <c r="AF80" s="246">
        <f t="shared" si="59"/>
        <v>3.5</v>
      </c>
      <c r="AG80" s="247">
        <f t="shared" si="60"/>
        <v>3.5</v>
      </c>
      <c r="AH80" s="241">
        <f>AVERAGE(P80:AC80)</f>
        <v>3.4733333333333332</v>
      </c>
      <c r="AI80" s="267"/>
    </row>
    <row r="81" spans="1:358" ht="42.75" hidden="1" customHeight="1" outlineLevel="1" thickBot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56">
        <v>3.18</v>
      </c>
      <c r="R81" s="189">
        <v>3.82</v>
      </c>
      <c r="S81" s="189">
        <v>3.6</v>
      </c>
      <c r="T81" s="256"/>
      <c r="U81" s="256"/>
      <c r="V81" s="189">
        <v>3.1</v>
      </c>
      <c r="W81" s="189">
        <v>3.1</v>
      </c>
      <c r="X81" s="189">
        <v>3.1</v>
      </c>
      <c r="Y81" s="189">
        <v>2.7</v>
      </c>
      <c r="Z81" s="189">
        <v>2.7</v>
      </c>
      <c r="AA81" s="189">
        <v>2.7</v>
      </c>
      <c r="AB81" s="189">
        <v>2.7</v>
      </c>
      <c r="AC81" s="189">
        <v>2.7</v>
      </c>
      <c r="AD81" s="246">
        <f>AVERAGE(P81:R81)</f>
        <v>3.5</v>
      </c>
      <c r="AE81" s="246">
        <f t="shared" si="58"/>
        <v>3.2666666666666671</v>
      </c>
      <c r="AF81" s="246">
        <f t="shared" si="59"/>
        <v>2.8333333333333335</v>
      </c>
      <c r="AG81" s="247">
        <f t="shared" si="60"/>
        <v>2.7000000000000006</v>
      </c>
      <c r="AH81" s="241">
        <f>AVERAGE(P81:AC81)</f>
        <v>3.0750000000000006</v>
      </c>
      <c r="AI81" s="267"/>
    </row>
    <row r="82" spans="1:358" s="62" customFormat="1" ht="19.5" hidden="1" customHeight="1" outlineLevel="1" thickBot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62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f>AVERAGE(P78:P81)</f>
        <v>3.5</v>
      </c>
      <c r="Q82" s="59">
        <f>AVERAGE(Q78:Q81)</f>
        <v>3.18</v>
      </c>
      <c r="R82" s="59">
        <f>AVERAGE(R78:R81)</f>
        <v>3.63</v>
      </c>
      <c r="S82" s="59">
        <f t="shared" ref="S82:AD82" si="63">AVERAGE(S78:S81)</f>
        <v>3.4125000000000001</v>
      </c>
      <c r="T82" s="60"/>
      <c r="U82" s="60"/>
      <c r="V82" s="59">
        <f t="shared" si="63"/>
        <v>3.3125</v>
      </c>
      <c r="W82" s="59">
        <f t="shared" si="63"/>
        <v>3.2875000000000001</v>
      </c>
      <c r="X82" s="59">
        <f t="shared" si="63"/>
        <v>3.2124999999999999</v>
      </c>
      <c r="Y82" s="59">
        <f t="shared" si="63"/>
        <v>3.05</v>
      </c>
      <c r="Z82" s="59">
        <f t="shared" si="63"/>
        <v>3.05</v>
      </c>
      <c r="AA82" s="59">
        <f t="shared" si="63"/>
        <v>3.0374999999999996</v>
      </c>
      <c r="AB82" s="59">
        <f t="shared" si="63"/>
        <v>3.0625</v>
      </c>
      <c r="AC82" s="59">
        <f t="shared" si="63"/>
        <v>3.0625</v>
      </c>
      <c r="AD82" s="59">
        <f t="shared" si="63"/>
        <v>3.4366666666666665</v>
      </c>
      <c r="AE82" s="59">
        <f>AVERAGE(AE78:AE81)</f>
        <v>3.3375000000000004</v>
      </c>
      <c r="AF82" s="59">
        <f t="shared" ref="AF82:AG82" si="64">AVERAGE(AF78:AF81)</f>
        <v>3.1041666666666665</v>
      </c>
      <c r="AG82" s="234">
        <f t="shared" si="64"/>
        <v>3.0541666666666671</v>
      </c>
      <c r="AH82" s="242">
        <f>AVERAGE(AH78:AH81)</f>
        <v>3.2331250000000002</v>
      </c>
      <c r="AI82" s="269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f>P82</f>
        <v>3.5</v>
      </c>
      <c r="Q83" s="164">
        <f t="shared" ref="Q83" si="65">Q82</f>
        <v>3.18</v>
      </c>
      <c r="R83" s="164">
        <f>R82</f>
        <v>3.63</v>
      </c>
      <c r="S83" s="164">
        <v>3.5</v>
      </c>
      <c r="T83" s="164"/>
      <c r="U83" s="164"/>
      <c r="V83" s="164">
        <v>3.5</v>
      </c>
      <c r="W83" s="164">
        <v>3.5</v>
      </c>
      <c r="X83" s="164">
        <v>3.5</v>
      </c>
      <c r="Y83" s="164">
        <v>3.2</v>
      </c>
      <c r="Z83" s="164">
        <v>3</v>
      </c>
      <c r="AA83" s="164">
        <v>2.9</v>
      </c>
      <c r="AB83" s="164">
        <v>2.9</v>
      </c>
      <c r="AC83" s="164">
        <v>2.9</v>
      </c>
      <c r="AD83" s="164">
        <f>AVERAGE(P83:R83)</f>
        <v>3.4366666666666661</v>
      </c>
      <c r="AE83" s="164">
        <f>AVERAGE(S83:W83)</f>
        <v>3.5</v>
      </c>
      <c r="AF83" s="164">
        <f>AVERAGE(X83:Z83)</f>
        <v>3.2333333333333329</v>
      </c>
      <c r="AG83" s="229">
        <f>AVERAGE(AA83:AC83)</f>
        <v>2.9</v>
      </c>
      <c r="AH83" s="242">
        <f>AVERAGE(P83:R83,S83:AC83)</f>
        <v>3.2674999999999996</v>
      </c>
      <c r="AI83" s="270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 ht="21.5" thickBot="1">
      <c r="A84" s="252"/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6"/>
      <c r="S84" s="126"/>
      <c r="T84" s="125"/>
      <c r="U84" s="125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21" customHeight="1">
      <c r="A85" s="324"/>
      <c r="B85" s="325"/>
      <c r="C85" s="325"/>
      <c r="D85" s="326"/>
      <c r="E85" s="326"/>
      <c r="F85" s="327" t="s">
        <v>4</v>
      </c>
      <c r="G85" s="327" t="s">
        <v>5</v>
      </c>
      <c r="H85" s="327" t="s">
        <v>6</v>
      </c>
      <c r="I85" s="327" t="s">
        <v>7</v>
      </c>
      <c r="J85" s="328" t="s">
        <v>2</v>
      </c>
      <c r="K85" s="327" t="s">
        <v>71</v>
      </c>
      <c r="L85" s="327" t="s">
        <v>72</v>
      </c>
      <c r="M85" s="327" t="s">
        <v>73</v>
      </c>
      <c r="N85" s="327" t="s">
        <v>12</v>
      </c>
      <c r="O85" s="327" t="s">
        <v>13</v>
      </c>
      <c r="P85" s="329" t="s">
        <v>14</v>
      </c>
      <c r="Q85" s="329" t="s">
        <v>15</v>
      </c>
      <c r="R85" s="329" t="s">
        <v>16</v>
      </c>
      <c r="S85" s="329" t="s">
        <v>64</v>
      </c>
      <c r="T85" s="330"/>
      <c r="U85" s="330"/>
      <c r="V85" s="329" t="s">
        <v>65</v>
      </c>
      <c r="W85" s="329" t="s">
        <v>66</v>
      </c>
      <c r="X85" s="329" t="s">
        <v>67</v>
      </c>
      <c r="Y85" s="329" t="s">
        <v>68</v>
      </c>
      <c r="Z85" s="329" t="s">
        <v>69</v>
      </c>
      <c r="AA85" s="329" t="s">
        <v>70</v>
      </c>
      <c r="AB85" s="329" t="s">
        <v>77</v>
      </c>
      <c r="AC85" s="331" t="s">
        <v>78</v>
      </c>
      <c r="AD85" s="332" t="s">
        <v>79</v>
      </c>
      <c r="AE85" s="329" t="s">
        <v>80</v>
      </c>
      <c r="AF85" s="329" t="s">
        <v>81</v>
      </c>
      <c r="AG85" s="329" t="s">
        <v>82</v>
      </c>
      <c r="AH85" s="331">
        <v>2016</v>
      </c>
    </row>
    <row r="86" spans="1:358" ht="17.25" customHeight="1">
      <c r="A86" s="333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26.81</v>
      </c>
      <c r="Q86" s="36">
        <f t="shared" ref="Q86:AB86" si="66">Q15</f>
        <v>29.38</v>
      </c>
      <c r="R86" s="36">
        <f t="shared" si="66"/>
        <v>34.314999999999998</v>
      </c>
      <c r="S86" s="36">
        <f t="shared" si="66"/>
        <v>33.5</v>
      </c>
      <c r="T86" s="36"/>
      <c r="U86" s="36"/>
      <c r="V86" s="36">
        <f t="shared" si="66"/>
        <v>34</v>
      </c>
      <c r="W86" s="36">
        <f t="shared" si="66"/>
        <v>34.5</v>
      </c>
      <c r="X86" s="36">
        <f t="shared" si="66"/>
        <v>36</v>
      </c>
      <c r="Y86" s="36">
        <f t="shared" si="66"/>
        <v>37</v>
      </c>
      <c r="Z86" s="36">
        <f t="shared" si="66"/>
        <v>38</v>
      </c>
      <c r="AA86" s="36">
        <f t="shared" si="66"/>
        <v>39.5</v>
      </c>
      <c r="AB86" s="36">
        <f t="shared" si="66"/>
        <v>41</v>
      </c>
      <c r="AC86" s="322">
        <f>AC15</f>
        <v>42.5</v>
      </c>
      <c r="AD86" s="319">
        <f>AD15</f>
        <v>30.168333333333333</v>
      </c>
      <c r="AE86" s="258">
        <f t="shared" ref="AE86:AF86" si="67">AE15</f>
        <v>34</v>
      </c>
      <c r="AF86" s="258">
        <f t="shared" si="67"/>
        <v>37</v>
      </c>
      <c r="AG86" s="258">
        <f>AG15</f>
        <v>41</v>
      </c>
      <c r="AH86" s="334">
        <f t="shared" ref="AH86:AH92" si="68">AVERAGE(P86:AC86)</f>
        <v>35.542083333333331</v>
      </c>
    </row>
    <row r="87" spans="1:358" ht="18.5">
      <c r="A87" s="333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36.599999999999994</v>
      </c>
      <c r="Q87" s="36">
        <f t="shared" ref="Q87:AC87" si="69">Q15+Q26</f>
        <v>33.942777777777778</v>
      </c>
      <c r="R87" s="36">
        <f t="shared" si="69"/>
        <v>37.629999999999995</v>
      </c>
      <c r="S87" s="36">
        <f t="shared" si="69"/>
        <v>36.5</v>
      </c>
      <c r="T87" s="36"/>
      <c r="U87" s="36"/>
      <c r="V87" s="36">
        <f t="shared" si="69"/>
        <v>37.5</v>
      </c>
      <c r="W87" s="36">
        <f t="shared" si="69"/>
        <v>38.5</v>
      </c>
      <c r="X87" s="36">
        <f t="shared" si="69"/>
        <v>39.5</v>
      </c>
      <c r="Y87" s="36">
        <f t="shared" si="69"/>
        <v>40</v>
      </c>
      <c r="Z87" s="36">
        <f t="shared" si="69"/>
        <v>40.700000000000003</v>
      </c>
      <c r="AA87" s="36">
        <f t="shared" si="69"/>
        <v>42.2</v>
      </c>
      <c r="AB87" s="36">
        <f t="shared" si="69"/>
        <v>43.7</v>
      </c>
      <c r="AC87" s="322">
        <f t="shared" si="69"/>
        <v>45.5</v>
      </c>
      <c r="AD87" s="319">
        <f>AD15+AD26</f>
        <v>36.057592592592592</v>
      </c>
      <c r="AE87" s="258">
        <f t="shared" ref="AE87:AF87" si="70">AE15+AE26</f>
        <v>37.5</v>
      </c>
      <c r="AF87" s="258">
        <f t="shared" si="70"/>
        <v>40.066666666666663</v>
      </c>
      <c r="AG87" s="258">
        <f>AG15+AG26</f>
        <v>43.8</v>
      </c>
      <c r="AH87" s="334">
        <f t="shared" si="68"/>
        <v>39.356064814814808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5">
      <c r="A88" s="333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50.42</v>
      </c>
      <c r="Q88" s="36">
        <f t="shared" ref="Q88:AB88" si="71">Q37+Q15</f>
        <v>44.58</v>
      </c>
      <c r="R88" s="36">
        <f t="shared" si="71"/>
        <v>52.527499999999996</v>
      </c>
      <c r="S88" s="36">
        <f t="shared" si="71"/>
        <v>53</v>
      </c>
      <c r="T88" s="36"/>
      <c r="U88" s="36"/>
      <c r="V88" s="36">
        <f t="shared" si="71"/>
        <v>54</v>
      </c>
      <c r="W88" s="36">
        <f t="shared" si="71"/>
        <v>55</v>
      </c>
      <c r="X88" s="36">
        <f t="shared" si="71"/>
        <v>55.5</v>
      </c>
      <c r="Y88" s="36">
        <f t="shared" si="71"/>
        <v>55</v>
      </c>
      <c r="Z88" s="36">
        <f t="shared" si="71"/>
        <v>54.5</v>
      </c>
      <c r="AA88" s="36">
        <f t="shared" si="71"/>
        <v>55.5</v>
      </c>
      <c r="AB88" s="36">
        <f t="shared" si="71"/>
        <v>56</v>
      </c>
      <c r="AC88" s="322">
        <f>AC37+AC15</f>
        <v>57.5</v>
      </c>
      <c r="AD88" s="319">
        <f>AD37+AD15</f>
        <v>49.17583333333333</v>
      </c>
      <c r="AE88" s="258">
        <f t="shared" ref="AE88:AF88" si="72">AE37+AE15</f>
        <v>54</v>
      </c>
      <c r="AF88" s="258">
        <f t="shared" si="72"/>
        <v>55</v>
      </c>
      <c r="AG88" s="258">
        <f>AG37+AG15</f>
        <v>56.333333333333336</v>
      </c>
      <c r="AH88" s="334">
        <f t="shared" si="68"/>
        <v>53.627291666666672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5">
      <c r="A89" s="333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37.909999999999997</v>
      </c>
      <c r="Q89" s="36">
        <f t="shared" ref="Q89:AC89" si="73">Q48+Q15</f>
        <v>41</v>
      </c>
      <c r="R89" s="36">
        <f t="shared" si="73"/>
        <v>46.344999999999999</v>
      </c>
      <c r="S89" s="36">
        <f t="shared" si="73"/>
        <v>44.8</v>
      </c>
      <c r="T89" s="36"/>
      <c r="U89" s="36"/>
      <c r="V89" s="36">
        <f t="shared" si="73"/>
        <v>44.75</v>
      </c>
      <c r="W89" s="36">
        <f t="shared" si="73"/>
        <v>45.737499999999997</v>
      </c>
      <c r="X89" s="36">
        <f t="shared" si="73"/>
        <v>47.5</v>
      </c>
      <c r="Y89" s="36">
        <f t="shared" si="73"/>
        <v>47.7</v>
      </c>
      <c r="Z89" s="36">
        <f t="shared" si="73"/>
        <v>49</v>
      </c>
      <c r="AA89" s="36">
        <f t="shared" si="73"/>
        <v>51.7</v>
      </c>
      <c r="AB89" s="36">
        <f t="shared" si="73"/>
        <v>54.3</v>
      </c>
      <c r="AC89" s="322">
        <f t="shared" si="73"/>
        <v>56.3</v>
      </c>
      <c r="AD89" s="319">
        <f>AD48+AD15</f>
        <v>41.751666666666665</v>
      </c>
      <c r="AE89" s="258">
        <f t="shared" ref="AE89:AF89" si="74">AE48+AE15</f>
        <v>45.095833333333331</v>
      </c>
      <c r="AF89" s="258">
        <f t="shared" si="74"/>
        <v>48.06666666666667</v>
      </c>
      <c r="AG89" s="258">
        <f>AG48+AG15</f>
        <v>54.1</v>
      </c>
      <c r="AH89" s="334">
        <f t="shared" si="68"/>
        <v>47.253541666666671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5">
      <c r="A90" s="333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75">Q61+Q15</f>
        <v>38.54</v>
      </c>
      <c r="R90" s="36">
        <f t="shared" si="75"/>
        <v>44.882499999999993</v>
      </c>
      <c r="S90" s="36">
        <f t="shared" si="75"/>
        <v>44.4</v>
      </c>
      <c r="T90" s="36"/>
      <c r="U90" s="36"/>
      <c r="V90" s="36">
        <f t="shared" si="75"/>
        <v>44.7</v>
      </c>
      <c r="W90" s="36">
        <f t="shared" si="75"/>
        <v>45.1</v>
      </c>
      <c r="X90" s="36">
        <f t="shared" si="75"/>
        <v>46.7</v>
      </c>
      <c r="Y90" s="36">
        <f t="shared" si="75"/>
        <v>46.9</v>
      </c>
      <c r="Z90" s="36">
        <f t="shared" si="75"/>
        <v>48.2</v>
      </c>
      <c r="AA90" s="36">
        <f t="shared" si="75"/>
        <v>50.9</v>
      </c>
      <c r="AB90" s="36">
        <f t="shared" si="75"/>
        <v>53.5</v>
      </c>
      <c r="AC90" s="322">
        <f t="shared" si="75"/>
        <v>55.3</v>
      </c>
      <c r="AD90" s="319">
        <f>AD61+AD15</f>
        <v>39.857500000000002</v>
      </c>
      <c r="AE90" s="258">
        <f t="shared" ref="AE90:AF90" si="76">AE61+AE15</f>
        <v>44.733333333333334</v>
      </c>
      <c r="AF90" s="258">
        <f t="shared" si="76"/>
        <v>47.266666666666666</v>
      </c>
      <c r="AG90" s="258">
        <f>AG61+AG15</f>
        <v>53.233333333333334</v>
      </c>
      <c r="AH90" s="334">
        <f t="shared" si="68"/>
        <v>46.272708333333327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5">
      <c r="A91" s="333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150.36799999999999</v>
      </c>
      <c r="Q91" s="134">
        <f t="shared" ref="Q91:AC91" si="77">(Q72+Q15)*6.35</f>
        <v>154.30499999999998</v>
      </c>
      <c r="R91" s="134">
        <f t="shared" si="77"/>
        <v>173.68837499999998</v>
      </c>
      <c r="S91" s="134">
        <f t="shared" si="77"/>
        <v>171.45</v>
      </c>
      <c r="T91" s="134"/>
      <c r="U91" s="134"/>
      <c r="V91" s="134">
        <f t="shared" si="77"/>
        <v>174.625</v>
      </c>
      <c r="W91" s="134">
        <f t="shared" si="77"/>
        <v>177.16499999999999</v>
      </c>
      <c r="X91" s="134">
        <f t="shared" si="77"/>
        <v>184.14999999999998</v>
      </c>
      <c r="Y91" s="134">
        <f t="shared" si="77"/>
        <v>189.86499999999998</v>
      </c>
      <c r="Z91" s="134">
        <f t="shared" si="77"/>
        <v>196.85</v>
      </c>
      <c r="AA91" s="134">
        <f t="shared" si="77"/>
        <v>206.375</v>
      </c>
      <c r="AB91" s="134">
        <f t="shared" si="77"/>
        <v>215.89999999999998</v>
      </c>
      <c r="AC91" s="323">
        <f t="shared" si="77"/>
        <v>226.69499999999999</v>
      </c>
      <c r="AD91" s="320">
        <f>(AD72+AD15)*6.35</f>
        <v>159.45379166666666</v>
      </c>
      <c r="AE91" s="259">
        <f t="shared" ref="AE91:AF91" si="78">(AE72+AE15)*6.35</f>
        <v>174.41333333333333</v>
      </c>
      <c r="AF91" s="259">
        <f t="shared" si="78"/>
        <v>190.2883333333333</v>
      </c>
      <c r="AG91" s="259">
        <f>(AG72+AG15)*6.35</f>
        <v>216.3233333333333</v>
      </c>
      <c r="AH91" s="334">
        <f t="shared" si="68"/>
        <v>185.11969791666664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9" thickBot="1">
      <c r="A92" s="335" t="s">
        <v>53</v>
      </c>
      <c r="B92" s="336" t="s">
        <v>53</v>
      </c>
      <c r="C92" s="336" t="s">
        <v>53</v>
      </c>
      <c r="D92" s="337"/>
      <c r="E92" s="337"/>
      <c r="F92" s="338"/>
      <c r="G92" s="338"/>
      <c r="H92" s="338"/>
      <c r="I92" s="338"/>
      <c r="J92" s="338" t="e">
        <f>J82</f>
        <v>#DIV/0!</v>
      </c>
      <c r="K92" s="338">
        <f t="shared" ref="K92:L92" si="79">K82</f>
        <v>1.2</v>
      </c>
      <c r="L92" s="338">
        <f t="shared" si="79"/>
        <v>1.5</v>
      </c>
      <c r="M92" s="338">
        <f>M82</f>
        <v>1.625</v>
      </c>
      <c r="N92" s="338">
        <f>N83+N15</f>
        <v>47.85</v>
      </c>
      <c r="O92" s="338">
        <f>O83+O15</f>
        <v>2.0666666666666669</v>
      </c>
      <c r="P92" s="338">
        <f>P83+P15</f>
        <v>30.31</v>
      </c>
      <c r="Q92" s="338">
        <f t="shared" ref="Q92:AB92" si="80">Q83+Q15</f>
        <v>32.56</v>
      </c>
      <c r="R92" s="338">
        <f t="shared" si="80"/>
        <v>37.945</v>
      </c>
      <c r="S92" s="338">
        <f t="shared" si="80"/>
        <v>37</v>
      </c>
      <c r="T92" s="338"/>
      <c r="U92" s="338"/>
      <c r="V92" s="338">
        <f t="shared" si="80"/>
        <v>37.5</v>
      </c>
      <c r="W92" s="338">
        <f t="shared" si="80"/>
        <v>38</v>
      </c>
      <c r="X92" s="338">
        <f t="shared" si="80"/>
        <v>39.5</v>
      </c>
      <c r="Y92" s="338">
        <f t="shared" si="80"/>
        <v>40.200000000000003</v>
      </c>
      <c r="Z92" s="338">
        <f t="shared" si="80"/>
        <v>41</v>
      </c>
      <c r="AA92" s="338">
        <f t="shared" si="80"/>
        <v>42.4</v>
      </c>
      <c r="AB92" s="338">
        <f t="shared" si="80"/>
        <v>43.9</v>
      </c>
      <c r="AC92" s="339">
        <f>AC83+AC15</f>
        <v>45.4</v>
      </c>
      <c r="AD92" s="340">
        <f>AD83+AD15</f>
        <v>33.604999999999997</v>
      </c>
      <c r="AE92" s="341">
        <f t="shared" ref="AE92" si="81">AE83+AE15</f>
        <v>37.5</v>
      </c>
      <c r="AF92" s="341">
        <f>AF83+AF15</f>
        <v>40.233333333333334</v>
      </c>
      <c r="AG92" s="341">
        <f>AG83+AG15</f>
        <v>43.9</v>
      </c>
      <c r="AH92" s="342">
        <f t="shared" si="68"/>
        <v>38.809583333333329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t="21.5" thickBot="1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7"/>
      <c r="S93" s="137"/>
      <c r="T93" s="136"/>
      <c r="U93" s="136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.5">
      <c r="A94" s="332" t="s">
        <v>54</v>
      </c>
      <c r="B94" s="343" t="s">
        <v>54</v>
      </c>
      <c r="C94" s="343" t="s">
        <v>54</v>
      </c>
      <c r="D94" s="344"/>
      <c r="E94" s="344"/>
      <c r="F94" s="329" t="s">
        <v>4</v>
      </c>
      <c r="G94" s="329" t="s">
        <v>5</v>
      </c>
      <c r="H94" s="329" t="s">
        <v>6</v>
      </c>
      <c r="I94" s="329" t="s">
        <v>7</v>
      </c>
      <c r="J94" s="328" t="s">
        <v>2</v>
      </c>
      <c r="K94" s="329" t="s">
        <v>9</v>
      </c>
      <c r="L94" s="329" t="s">
        <v>9</v>
      </c>
      <c r="M94" s="329" t="s">
        <v>9</v>
      </c>
      <c r="N94" s="329" t="s">
        <v>12</v>
      </c>
      <c r="O94" s="329" t="s">
        <v>13</v>
      </c>
      <c r="P94" s="329" t="s">
        <v>14</v>
      </c>
      <c r="Q94" s="329" t="s">
        <v>15</v>
      </c>
      <c r="R94" s="329" t="s">
        <v>16</v>
      </c>
      <c r="S94" s="329" t="s">
        <v>64</v>
      </c>
      <c r="T94" s="330"/>
      <c r="U94" s="330"/>
      <c r="V94" s="329" t="s">
        <v>65</v>
      </c>
      <c r="W94" s="329" t="s">
        <v>66</v>
      </c>
      <c r="X94" s="329" t="s">
        <v>67</v>
      </c>
      <c r="Y94" s="329" t="s">
        <v>68</v>
      </c>
      <c r="Z94" s="329" t="s">
        <v>69</v>
      </c>
      <c r="AA94" s="329" t="s">
        <v>70</v>
      </c>
      <c r="AB94" s="329" t="s">
        <v>77</v>
      </c>
      <c r="AC94" s="331" t="s">
        <v>78</v>
      </c>
      <c r="AD94" s="332" t="s">
        <v>79</v>
      </c>
      <c r="AE94" s="329" t="s">
        <v>80</v>
      </c>
      <c r="AF94" s="329" t="s">
        <v>81</v>
      </c>
      <c r="AG94" s="329" t="s">
        <v>82</v>
      </c>
      <c r="AH94" s="331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.5">
      <c r="A95" s="345" t="s">
        <v>56</v>
      </c>
      <c r="B95" s="138" t="s">
        <v>56</v>
      </c>
      <c r="C95" s="138" t="s">
        <v>56</v>
      </c>
      <c r="D95" s="142"/>
      <c r="E95" s="142"/>
      <c r="F95" s="143">
        <f t="shared" ref="F95" si="82">F86</f>
        <v>0</v>
      </c>
      <c r="G95" s="143">
        <f>G86</f>
        <v>56.18</v>
      </c>
      <c r="H95" s="143">
        <f t="shared" ref="H95" si="83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84">K86</f>
        <v>48.3</v>
      </c>
      <c r="L95" s="143">
        <f t="shared" si="84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26.81</v>
      </c>
      <c r="Q95" s="143">
        <f>Q86</f>
        <v>29.38</v>
      </c>
      <c r="R95" s="143">
        <f t="shared" ref="R95" si="85">R86</f>
        <v>34.314999999999998</v>
      </c>
      <c r="S95" s="143">
        <f t="shared" ref="S95:AG95" si="86">S86</f>
        <v>33.5</v>
      </c>
      <c r="T95" s="144"/>
      <c r="U95" s="144"/>
      <c r="V95" s="143">
        <f t="shared" si="86"/>
        <v>34</v>
      </c>
      <c r="W95" s="143">
        <f t="shared" si="86"/>
        <v>34.5</v>
      </c>
      <c r="X95" s="143">
        <f t="shared" si="86"/>
        <v>36</v>
      </c>
      <c r="Y95" s="143">
        <f t="shared" si="86"/>
        <v>37</v>
      </c>
      <c r="Z95" s="143">
        <f t="shared" si="86"/>
        <v>38</v>
      </c>
      <c r="AA95" s="143">
        <f t="shared" si="86"/>
        <v>39.5</v>
      </c>
      <c r="AB95" s="143">
        <f t="shared" si="86"/>
        <v>41</v>
      </c>
      <c r="AC95" s="353">
        <f t="shared" si="86"/>
        <v>42.5</v>
      </c>
      <c r="AD95" s="321">
        <f t="shared" si="86"/>
        <v>30.168333333333333</v>
      </c>
      <c r="AE95" s="260">
        <f t="shared" si="86"/>
        <v>34</v>
      </c>
      <c r="AF95" s="260">
        <f t="shared" si="86"/>
        <v>37</v>
      </c>
      <c r="AG95" s="260">
        <f t="shared" si="86"/>
        <v>41</v>
      </c>
      <c r="AH95" s="334">
        <f t="shared" ref="AH95:AH101" si="87">AVERAGE(P95:AC95)</f>
        <v>35.542083333333331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.5">
      <c r="A96" s="345" t="s">
        <v>57</v>
      </c>
      <c r="B96" s="138" t="s">
        <v>57</v>
      </c>
      <c r="C96" s="138" t="s">
        <v>57</v>
      </c>
      <c r="D96" s="142"/>
      <c r="E96" s="142"/>
      <c r="F96" s="143">
        <f t="shared" ref="F96" si="88">F87-F86</f>
        <v>0</v>
      </c>
      <c r="G96" s="143">
        <f>G87-G86</f>
        <v>-3.0341000000000022</v>
      </c>
      <c r="H96" s="143">
        <f t="shared" ref="H96" si="89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90">K87-K86</f>
        <v>#REF!</v>
      </c>
      <c r="L96" s="143" t="e">
        <f t="shared" si="90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9.7899999999999956</v>
      </c>
      <c r="Q96" s="143">
        <f>Q87-Q86</f>
        <v>4.5627777777777787</v>
      </c>
      <c r="R96" s="143">
        <f t="shared" ref="R96" si="91">R87-R86</f>
        <v>3.3149999999999977</v>
      </c>
      <c r="S96" s="143">
        <f t="shared" ref="S96:AG96" si="92">S87-S86</f>
        <v>3</v>
      </c>
      <c r="T96" s="144"/>
      <c r="U96" s="144"/>
      <c r="V96" s="143">
        <f t="shared" si="92"/>
        <v>3.5</v>
      </c>
      <c r="W96" s="143">
        <f t="shared" si="92"/>
        <v>4</v>
      </c>
      <c r="X96" s="143">
        <f t="shared" si="92"/>
        <v>3.5</v>
      </c>
      <c r="Y96" s="143">
        <f t="shared" si="92"/>
        <v>3</v>
      </c>
      <c r="Z96" s="143">
        <f t="shared" si="92"/>
        <v>2.7000000000000028</v>
      </c>
      <c r="AA96" s="143">
        <f t="shared" si="92"/>
        <v>2.7000000000000028</v>
      </c>
      <c r="AB96" s="143">
        <f t="shared" si="92"/>
        <v>2.7000000000000028</v>
      </c>
      <c r="AC96" s="353">
        <f t="shared" si="92"/>
        <v>3</v>
      </c>
      <c r="AD96" s="321">
        <f t="shared" si="92"/>
        <v>5.8892592592592585</v>
      </c>
      <c r="AE96" s="260">
        <f t="shared" si="92"/>
        <v>3.5</v>
      </c>
      <c r="AF96" s="260">
        <f t="shared" si="92"/>
        <v>3.0666666666666629</v>
      </c>
      <c r="AG96" s="260">
        <f t="shared" si="92"/>
        <v>2.7999999999999972</v>
      </c>
      <c r="AH96" s="334">
        <f t="shared" si="87"/>
        <v>3.8139814814814819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5">
      <c r="A97" s="345" t="s">
        <v>58</v>
      </c>
      <c r="B97" s="138" t="s">
        <v>58</v>
      </c>
      <c r="C97" s="138" t="s">
        <v>58</v>
      </c>
      <c r="D97" s="142"/>
      <c r="E97" s="142"/>
      <c r="F97" s="143">
        <f t="shared" ref="F97" si="93">F88-F86</f>
        <v>0</v>
      </c>
      <c r="G97" s="143">
        <f>G88-G86</f>
        <v>19.766299999999994</v>
      </c>
      <c r="H97" s="143">
        <f t="shared" ref="H97" si="94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95">K88-K86</f>
        <v>16.482500000000002</v>
      </c>
      <c r="L97" s="143">
        <f t="shared" si="95"/>
        <v>17.249999999999993</v>
      </c>
      <c r="M97" s="143">
        <f t="shared" si="95"/>
        <v>16.372499999999995</v>
      </c>
      <c r="N97" s="143">
        <f>N88-N86</f>
        <v>15.8125</v>
      </c>
      <c r="O97" s="143">
        <f>O88-O86</f>
        <v>17.5</v>
      </c>
      <c r="P97" s="143">
        <f>P88-P86</f>
        <v>23.610000000000003</v>
      </c>
      <c r="Q97" s="143">
        <f t="shared" ref="Q97" si="96">Q88-Q86</f>
        <v>15.2</v>
      </c>
      <c r="R97" s="143">
        <f>R88-R86</f>
        <v>18.212499999999999</v>
      </c>
      <c r="S97" s="143">
        <f t="shared" ref="S97:AG97" si="97">S88-S86</f>
        <v>19.5</v>
      </c>
      <c r="T97" s="144"/>
      <c r="U97" s="144"/>
      <c r="V97" s="143">
        <f t="shared" si="97"/>
        <v>20</v>
      </c>
      <c r="W97" s="143">
        <f t="shared" si="97"/>
        <v>20.5</v>
      </c>
      <c r="X97" s="143">
        <f t="shared" si="97"/>
        <v>19.5</v>
      </c>
      <c r="Y97" s="143">
        <f t="shared" si="97"/>
        <v>18</v>
      </c>
      <c r="Z97" s="143">
        <f t="shared" si="97"/>
        <v>16.5</v>
      </c>
      <c r="AA97" s="143">
        <f t="shared" si="97"/>
        <v>16</v>
      </c>
      <c r="AB97" s="143">
        <f t="shared" si="97"/>
        <v>15</v>
      </c>
      <c r="AC97" s="353">
        <f t="shared" si="97"/>
        <v>15</v>
      </c>
      <c r="AD97" s="321">
        <f t="shared" si="97"/>
        <v>19.007499999999997</v>
      </c>
      <c r="AE97" s="260">
        <f t="shared" si="97"/>
        <v>20</v>
      </c>
      <c r="AF97" s="260">
        <f t="shared" si="97"/>
        <v>18</v>
      </c>
      <c r="AG97" s="260">
        <f t="shared" si="97"/>
        <v>15.333333333333336</v>
      </c>
      <c r="AH97" s="334">
        <f t="shared" si="87"/>
        <v>18.085208333333334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5">
      <c r="A98" s="345" t="s">
        <v>59</v>
      </c>
      <c r="B98" s="138" t="s">
        <v>59</v>
      </c>
      <c r="C98" s="138" t="s">
        <v>59</v>
      </c>
      <c r="D98" s="142"/>
      <c r="E98" s="142"/>
      <c r="F98" s="143">
        <f t="shared" ref="F98" si="98">F89-F86</f>
        <v>0</v>
      </c>
      <c r="G98" s="143">
        <f>G89-G86</f>
        <v>9.6289999999999978</v>
      </c>
      <c r="H98" s="143">
        <f t="shared" ref="H98" si="99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100">K89-K86</f>
        <v>13.11</v>
      </c>
      <c r="L98" s="143">
        <f t="shared" si="100"/>
        <v>13.435000000000002</v>
      </c>
      <c r="M98" s="143">
        <f t="shared" si="100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11.099999999999998</v>
      </c>
      <c r="Q98" s="143">
        <f>Q89-Q86</f>
        <v>11.620000000000001</v>
      </c>
      <c r="R98" s="143">
        <f t="shared" ref="R98" si="101">R89-R86</f>
        <v>12.030000000000001</v>
      </c>
      <c r="S98" s="143">
        <f t="shared" ref="S98:AG98" si="102">S89-S86</f>
        <v>11.299999999999997</v>
      </c>
      <c r="T98" s="144"/>
      <c r="U98" s="144"/>
      <c r="V98" s="143">
        <f t="shared" si="102"/>
        <v>10.75</v>
      </c>
      <c r="W98" s="143">
        <f t="shared" si="102"/>
        <v>11.237499999999997</v>
      </c>
      <c r="X98" s="143">
        <f t="shared" si="102"/>
        <v>11.5</v>
      </c>
      <c r="Y98" s="143">
        <f t="shared" si="102"/>
        <v>10.700000000000003</v>
      </c>
      <c r="Z98" s="143">
        <f t="shared" si="102"/>
        <v>11</v>
      </c>
      <c r="AA98" s="143">
        <f t="shared" si="102"/>
        <v>12.200000000000003</v>
      </c>
      <c r="AB98" s="143">
        <f t="shared" si="102"/>
        <v>13.299999999999997</v>
      </c>
      <c r="AC98" s="353">
        <f t="shared" si="102"/>
        <v>13.799999999999997</v>
      </c>
      <c r="AD98" s="321">
        <f t="shared" si="102"/>
        <v>11.583333333333332</v>
      </c>
      <c r="AE98" s="260">
        <f t="shared" si="102"/>
        <v>11.095833333333331</v>
      </c>
      <c r="AF98" s="260">
        <f t="shared" si="102"/>
        <v>11.06666666666667</v>
      </c>
      <c r="AG98" s="260">
        <f t="shared" si="102"/>
        <v>13.100000000000001</v>
      </c>
      <c r="AH98" s="334">
        <f t="shared" si="87"/>
        <v>11.711458333333333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.5">
      <c r="A99" s="345" t="s">
        <v>60</v>
      </c>
      <c r="B99" s="138" t="s">
        <v>60</v>
      </c>
      <c r="C99" s="138" t="s">
        <v>60</v>
      </c>
      <c r="D99" s="142"/>
      <c r="E99" s="142"/>
      <c r="F99" s="143">
        <f t="shared" ref="F99" si="103">F90-F86</f>
        <v>0</v>
      </c>
      <c r="G99" s="143">
        <f>G90-G86</f>
        <v>8.8899999999999935</v>
      </c>
      <c r="H99" s="143">
        <f t="shared" ref="H99" si="104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105">K90-K86</f>
        <v>13.350000000000001</v>
      </c>
      <c r="L99" s="143">
        <f t="shared" si="105"/>
        <v>13.75</v>
      </c>
      <c r="M99" s="143">
        <f t="shared" si="105"/>
        <v>13.07</v>
      </c>
      <c r="N99" s="143">
        <f>N90-N86</f>
        <v>14.030000000000001</v>
      </c>
      <c r="O99" s="143">
        <f>O90-O86</f>
        <v>14.15</v>
      </c>
      <c r="P99" s="143">
        <f>P90-P86</f>
        <v>9.34</v>
      </c>
      <c r="Q99" s="143">
        <f>Q90-Q86</f>
        <v>9.16</v>
      </c>
      <c r="R99" s="143">
        <f t="shared" ref="R99" si="106">R90-R86</f>
        <v>10.567499999999995</v>
      </c>
      <c r="S99" s="143">
        <f t="shared" ref="S99:AG99" si="107">S90-S86</f>
        <v>10.899999999999999</v>
      </c>
      <c r="T99" s="144"/>
      <c r="U99" s="144"/>
      <c r="V99" s="143">
        <f t="shared" si="107"/>
        <v>10.700000000000003</v>
      </c>
      <c r="W99" s="143">
        <f t="shared" si="107"/>
        <v>10.600000000000001</v>
      </c>
      <c r="X99" s="143">
        <f t="shared" si="107"/>
        <v>10.700000000000003</v>
      </c>
      <c r="Y99" s="143">
        <f t="shared" si="107"/>
        <v>9.8999999999999986</v>
      </c>
      <c r="Z99" s="143">
        <f t="shared" si="107"/>
        <v>10.200000000000003</v>
      </c>
      <c r="AA99" s="143">
        <f t="shared" si="107"/>
        <v>11.399999999999999</v>
      </c>
      <c r="AB99" s="143">
        <f t="shared" si="107"/>
        <v>12.5</v>
      </c>
      <c r="AC99" s="353">
        <f t="shared" si="107"/>
        <v>12.799999999999997</v>
      </c>
      <c r="AD99" s="321">
        <f t="shared" si="107"/>
        <v>9.6891666666666687</v>
      </c>
      <c r="AE99" s="260">
        <f t="shared" si="107"/>
        <v>10.733333333333334</v>
      </c>
      <c r="AF99" s="260">
        <f t="shared" si="107"/>
        <v>10.266666666666666</v>
      </c>
      <c r="AG99" s="260">
        <f t="shared" si="107"/>
        <v>12.233333333333334</v>
      </c>
      <c r="AH99" s="334">
        <f t="shared" si="87"/>
        <v>10.730624999999998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18.5">
      <c r="A100" s="345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108">H91-H86</f>
        <v>-8.9503004558640669</v>
      </c>
      <c r="I100" s="143">
        <f t="shared" si="108"/>
        <v>-7.8993307086614237</v>
      </c>
      <c r="J100" s="143">
        <f t="shared" ref="J100" si="109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-3.13</v>
      </c>
      <c r="Q100" s="143">
        <f>Q72</f>
        <v>-5.08</v>
      </c>
      <c r="R100" s="143">
        <f t="shared" ref="R100" si="110">R72</f>
        <v>-6.9625000000000004</v>
      </c>
      <c r="S100" s="143">
        <f t="shared" ref="S100" si="111">S72</f>
        <v>-6.5</v>
      </c>
      <c r="T100" s="144"/>
      <c r="U100" s="144"/>
      <c r="V100" s="143">
        <f t="shared" ref="V100:AG100" si="112">V71</f>
        <v>-6.5250000000000004</v>
      </c>
      <c r="W100" s="143">
        <f t="shared" si="112"/>
        <v>-6.5875000000000004</v>
      </c>
      <c r="X100" s="143">
        <f t="shared" si="112"/>
        <v>-7</v>
      </c>
      <c r="Y100" s="143">
        <f t="shared" si="112"/>
        <v>-7.05</v>
      </c>
      <c r="Z100" s="143">
        <f t="shared" si="112"/>
        <v>-6.9749999999999996</v>
      </c>
      <c r="AA100" s="143">
        <f t="shared" si="112"/>
        <v>-7.0250000000000004</v>
      </c>
      <c r="AB100" s="143">
        <f t="shared" si="112"/>
        <v>-7.0750000000000002</v>
      </c>
      <c r="AC100" s="353">
        <f t="shared" si="112"/>
        <v>-7</v>
      </c>
      <c r="AD100" s="321">
        <f t="shared" si="112"/>
        <v>-5.0575000000000001</v>
      </c>
      <c r="AE100" s="260">
        <f t="shared" si="112"/>
        <v>-6.55</v>
      </c>
      <c r="AF100" s="260">
        <f t="shared" si="112"/>
        <v>-7.0083333333333329</v>
      </c>
      <c r="AG100" s="260">
        <f t="shared" si="112"/>
        <v>-7.0333333333333332</v>
      </c>
      <c r="AH100" s="334">
        <f t="shared" si="87"/>
        <v>-6.4091666666666667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 thickBot="1">
      <c r="A101" s="346" t="s">
        <v>62</v>
      </c>
      <c r="B101" s="347" t="s">
        <v>62</v>
      </c>
      <c r="C101" s="347" t="s">
        <v>62</v>
      </c>
      <c r="D101" s="348"/>
      <c r="E101" s="348"/>
      <c r="F101" s="349">
        <f t="shared" ref="F101" si="113">F82</f>
        <v>0</v>
      </c>
      <c r="G101" s="349">
        <f>G82</f>
        <v>0</v>
      </c>
      <c r="H101" s="349">
        <f t="shared" ref="H101" si="114">H82</f>
        <v>0</v>
      </c>
      <c r="I101" s="349">
        <f>I82</f>
        <v>0</v>
      </c>
      <c r="J101" s="349" t="e">
        <f>J82</f>
        <v>#DIV/0!</v>
      </c>
      <c r="K101" s="349">
        <f t="shared" ref="K101:M101" si="115">K82</f>
        <v>1.2</v>
      </c>
      <c r="L101" s="349">
        <f t="shared" si="115"/>
        <v>1.5</v>
      </c>
      <c r="M101" s="349">
        <f t="shared" si="115"/>
        <v>1.625</v>
      </c>
      <c r="N101" s="349">
        <f>N92-N86</f>
        <v>1.6000000000000014</v>
      </c>
      <c r="O101" s="349">
        <f>O92-O86</f>
        <v>2.0666666666666669</v>
      </c>
      <c r="P101" s="349">
        <f>P92-P86</f>
        <v>3.5</v>
      </c>
      <c r="Q101" s="349">
        <f>Q92-Q86</f>
        <v>3.1800000000000033</v>
      </c>
      <c r="R101" s="349">
        <f t="shared" ref="R101" si="116">R92-R86</f>
        <v>3.6300000000000026</v>
      </c>
      <c r="S101" s="349">
        <f t="shared" ref="S101:AG101" si="117">S92-S86</f>
        <v>3.5</v>
      </c>
      <c r="T101" s="350"/>
      <c r="U101" s="350"/>
      <c r="V101" s="349">
        <f t="shared" si="117"/>
        <v>3.5</v>
      </c>
      <c r="W101" s="349">
        <f t="shared" si="117"/>
        <v>3.5</v>
      </c>
      <c r="X101" s="349">
        <f t="shared" si="117"/>
        <v>3.5</v>
      </c>
      <c r="Y101" s="349">
        <f t="shared" si="117"/>
        <v>3.2000000000000028</v>
      </c>
      <c r="Z101" s="349">
        <f t="shared" si="117"/>
        <v>3</v>
      </c>
      <c r="AA101" s="349">
        <f t="shared" si="117"/>
        <v>2.8999999999999986</v>
      </c>
      <c r="AB101" s="349">
        <f t="shared" si="117"/>
        <v>2.8999999999999986</v>
      </c>
      <c r="AC101" s="354">
        <f t="shared" si="117"/>
        <v>2.8999999999999986</v>
      </c>
      <c r="AD101" s="351">
        <f>AD92-AD86</f>
        <v>3.4366666666666639</v>
      </c>
      <c r="AE101" s="352">
        <f>AE92-AE86</f>
        <v>3.5</v>
      </c>
      <c r="AF101" s="352">
        <f>AF92-AF86</f>
        <v>3.2333333333333343</v>
      </c>
      <c r="AG101" s="352">
        <f t="shared" si="117"/>
        <v>2.8999999999999986</v>
      </c>
      <c r="AH101" s="342">
        <f t="shared" si="87"/>
        <v>3.2675000000000005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63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9"/>
      <c r="S102" s="279"/>
      <c r="T102" s="280"/>
      <c r="U102" s="280"/>
      <c r="V102" s="279"/>
      <c r="W102" s="279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 hidden="1">
      <c r="A103" s="263"/>
      <c r="B103" s="281"/>
      <c r="C103" s="281"/>
      <c r="D103" s="282"/>
      <c r="E103" s="282"/>
      <c r="F103" s="283" t="s">
        <v>4</v>
      </c>
      <c r="G103" s="283" t="s">
        <v>5</v>
      </c>
      <c r="H103" s="283" t="s">
        <v>6</v>
      </c>
      <c r="I103" s="283" t="s">
        <v>7</v>
      </c>
      <c r="J103" s="284"/>
      <c r="K103" s="283" t="s">
        <v>9</v>
      </c>
      <c r="L103" s="283" t="s">
        <v>9</v>
      </c>
      <c r="M103" s="283" t="s">
        <v>70</v>
      </c>
      <c r="N103" s="283" t="s">
        <v>12</v>
      </c>
      <c r="O103" s="283" t="s">
        <v>13</v>
      </c>
      <c r="P103" s="283" t="s">
        <v>13</v>
      </c>
      <c r="Q103" s="283" t="s">
        <v>13</v>
      </c>
      <c r="R103" s="283"/>
      <c r="S103" s="283"/>
      <c r="T103" s="285"/>
      <c r="U103" s="285"/>
      <c r="V103" s="283"/>
      <c r="W103" s="283"/>
      <c r="X103" s="283" t="s">
        <v>17</v>
      </c>
      <c r="Y103" s="286"/>
      <c r="Z103" s="286"/>
      <c r="AA103" s="286"/>
      <c r="AB103" s="286"/>
      <c r="AC103" s="286"/>
      <c r="AD103" s="283" t="s">
        <v>55</v>
      </c>
      <c r="AE103" s="283" t="s">
        <v>55</v>
      </c>
      <c r="AF103" s="283"/>
      <c r="AG103" s="283" t="s">
        <v>55</v>
      </c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 hidden="1">
      <c r="A104" s="263"/>
      <c r="B104" s="287">
        <v>0.03</v>
      </c>
      <c r="C104" s="287">
        <v>0.03</v>
      </c>
      <c r="D104" s="288"/>
      <c r="E104" s="288"/>
      <c r="F104" s="289">
        <f>$B$104*$J$104</f>
        <v>-0.6</v>
      </c>
      <c r="G104" s="289">
        <f>$B$104*$J$104</f>
        <v>-0.6</v>
      </c>
      <c r="H104" s="289">
        <f>$B$104*$J$104</f>
        <v>-0.6</v>
      </c>
      <c r="I104" s="289">
        <f>$B$104*$J$104</f>
        <v>-0.6</v>
      </c>
      <c r="J104" s="290">
        <v>-20</v>
      </c>
      <c r="K104" s="289">
        <f t="shared" ref="K104:P104" si="118">$B$104*$J$104</f>
        <v>-0.6</v>
      </c>
      <c r="L104" s="289">
        <f t="shared" si="118"/>
        <v>-0.6</v>
      </c>
      <c r="M104" s="289">
        <f t="shared" si="118"/>
        <v>-0.6</v>
      </c>
      <c r="N104" s="289">
        <f t="shared" si="118"/>
        <v>-0.6</v>
      </c>
      <c r="O104" s="289">
        <f t="shared" si="118"/>
        <v>-0.6</v>
      </c>
      <c r="P104" s="289">
        <f t="shared" si="118"/>
        <v>-0.6</v>
      </c>
      <c r="Q104" s="289">
        <f>$B$104*$J$104</f>
        <v>-0.6</v>
      </c>
      <c r="R104" s="291"/>
      <c r="S104" s="291"/>
      <c r="T104" s="292"/>
      <c r="U104" s="292"/>
      <c r="V104" s="291"/>
      <c r="W104" s="291"/>
      <c r="X104" s="291">
        <v>0.94499999999999995</v>
      </c>
      <c r="Y104" s="291"/>
      <c r="Z104" s="291"/>
      <c r="AA104" s="291"/>
      <c r="AB104" s="291"/>
      <c r="AC104" s="291"/>
      <c r="AD104" s="289">
        <f>$B$104*$J$104</f>
        <v>-0.6</v>
      </c>
      <c r="AE104" s="289">
        <f>$B$104*$J$104</f>
        <v>-0.6</v>
      </c>
      <c r="AF104" s="289"/>
      <c r="AG104" s="289">
        <f>$B$104*$J$104</f>
        <v>-0.6</v>
      </c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 hidden="1">
      <c r="A105" s="263"/>
      <c r="B105" s="287">
        <v>0.03</v>
      </c>
      <c r="C105" s="287">
        <v>0.03</v>
      </c>
      <c r="D105" s="288"/>
      <c r="E105" s="288"/>
      <c r="F105" s="289">
        <f t="shared" ref="F105:I108" si="119">$B105*(F87-F$86-1.7)</f>
        <v>-5.0999999999999997E-2</v>
      </c>
      <c r="G105" s="289">
        <f t="shared" si="119"/>
        <v>-0.14202300000000007</v>
      </c>
      <c r="H105" s="289">
        <f t="shared" si="119"/>
        <v>-0.10879736842105259</v>
      </c>
      <c r="I105" s="289">
        <f t="shared" si="119"/>
        <v>-8.1000000000004332E-3</v>
      </c>
      <c r="J105" s="290"/>
      <c r="K105" s="289" t="e">
        <f t="shared" ref="K105:P108" si="120">$B105*(K87-K$86-1.7)</f>
        <v>#REF!</v>
      </c>
      <c r="L105" s="289" t="e">
        <f t="shared" si="120"/>
        <v>#REF!</v>
      </c>
      <c r="M105" s="289">
        <f t="shared" si="120"/>
        <v>-8.2500000000000837E-3</v>
      </c>
      <c r="N105" s="289">
        <f t="shared" si="120"/>
        <v>6.5249999999999989E-2</v>
      </c>
      <c r="O105" s="289">
        <f t="shared" si="120"/>
        <v>0.129</v>
      </c>
      <c r="P105" s="289">
        <f t="shared" si="120"/>
        <v>0.24269999999999989</v>
      </c>
      <c r="Q105" s="289">
        <f>$B105*(Q87-Q$86-1.7)</f>
        <v>8.5883333333333353E-2</v>
      </c>
      <c r="R105" s="291"/>
      <c r="S105" s="291"/>
      <c r="T105" s="292"/>
      <c r="U105" s="292"/>
      <c r="V105" s="291"/>
      <c r="W105" s="291"/>
      <c r="X105" s="291" t="e">
        <v>#REF!</v>
      </c>
      <c r="Y105" s="291"/>
      <c r="Z105" s="291"/>
      <c r="AA105" s="291"/>
      <c r="AB105" s="291"/>
      <c r="AC105" s="291"/>
      <c r="AD105" s="289">
        <f t="shared" ref="AD105:AG108" si="121">$B105*(AD87-AD$86-1.7)</f>
        <v>0.12567777777777775</v>
      </c>
      <c r="AE105" s="289">
        <f t="shared" si="121"/>
        <v>5.3999999999999999E-2</v>
      </c>
      <c r="AF105" s="289"/>
      <c r="AG105" s="289">
        <f t="shared" si="121"/>
        <v>3.2999999999999918E-2</v>
      </c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 hidden="1">
      <c r="A106" s="263"/>
      <c r="B106" s="287">
        <v>0.16</v>
      </c>
      <c r="C106" s="287">
        <v>0.16</v>
      </c>
      <c r="D106" s="288"/>
      <c r="E106" s="288"/>
      <c r="F106" s="289">
        <f t="shared" si="119"/>
        <v>-0.27200000000000002</v>
      </c>
      <c r="G106" s="289">
        <f t="shared" si="119"/>
        <v>2.8906079999999994</v>
      </c>
      <c r="H106" s="289">
        <f t="shared" si="119"/>
        <v>2.6582315789473734</v>
      </c>
      <c r="I106" s="289">
        <f t="shared" si="119"/>
        <v>2.9057599999999999</v>
      </c>
      <c r="J106" s="290"/>
      <c r="K106" s="289">
        <f t="shared" si="120"/>
        <v>2.3652000000000006</v>
      </c>
      <c r="L106" s="289">
        <f t="shared" si="120"/>
        <v>2.4879999999999991</v>
      </c>
      <c r="M106" s="289">
        <f t="shared" si="120"/>
        <v>2.3475999999999995</v>
      </c>
      <c r="N106" s="289">
        <f t="shared" si="120"/>
        <v>2.258</v>
      </c>
      <c r="O106" s="289">
        <f t="shared" si="120"/>
        <v>2.528</v>
      </c>
      <c r="P106" s="289">
        <f t="shared" si="120"/>
        <v>3.5056000000000007</v>
      </c>
      <c r="Q106" s="289">
        <f>$B106*(Q88-Q$86-1.7)</f>
        <v>2.16</v>
      </c>
      <c r="R106" s="291"/>
      <c r="S106" s="291"/>
      <c r="T106" s="292"/>
      <c r="U106" s="292"/>
      <c r="V106" s="291"/>
      <c r="W106" s="291"/>
      <c r="X106" s="291" t="e">
        <v>#REF!</v>
      </c>
      <c r="Y106" s="291"/>
      <c r="Z106" s="291"/>
      <c r="AA106" s="291"/>
      <c r="AB106" s="291"/>
      <c r="AC106" s="291"/>
      <c r="AD106" s="289">
        <f t="shared" si="121"/>
        <v>2.7691999999999997</v>
      </c>
      <c r="AE106" s="289">
        <f t="shared" si="121"/>
        <v>2.9280000000000004</v>
      </c>
      <c r="AF106" s="289"/>
      <c r="AG106" s="289">
        <f t="shared" si="121"/>
        <v>2.1813333333333338</v>
      </c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 hidden="1">
      <c r="A107" s="252"/>
      <c r="B107" s="287">
        <v>0.15</v>
      </c>
      <c r="C107" s="287">
        <v>0.15</v>
      </c>
      <c r="D107" s="288"/>
      <c r="E107" s="288"/>
      <c r="F107" s="289">
        <f t="shared" si="119"/>
        <v>-0.255</v>
      </c>
      <c r="G107" s="289">
        <f t="shared" si="119"/>
        <v>1.1893499999999997</v>
      </c>
      <c r="H107" s="289">
        <f t="shared" si="119"/>
        <v>1.1527499999999997</v>
      </c>
      <c r="I107" s="289">
        <f t="shared" si="119"/>
        <v>1.7877749999999986</v>
      </c>
      <c r="J107" s="290"/>
      <c r="K107" s="289">
        <f t="shared" si="120"/>
        <v>1.7115</v>
      </c>
      <c r="L107" s="289">
        <f t="shared" si="120"/>
        <v>1.7602500000000003</v>
      </c>
      <c r="M107" s="289">
        <f t="shared" si="120"/>
        <v>1.7467499999999998</v>
      </c>
      <c r="N107" s="289">
        <f t="shared" si="120"/>
        <v>1.8794999999999995</v>
      </c>
      <c r="O107" s="289">
        <f t="shared" si="120"/>
        <v>2.085</v>
      </c>
      <c r="P107" s="289">
        <f t="shared" si="120"/>
        <v>1.4099999999999997</v>
      </c>
      <c r="Q107" s="289">
        <f>$B107*(Q89-Q$86-1.7)</f>
        <v>1.4880000000000002</v>
      </c>
      <c r="R107" s="291"/>
      <c r="S107" s="291"/>
      <c r="T107" s="292"/>
      <c r="U107" s="292"/>
      <c r="V107" s="291"/>
      <c r="W107" s="291"/>
      <c r="X107" s="291" t="e">
        <v>#REF!</v>
      </c>
      <c r="Y107" s="291"/>
      <c r="Z107" s="291"/>
      <c r="AA107" s="291"/>
      <c r="AB107" s="291"/>
      <c r="AC107" s="291"/>
      <c r="AD107" s="289">
        <f t="shared" si="121"/>
        <v>1.4824999999999999</v>
      </c>
      <c r="AE107" s="289">
        <f t="shared" si="121"/>
        <v>1.4093749999999998</v>
      </c>
      <c r="AF107" s="289"/>
      <c r="AG107" s="289">
        <f t="shared" si="121"/>
        <v>1.7100000000000002</v>
      </c>
      <c r="AH107" s="7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 hidden="1">
      <c r="A108" s="252"/>
      <c r="B108" s="287">
        <v>0.39</v>
      </c>
      <c r="C108" s="287">
        <v>0.39</v>
      </c>
      <c r="D108" s="288"/>
      <c r="E108" s="288"/>
      <c r="F108" s="289">
        <f t="shared" si="119"/>
        <v>-0.66300000000000003</v>
      </c>
      <c r="G108" s="289">
        <f t="shared" si="119"/>
        <v>2.8040999999999974</v>
      </c>
      <c r="H108" s="289">
        <f t="shared" si="119"/>
        <v>3.0129552631578984</v>
      </c>
      <c r="I108" s="289">
        <f t="shared" si="119"/>
        <v>4.8371700000000013</v>
      </c>
      <c r="J108" s="290"/>
      <c r="K108" s="289">
        <f t="shared" si="120"/>
        <v>4.5435000000000008</v>
      </c>
      <c r="L108" s="289">
        <f t="shared" si="120"/>
        <v>4.6995000000000005</v>
      </c>
      <c r="M108" s="289">
        <f t="shared" si="120"/>
        <v>4.4343000000000004</v>
      </c>
      <c r="N108" s="289">
        <f t="shared" si="120"/>
        <v>4.8087000000000009</v>
      </c>
      <c r="O108" s="289">
        <f t="shared" si="120"/>
        <v>4.8555000000000001</v>
      </c>
      <c r="P108" s="289">
        <f t="shared" si="120"/>
        <v>2.9796</v>
      </c>
      <c r="Q108" s="289">
        <f>$B108*(Q90-Q$86-1.7)</f>
        <v>2.9094000000000002</v>
      </c>
      <c r="R108" s="291"/>
      <c r="S108" s="291"/>
      <c r="T108" s="292"/>
      <c r="U108" s="292"/>
      <c r="V108" s="291"/>
      <c r="W108" s="291"/>
      <c r="X108" s="291" t="e">
        <v>#REF!</v>
      </c>
      <c r="Y108" s="291"/>
      <c r="Z108" s="291"/>
      <c r="AA108" s="291"/>
      <c r="AB108" s="291"/>
      <c r="AC108" s="291"/>
      <c r="AD108" s="289">
        <f t="shared" si="121"/>
        <v>3.1157750000000006</v>
      </c>
      <c r="AE108" s="289">
        <f t="shared" si="121"/>
        <v>3.5230000000000006</v>
      </c>
      <c r="AF108" s="289"/>
      <c r="AG108" s="289">
        <f t="shared" si="121"/>
        <v>4.1080000000000005</v>
      </c>
      <c r="AH108" s="7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 hidden="1">
      <c r="A109" s="252"/>
      <c r="B109" s="287">
        <v>0.12</v>
      </c>
      <c r="C109" s="287">
        <v>0.12</v>
      </c>
      <c r="D109" s="288"/>
      <c r="E109" s="288"/>
      <c r="F109" s="289">
        <f>$B$109*((F91/6.5)-(F$86-1.7))</f>
        <v>0.20399999999999999</v>
      </c>
      <c r="G109" s="289">
        <f>$B$109*((G91/6.5)-(G$86-1.7))</f>
        <v>-5.637637662992125</v>
      </c>
      <c r="H109" s="289">
        <f>$B$109*((H91/6.5)-(H$86-1.7))</f>
        <v>-4.8036857088208089</v>
      </c>
      <c r="I109" s="289">
        <f>$B$109*((I91/6.5)-(I$86-1.7))</f>
        <v>-4.5491414900060576</v>
      </c>
      <c r="J109" s="290"/>
      <c r="K109" s="289">
        <f t="shared" ref="K109:M109" si="122">$B$109*((K91/6.5)-(K$86-1.7))</f>
        <v>-0.88577076923076925</v>
      </c>
      <c r="L109" s="289">
        <f t="shared" si="122"/>
        <v>-0.88175538461538472</v>
      </c>
      <c r="M109" s="289">
        <f t="shared" si="122"/>
        <v>-0.90721384615384548</v>
      </c>
      <c r="N109" s="289">
        <f>$B$109*((N91/6.5)-(N$86-1.7))</f>
        <v>-0.73502076923076998</v>
      </c>
      <c r="O109" s="289">
        <f>$B$109*((O91/6.5)-(O$86-1.7))</f>
        <v>-0.58535384615384611</v>
      </c>
      <c r="P109" s="289">
        <f>$B$109*((P91/6.5)-(P$86-1.7))</f>
        <v>-0.23717538461538468</v>
      </c>
      <c r="Q109" s="289">
        <f>$B$109*((Q91/6.5)-(Q$86-1.7))</f>
        <v>-0.47289230769230811</v>
      </c>
      <c r="R109" s="291"/>
      <c r="S109" s="291"/>
      <c r="T109" s="292"/>
      <c r="U109" s="292"/>
      <c r="V109" s="291"/>
      <c r="W109" s="291"/>
      <c r="X109" s="291" t="e">
        <v>#REF!</v>
      </c>
      <c r="Y109" s="291"/>
      <c r="Z109" s="291"/>
      <c r="AA109" s="291"/>
      <c r="AB109" s="291"/>
      <c r="AC109" s="291"/>
      <c r="AD109" s="289">
        <f t="shared" ref="AD109:AG109" si="123">$B$109*((AD91/6.5)-(AD$86-1.7))</f>
        <v>-0.47243769230769256</v>
      </c>
      <c r="AE109" s="289">
        <f t="shared" si="123"/>
        <v>-0.65606153846153825</v>
      </c>
      <c r="AF109" s="289"/>
      <c r="AG109" s="289">
        <f t="shared" si="123"/>
        <v>-0.72233846153846226</v>
      </c>
      <c r="AH109" s="7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 hidden="1">
      <c r="A110" s="252"/>
      <c r="B110" s="287">
        <v>0.03</v>
      </c>
      <c r="C110" s="287">
        <v>0.03</v>
      </c>
      <c r="D110" s="288"/>
      <c r="E110" s="288"/>
      <c r="F110" s="289">
        <f>$B110*(F93-F$86-1.7)</f>
        <v>-5.0999999999999997E-2</v>
      </c>
      <c r="G110" s="289">
        <f>$B110*(G93-G$86-1.7)</f>
        <v>-1.7363999999999999</v>
      </c>
      <c r="H110" s="289">
        <f>$B110*(H93-H$86-1.7)</f>
        <v>-1.4817236842105261</v>
      </c>
      <c r="I110" s="289">
        <f>$B110*(I93-I$86-1.7)</f>
        <v>-1.4122500000000002</v>
      </c>
      <c r="J110" s="290"/>
      <c r="K110" s="289">
        <f t="shared" ref="K110:M110" si="124">$B110*(K93-K$86-1.7)</f>
        <v>-1.5</v>
      </c>
      <c r="L110" s="289">
        <f t="shared" si="124"/>
        <v>-1.4565000000000001</v>
      </c>
      <c r="M110" s="289">
        <f t="shared" si="124"/>
        <v>-1.5100499999999999</v>
      </c>
      <c r="N110" s="289">
        <f>$B110*(N93-N$86-1.7)</f>
        <v>-1.4385000000000001</v>
      </c>
      <c r="O110" s="289">
        <f>$B110*(O93-O$86-1.7)</f>
        <v>-5.0999999999999997E-2</v>
      </c>
      <c r="P110" s="289">
        <f>$B110*(P93-P$86-1.7)</f>
        <v>-0.85529999999999995</v>
      </c>
      <c r="Q110" s="289">
        <f>$B110*(Q93-Q$86-1.7)</f>
        <v>-0.9323999999999999</v>
      </c>
      <c r="R110" s="291"/>
      <c r="S110" s="291"/>
      <c r="T110" s="292"/>
      <c r="U110" s="292"/>
      <c r="V110" s="291"/>
      <c r="W110" s="291"/>
      <c r="X110" s="291" t="e">
        <v>#REF!</v>
      </c>
      <c r="Y110" s="291"/>
      <c r="Z110" s="291"/>
      <c r="AA110" s="291"/>
      <c r="AB110" s="291"/>
      <c r="AC110" s="291"/>
      <c r="AD110" s="289">
        <f t="shared" ref="AD110:AG110" si="125">$B110*(AD93-AD$86-1.7)</f>
        <v>-0.95604999999999996</v>
      </c>
      <c r="AE110" s="289">
        <f t="shared" si="125"/>
        <v>-1.071</v>
      </c>
      <c r="AF110" s="289"/>
      <c r="AG110" s="289">
        <f t="shared" si="125"/>
        <v>-1.2810000000000001</v>
      </c>
      <c r="AH110" s="7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 hidden="1">
      <c r="A111" s="252"/>
      <c r="B111" s="287">
        <v>0.09</v>
      </c>
      <c r="C111" s="287">
        <v>0.09</v>
      </c>
      <c r="D111" s="288"/>
      <c r="E111" s="288"/>
      <c r="F111" s="289"/>
      <c r="G111" s="289"/>
      <c r="H111" s="289"/>
      <c r="I111" s="289"/>
      <c r="J111" s="290"/>
      <c r="K111" s="289"/>
      <c r="L111" s="289"/>
      <c r="M111" s="289"/>
      <c r="N111" s="289"/>
      <c r="O111" s="289"/>
      <c r="P111" s="289"/>
      <c r="Q111" s="289"/>
      <c r="R111" s="291"/>
      <c r="S111" s="291"/>
      <c r="T111" s="292"/>
      <c r="U111" s="292"/>
      <c r="V111" s="291"/>
      <c r="W111" s="291"/>
      <c r="X111" s="291"/>
      <c r="Y111" s="291"/>
      <c r="Z111" s="291"/>
      <c r="AA111" s="291"/>
      <c r="AB111" s="291"/>
      <c r="AC111" s="291"/>
      <c r="AD111" s="289"/>
      <c r="AE111" s="289"/>
      <c r="AF111" s="289"/>
      <c r="AG111" s="289"/>
      <c r="AH111" s="7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 hidden="1">
      <c r="A112" s="252"/>
      <c r="B112" s="293"/>
      <c r="C112" s="293"/>
      <c r="D112" s="294"/>
      <c r="E112" s="294"/>
      <c r="F112" s="289">
        <f>SUM(F104:F110)</f>
        <v>-1.6879999999999999</v>
      </c>
      <c r="G112" s="289">
        <f>SUM(G104:G110)</f>
        <v>-1.2320026629921286</v>
      </c>
      <c r="H112" s="289">
        <f t="shared" ref="H112" si="126">SUM(H104:H110)</f>
        <v>-0.17026991934711599</v>
      </c>
      <c r="I112" s="289">
        <f>SUM(I104:I110)</f>
        <v>2.9612135099939429</v>
      </c>
      <c r="J112" s="290"/>
      <c r="K112" s="289" t="e">
        <f t="shared" ref="K112:M112" si="127">SUM(K104:K110)</f>
        <v>#REF!</v>
      </c>
      <c r="L112" s="289" t="e">
        <f t="shared" si="127"/>
        <v>#REF!</v>
      </c>
      <c r="M112" s="289">
        <f t="shared" si="127"/>
        <v>5.503136153846155</v>
      </c>
      <c r="N112" s="289">
        <f>SUM(N104:N110)</f>
        <v>6.2379292307692298</v>
      </c>
      <c r="O112" s="289">
        <f>SUM(O104:O110)</f>
        <v>8.3611461538461516</v>
      </c>
      <c r="P112" s="289">
        <f>SUM(P104:P110)</f>
        <v>6.4454246153846162</v>
      </c>
      <c r="Q112" s="289">
        <f t="shared" ref="Q112" si="128">SUM(Q104:Q110)</f>
        <v>4.6379910256410248</v>
      </c>
      <c r="R112" s="291"/>
      <c r="S112" s="291"/>
      <c r="T112" s="292"/>
      <c r="U112" s="292"/>
      <c r="V112" s="291"/>
      <c r="W112" s="291"/>
      <c r="X112" s="291" t="e">
        <v>#REF!</v>
      </c>
      <c r="Y112" s="291"/>
      <c r="Z112" s="291"/>
      <c r="AA112" s="291"/>
      <c r="AB112" s="291"/>
      <c r="AC112" s="291"/>
      <c r="AD112" s="289">
        <f t="shared" ref="AD112:AG112" si="129">SUM(AD104:AD110)</f>
        <v>5.4646650854700853</v>
      </c>
      <c r="AE112" s="289">
        <f t="shared" si="129"/>
        <v>5.5873134615384625</v>
      </c>
      <c r="AF112" s="289"/>
      <c r="AG112" s="289">
        <f t="shared" si="129"/>
        <v>5.4289948717948722</v>
      </c>
      <c r="AH112" s="7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80"/>
      <c r="U113" s="280"/>
      <c r="V113" s="277"/>
      <c r="W113" s="277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7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80"/>
      <c r="U114" s="280"/>
      <c r="V114" s="277"/>
      <c r="W114" s="277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7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80"/>
      <c r="U115" s="280"/>
      <c r="V115" s="277"/>
      <c r="W115" s="277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7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95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80"/>
      <c r="U116" s="280"/>
      <c r="V116" s="277"/>
      <c r="W116" s="277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7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95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80"/>
      <c r="U117" s="280"/>
      <c r="V117" s="277"/>
      <c r="W117" s="277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7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95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80"/>
      <c r="U118" s="280"/>
      <c r="V118" s="277"/>
      <c r="W118" s="277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7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95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80"/>
      <c r="U119" s="280"/>
      <c r="V119" s="277"/>
      <c r="W119" s="277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7"/>
    </row>
    <row r="120" spans="1:358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80"/>
      <c r="U120" s="280"/>
      <c r="V120" s="277"/>
      <c r="W120" s="277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7"/>
    </row>
    <row r="121" spans="1:358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80"/>
      <c r="U121" s="280"/>
      <c r="V121" s="277"/>
      <c r="W121" s="277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7"/>
    </row>
    <row r="122" spans="1:358">
      <c r="A122" s="263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80"/>
      <c r="U122" s="280"/>
      <c r="V122" s="277"/>
      <c r="W122" s="277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7"/>
    </row>
    <row r="123" spans="1:358">
      <c r="A123" s="263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80"/>
      <c r="U123" s="280"/>
      <c r="V123" s="277"/>
      <c r="W123" s="277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7"/>
    </row>
    <row r="124" spans="1:358" s="1" customFormat="1">
      <c r="A124" s="252"/>
      <c r="B124" s="276"/>
      <c r="C124" s="276"/>
      <c r="D124" s="152"/>
      <c r="E124" s="152"/>
      <c r="F124" s="277"/>
      <c r="G124" s="277"/>
      <c r="H124" s="277"/>
      <c r="I124" s="277"/>
      <c r="J124" s="278"/>
      <c r="K124" s="277"/>
      <c r="L124" s="277"/>
      <c r="M124" s="277"/>
      <c r="N124" s="277"/>
      <c r="O124" s="277"/>
      <c r="P124" s="277"/>
      <c r="Q124" s="277"/>
      <c r="R124" s="277"/>
      <c r="S124" s="277"/>
      <c r="T124" s="280"/>
      <c r="U124" s="280"/>
      <c r="V124" s="277"/>
      <c r="W124" s="277"/>
      <c r="X124" s="279"/>
      <c r="Y124" s="279"/>
      <c r="Z124" s="279"/>
      <c r="AA124" s="279"/>
      <c r="AB124" s="279"/>
      <c r="AC124" s="279"/>
      <c r="AD124" s="279"/>
      <c r="AE124" s="279"/>
      <c r="AF124" s="279"/>
      <c r="AG124" s="279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252"/>
      <c r="B125" s="276"/>
      <c r="C125" s="276"/>
      <c r="D125" s="152"/>
      <c r="E125" s="152"/>
      <c r="F125" s="277"/>
      <c r="G125" s="277"/>
      <c r="H125" s="277"/>
      <c r="I125" s="277"/>
      <c r="J125" s="278"/>
      <c r="K125" s="277"/>
      <c r="L125" s="277"/>
      <c r="M125" s="277"/>
      <c r="N125" s="277"/>
      <c r="O125" s="277"/>
      <c r="P125" s="277"/>
      <c r="Q125" s="277"/>
      <c r="R125" s="277"/>
      <c r="S125" s="277"/>
      <c r="T125" s="280"/>
      <c r="U125" s="280"/>
      <c r="V125" s="277"/>
      <c r="W125" s="277"/>
      <c r="X125" s="279"/>
      <c r="Y125" s="279"/>
      <c r="Z125" s="279"/>
      <c r="AA125" s="279"/>
      <c r="AB125" s="279"/>
      <c r="AC125" s="279"/>
      <c r="AD125" s="279"/>
      <c r="AE125" s="279"/>
      <c r="AF125" s="279"/>
      <c r="AG125" s="279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252"/>
      <c r="B126" s="276"/>
      <c r="C126" s="276"/>
      <c r="D126" s="152"/>
      <c r="E126" s="152"/>
      <c r="F126" s="277"/>
      <c r="G126" s="277"/>
      <c r="H126" s="277"/>
      <c r="I126" s="277"/>
      <c r="J126" s="278"/>
      <c r="K126" s="277"/>
      <c r="L126" s="277"/>
      <c r="M126" s="277"/>
      <c r="N126" s="277"/>
      <c r="O126" s="277"/>
      <c r="P126" s="277"/>
      <c r="Q126" s="277"/>
      <c r="R126" s="277"/>
      <c r="S126" s="277"/>
      <c r="T126" s="280"/>
      <c r="U126" s="280"/>
      <c r="V126" s="277"/>
      <c r="W126" s="277"/>
      <c r="X126" s="279"/>
      <c r="Y126" s="279"/>
      <c r="Z126" s="279"/>
      <c r="AA126" s="279"/>
      <c r="AB126" s="279"/>
      <c r="AC126" s="279"/>
      <c r="AD126" s="279"/>
      <c r="AE126" s="279"/>
      <c r="AF126" s="279"/>
      <c r="AG126" s="279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252"/>
      <c r="B127" s="276"/>
      <c r="C127" s="276"/>
      <c r="D127" s="152"/>
      <c r="E127" s="152"/>
      <c r="F127" s="277"/>
      <c r="G127" s="277"/>
      <c r="H127" s="277"/>
      <c r="I127" s="277"/>
      <c r="J127" s="278"/>
      <c r="K127" s="277"/>
      <c r="L127" s="277"/>
      <c r="M127" s="277"/>
      <c r="N127" s="277"/>
      <c r="O127" s="277"/>
      <c r="P127" s="277"/>
      <c r="Q127" s="277"/>
      <c r="R127" s="277"/>
      <c r="S127" s="277"/>
      <c r="T127" s="280"/>
      <c r="U127" s="280"/>
      <c r="V127" s="277"/>
      <c r="W127" s="277"/>
      <c r="X127" s="279"/>
      <c r="Y127" s="279"/>
      <c r="Z127" s="279"/>
      <c r="AA127" s="279"/>
      <c r="AB127" s="279"/>
      <c r="AC127" s="279"/>
      <c r="AD127" s="279"/>
      <c r="AE127" s="279"/>
      <c r="AF127" s="279"/>
      <c r="AG127" s="279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252"/>
      <c r="B128" s="276"/>
      <c r="C128" s="276"/>
      <c r="D128" s="152"/>
      <c r="E128" s="152"/>
      <c r="F128" s="277"/>
      <c r="G128" s="277"/>
      <c r="H128" s="277"/>
      <c r="I128" s="277"/>
      <c r="J128" s="278"/>
      <c r="K128" s="277"/>
      <c r="L128" s="277"/>
      <c r="M128" s="277"/>
      <c r="N128" s="277"/>
      <c r="O128" s="277"/>
      <c r="P128" s="277"/>
      <c r="Q128" s="277"/>
      <c r="R128" s="277"/>
      <c r="S128" s="277"/>
      <c r="T128" s="280"/>
      <c r="U128" s="280"/>
      <c r="V128" s="277"/>
      <c r="W128" s="277"/>
      <c r="X128" s="279"/>
      <c r="Y128" s="279"/>
      <c r="Z128" s="279"/>
      <c r="AA128" s="279"/>
      <c r="AB128" s="279"/>
      <c r="AC128" s="279"/>
      <c r="AD128" s="279"/>
      <c r="AE128" s="279"/>
      <c r="AF128" s="279"/>
      <c r="AG128" s="279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252"/>
      <c r="B129" s="276"/>
      <c r="C129" s="276"/>
      <c r="D129" s="152"/>
      <c r="E129" s="152"/>
      <c r="F129" s="277"/>
      <c r="G129" s="277"/>
      <c r="H129" s="277"/>
      <c r="I129" s="277"/>
      <c r="J129" s="278"/>
      <c r="K129" s="277"/>
      <c r="L129" s="277"/>
      <c r="M129" s="277"/>
      <c r="N129" s="277"/>
      <c r="O129" s="277"/>
      <c r="P129" s="277"/>
      <c r="Q129" s="277"/>
      <c r="R129" s="277"/>
      <c r="S129" s="277"/>
      <c r="T129" s="280"/>
      <c r="U129" s="280"/>
      <c r="V129" s="277"/>
      <c r="W129" s="277"/>
      <c r="X129" s="279"/>
      <c r="Y129" s="279"/>
      <c r="Z129" s="279"/>
      <c r="AA129" s="279"/>
      <c r="AB129" s="279"/>
      <c r="AC129" s="279"/>
      <c r="AD129" s="279"/>
      <c r="AE129" s="279"/>
      <c r="AF129" s="279"/>
      <c r="AG129" s="279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252"/>
      <c r="B130" s="276"/>
      <c r="C130" s="276"/>
      <c r="D130" s="152"/>
      <c r="E130" s="152"/>
      <c r="F130" s="277"/>
      <c r="G130" s="277"/>
      <c r="H130" s="277"/>
      <c r="I130" s="277"/>
      <c r="J130" s="278"/>
      <c r="K130" s="277"/>
      <c r="L130" s="277"/>
      <c r="M130" s="277"/>
      <c r="N130" s="277"/>
      <c r="O130" s="277"/>
      <c r="P130" s="277"/>
      <c r="Q130" s="277"/>
      <c r="R130" s="277"/>
      <c r="S130" s="277"/>
      <c r="T130" s="280"/>
      <c r="U130" s="280"/>
      <c r="V130" s="277"/>
      <c r="W130" s="277"/>
      <c r="X130" s="279"/>
      <c r="Y130" s="279"/>
      <c r="Z130" s="279"/>
      <c r="AA130" s="279"/>
      <c r="AB130" s="279"/>
      <c r="AC130" s="279"/>
      <c r="AD130" s="279"/>
      <c r="AE130" s="279"/>
      <c r="AF130" s="279"/>
      <c r="AG130" s="279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252"/>
      <c r="B131" s="276"/>
      <c r="C131" s="276"/>
      <c r="D131" s="152"/>
      <c r="E131" s="152"/>
      <c r="F131" s="277"/>
      <c r="G131" s="277"/>
      <c r="H131" s="277"/>
      <c r="I131" s="277"/>
      <c r="J131" s="278"/>
      <c r="K131" s="277"/>
      <c r="L131" s="277"/>
      <c r="M131" s="277"/>
      <c r="N131" s="277"/>
      <c r="O131" s="277"/>
      <c r="P131" s="277"/>
      <c r="Q131" s="277"/>
      <c r="R131" s="277"/>
      <c r="S131" s="277"/>
      <c r="T131" s="280"/>
      <c r="U131" s="280"/>
      <c r="V131" s="277"/>
      <c r="W131" s="277"/>
      <c r="X131" s="279"/>
      <c r="Y131" s="279"/>
      <c r="Z131" s="279"/>
      <c r="AA131" s="279"/>
      <c r="AB131" s="279"/>
      <c r="AC131" s="279"/>
      <c r="AD131" s="279"/>
      <c r="AE131" s="279"/>
      <c r="AF131" s="279"/>
      <c r="AG131" s="279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252"/>
      <c r="B132" s="276"/>
      <c r="C132" s="276"/>
      <c r="D132" s="152"/>
      <c r="E132" s="152"/>
      <c r="F132" s="277"/>
      <c r="G132" s="277"/>
      <c r="H132" s="277"/>
      <c r="I132" s="277"/>
      <c r="J132" s="278"/>
      <c r="K132" s="277"/>
      <c r="L132" s="277"/>
      <c r="M132" s="277"/>
      <c r="N132" s="277"/>
      <c r="O132" s="277"/>
      <c r="P132" s="277"/>
      <c r="Q132" s="277"/>
      <c r="R132" s="277"/>
      <c r="S132" s="277"/>
      <c r="T132" s="280"/>
      <c r="U132" s="280"/>
      <c r="V132" s="277"/>
      <c r="W132" s="277"/>
      <c r="X132" s="279"/>
      <c r="Y132" s="279"/>
      <c r="Z132" s="279"/>
      <c r="AA132" s="279"/>
      <c r="AB132" s="279"/>
      <c r="AC132" s="279"/>
      <c r="AD132" s="279"/>
      <c r="AE132" s="279"/>
      <c r="AF132" s="279"/>
      <c r="AG132" s="279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252"/>
      <c r="B133" s="276"/>
      <c r="C133" s="276"/>
      <c r="D133" s="152"/>
      <c r="E133" s="152"/>
      <c r="F133" s="277"/>
      <c r="G133" s="277"/>
      <c r="H133" s="277"/>
      <c r="I133" s="277"/>
      <c r="J133" s="278"/>
      <c r="K133" s="277"/>
      <c r="L133" s="277"/>
      <c r="M133" s="277"/>
      <c r="N133" s="277"/>
      <c r="O133" s="277"/>
      <c r="P133" s="277"/>
      <c r="Q133" s="277"/>
      <c r="R133" s="277"/>
      <c r="S133" s="277"/>
      <c r="T133" s="280"/>
      <c r="U133" s="280"/>
      <c r="V133" s="277"/>
      <c r="W133" s="277"/>
      <c r="X133" s="279"/>
      <c r="Y133" s="279"/>
      <c r="Z133" s="279"/>
      <c r="AA133" s="279"/>
      <c r="AB133" s="279"/>
      <c r="AC133" s="279"/>
      <c r="AD133" s="279"/>
      <c r="AE133" s="279"/>
      <c r="AF133" s="279"/>
      <c r="AG133" s="279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252"/>
      <c r="B134" s="276"/>
      <c r="C134" s="276"/>
      <c r="D134" s="152"/>
      <c r="E134" s="152"/>
      <c r="F134" s="277"/>
      <c r="G134" s="277"/>
      <c r="H134" s="277"/>
      <c r="I134" s="277"/>
      <c r="J134" s="278"/>
      <c r="K134" s="277"/>
      <c r="L134" s="277"/>
      <c r="M134" s="277"/>
      <c r="N134" s="277"/>
      <c r="O134" s="277"/>
      <c r="P134" s="277"/>
      <c r="Q134" s="277"/>
      <c r="R134" s="277"/>
      <c r="S134" s="277"/>
      <c r="T134" s="280"/>
      <c r="U134" s="280"/>
      <c r="V134" s="277"/>
      <c r="W134" s="277"/>
      <c r="X134" s="279"/>
      <c r="Y134" s="279"/>
      <c r="Z134" s="279"/>
      <c r="AA134" s="279"/>
      <c r="AB134" s="279"/>
      <c r="AC134" s="279"/>
      <c r="AD134" s="279"/>
      <c r="AE134" s="279"/>
      <c r="AF134" s="279"/>
      <c r="AG134" s="279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252"/>
      <c r="B135" s="276"/>
      <c r="C135" s="276"/>
      <c r="D135" s="152"/>
      <c r="E135" s="152"/>
      <c r="F135" s="277"/>
      <c r="G135" s="277"/>
      <c r="H135" s="277"/>
      <c r="I135" s="277"/>
      <c r="J135" s="278"/>
      <c r="K135" s="277"/>
      <c r="L135" s="277"/>
      <c r="M135" s="277"/>
      <c r="N135" s="277"/>
      <c r="O135" s="277"/>
      <c r="P135" s="277"/>
      <c r="Q135" s="277"/>
      <c r="R135" s="277"/>
      <c r="S135" s="277"/>
      <c r="T135" s="280"/>
      <c r="U135" s="280"/>
      <c r="V135" s="277"/>
      <c r="W135" s="277"/>
      <c r="X135" s="279"/>
      <c r="Y135" s="279"/>
      <c r="Z135" s="279"/>
      <c r="AA135" s="279"/>
      <c r="AB135" s="279"/>
      <c r="AC135" s="279"/>
      <c r="AD135" s="279"/>
      <c r="AE135" s="279"/>
      <c r="AF135" s="279"/>
      <c r="AG135" s="279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3"/>
      <c r="S136" s="3"/>
      <c r="T136" s="5"/>
      <c r="U136" s="5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S74:S75"/>
    <mergeCell ref="V74:V75"/>
    <mergeCell ref="W74:W75"/>
    <mergeCell ref="X74:X75"/>
    <mergeCell ref="Y74:Y75"/>
    <mergeCell ref="Z74:Z75"/>
    <mergeCell ref="K74:K75"/>
    <mergeCell ref="N74:N75"/>
    <mergeCell ref="O74:O75"/>
    <mergeCell ref="P74:P75"/>
    <mergeCell ref="Q74:Q75"/>
    <mergeCell ref="R74:R75"/>
    <mergeCell ref="A66:C66"/>
    <mergeCell ref="E74:E75"/>
    <mergeCell ref="F74:F75"/>
    <mergeCell ref="G74:G75"/>
    <mergeCell ref="H74:H75"/>
    <mergeCell ref="I74:I75"/>
    <mergeCell ref="AC63:AC64"/>
    <mergeCell ref="AD63:AD64"/>
    <mergeCell ref="AE63:AE64"/>
    <mergeCell ref="O63:O64"/>
    <mergeCell ref="P63:P64"/>
    <mergeCell ref="Q63:Q64"/>
    <mergeCell ref="R63:R64"/>
    <mergeCell ref="S63:S64"/>
    <mergeCell ref="V63:V64"/>
    <mergeCell ref="AF63:AF64"/>
    <mergeCell ref="AG63:AG64"/>
    <mergeCell ref="AH63:AH64"/>
    <mergeCell ref="W63:W64"/>
    <mergeCell ref="X63:X64"/>
    <mergeCell ref="Y63:Y64"/>
    <mergeCell ref="Z63:Z64"/>
    <mergeCell ref="AA63:AA64"/>
    <mergeCell ref="AB63:AB64"/>
    <mergeCell ref="AG52:AG53"/>
    <mergeCell ref="AH52:AH53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AB52:AB53"/>
    <mergeCell ref="AC52:AC53"/>
    <mergeCell ref="AD52:AD53"/>
    <mergeCell ref="AE52:AE53"/>
    <mergeCell ref="AF52:AF53"/>
    <mergeCell ref="S52:S53"/>
    <mergeCell ref="V52:V53"/>
    <mergeCell ref="W52:W53"/>
    <mergeCell ref="X52:X53"/>
    <mergeCell ref="Y52:Y53"/>
    <mergeCell ref="Z52:Z53"/>
    <mergeCell ref="K52:K53"/>
    <mergeCell ref="N52:N53"/>
    <mergeCell ref="O52:O53"/>
    <mergeCell ref="P52:P53"/>
    <mergeCell ref="Q52:Q53"/>
    <mergeCell ref="R52:R53"/>
    <mergeCell ref="A42:C42"/>
    <mergeCell ref="E52:E53"/>
    <mergeCell ref="F52:F53"/>
    <mergeCell ref="G52:G53"/>
    <mergeCell ref="H52:H53"/>
    <mergeCell ref="I52:I53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S28:S29"/>
    <mergeCell ref="V28:V29"/>
    <mergeCell ref="W39:W40"/>
    <mergeCell ref="X39:X40"/>
    <mergeCell ref="Y39:Y40"/>
    <mergeCell ref="Z39:Z40"/>
    <mergeCell ref="AA39:AA40"/>
    <mergeCell ref="R28:R29"/>
    <mergeCell ref="O39:O40"/>
    <mergeCell ref="P39:P40"/>
    <mergeCell ref="Q39:Q40"/>
    <mergeCell ref="R39:R40"/>
    <mergeCell ref="S39:S40"/>
    <mergeCell ref="V39:V40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R17:R18"/>
    <mergeCell ref="S17:S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P5:P6"/>
    <mergeCell ref="Q5:Q6"/>
    <mergeCell ref="R5:R6"/>
    <mergeCell ref="S5:S6"/>
    <mergeCell ref="E5:E6"/>
    <mergeCell ref="F5:F6"/>
    <mergeCell ref="G5:G6"/>
    <mergeCell ref="H5:H6"/>
    <mergeCell ref="I5:I6"/>
    <mergeCell ref="K5:K6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MT136"/>
  <sheetViews>
    <sheetView topLeftCell="A4" zoomScale="80" zoomScaleNormal="80" workbookViewId="0">
      <pane xSplit="15" ySplit="3" topLeftCell="P8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08984375" defaultRowHeight="21" outlineLevelRow="1" outlineLevelCol="1"/>
  <cols>
    <col min="1" max="1" width="18.1796875" style="194" customWidth="1"/>
    <col min="2" max="2" width="24.90625" style="2" hidden="1" customWidth="1"/>
    <col min="3" max="3" width="21.36328125" style="2" hidden="1" customWidth="1"/>
    <col min="4" max="4" width="13.453125" style="1" hidden="1" customWidth="1"/>
    <col min="5" max="5" width="10.36328125" style="1" hidden="1" customWidth="1"/>
    <col min="6" max="9" width="11.08984375" style="3" hidden="1" customWidth="1"/>
    <col min="10" max="10" width="31.90625" style="4" hidden="1" customWidth="1"/>
    <col min="11" max="14" width="11.08984375" style="3" hidden="1" customWidth="1"/>
    <col min="15" max="15" width="15.453125" style="3" hidden="1" customWidth="1"/>
    <col min="16" max="16" width="9.1796875" style="3" customWidth="1"/>
    <col min="17" max="17" width="9.7265625" style="3" customWidth="1"/>
    <col min="18" max="18" width="10.36328125" style="3" customWidth="1"/>
    <col min="19" max="19" width="10" style="3" customWidth="1"/>
    <col min="20" max="21" width="29.36328125" style="5" hidden="1" customWidth="1" outlineLevel="1"/>
    <col min="22" max="22" width="9.08984375" style="3" customWidth="1" collapsed="1"/>
    <col min="23" max="23" width="9.08984375" style="3" customWidth="1"/>
    <col min="24" max="29" width="9.08984375" style="6" customWidth="1"/>
    <col min="30" max="30" width="8.7265625" style="6" hidden="1" customWidth="1" outlineLevel="1"/>
    <col min="31" max="33" width="9.1796875" style="6" hidden="1" customWidth="1" outlineLevel="1"/>
    <col min="34" max="34" width="8.7265625" style="153" customWidth="1" collapsed="1"/>
    <col min="35" max="35" width="10.08984375" style="7" bestFit="1" customWidth="1"/>
    <col min="36" max="358" width="9.08984375" style="7"/>
    <col min="359" max="16384" width="9.0898437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2"/>
      <c r="U2" s="12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7"/>
      <c r="U3" s="17"/>
      <c r="V3" s="14"/>
      <c r="W3" s="14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8" t="s">
        <v>3</v>
      </c>
      <c r="F5" s="673" t="s">
        <v>4</v>
      </c>
      <c r="G5" s="673" t="s">
        <v>5</v>
      </c>
      <c r="H5" s="680" t="s">
        <v>6</v>
      </c>
      <c r="I5" s="673" t="s">
        <v>7</v>
      </c>
      <c r="J5" s="28" t="s">
        <v>2</v>
      </c>
      <c r="K5" s="673" t="s">
        <v>8</v>
      </c>
      <c r="L5" s="264" t="s">
        <v>9</v>
      </c>
      <c r="M5" s="264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29" t="s">
        <v>10</v>
      </c>
      <c r="U5" s="30" t="s">
        <v>11</v>
      </c>
      <c r="V5" s="673" t="s">
        <v>65</v>
      </c>
      <c r="W5" s="673" t="s">
        <v>66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97" t="s">
        <v>78</v>
      </c>
      <c r="AD5" s="699" t="s">
        <v>79</v>
      </c>
      <c r="AE5" s="688" t="s">
        <v>80</v>
      </c>
      <c r="AF5" s="688" t="s">
        <v>81</v>
      </c>
      <c r="AG5" s="695" t="s">
        <v>82</v>
      </c>
      <c r="AH5" s="685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79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187">
        <v>42461</v>
      </c>
      <c r="U6" s="188">
        <v>42491</v>
      </c>
      <c r="V6" s="674"/>
      <c r="W6" s="674"/>
      <c r="X6" s="674"/>
      <c r="Y6" s="674"/>
      <c r="Z6" s="674"/>
      <c r="AA6" s="674"/>
      <c r="AB6" s="674"/>
      <c r="AC6" s="698"/>
      <c r="AD6" s="700"/>
      <c r="AE6" s="689"/>
      <c r="AF6" s="689"/>
      <c r="AG6" s="696"/>
      <c r="AH6" s="686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2"/>
      <c r="U7" s="22"/>
      <c r="V7" s="24"/>
      <c r="W7" s="24"/>
      <c r="X7" s="24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266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214"/>
      <c r="U8" s="215"/>
      <c r="V8" s="39"/>
      <c r="W8" s="39"/>
      <c r="X8" s="39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81"/>
      <c r="B9" s="682"/>
      <c r="C9" s="682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16"/>
      <c r="U9" s="217"/>
      <c r="V9" s="208"/>
      <c r="W9" s="208"/>
      <c r="X9" s="208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29.38</v>
      </c>
      <c r="R10" s="56">
        <v>35.141818181818174</v>
      </c>
      <c r="S10" s="189">
        <v>36</v>
      </c>
      <c r="T10" s="185" t="s">
        <v>175</v>
      </c>
      <c r="U10" s="186" t="s">
        <v>176</v>
      </c>
      <c r="V10" s="189">
        <v>37</v>
      </c>
      <c r="W10" s="189">
        <v>37.5</v>
      </c>
      <c r="X10" s="189">
        <v>38.25</v>
      </c>
      <c r="Y10" s="189">
        <v>40</v>
      </c>
      <c r="Z10" s="189">
        <v>40.5</v>
      </c>
      <c r="AA10" s="189">
        <v>41</v>
      </c>
      <c r="AB10" s="189">
        <v>42</v>
      </c>
      <c r="AC10" s="297">
        <v>42.5</v>
      </c>
      <c r="AD10" s="308">
        <f>AVERAGE(P10:R10)</f>
        <v>30.443939393939388</v>
      </c>
      <c r="AE10" s="246">
        <f>AVERAGE(S10:W10)</f>
        <v>36.833333333333336</v>
      </c>
      <c r="AF10" s="246">
        <f>AVERAGE(X10:Z10)</f>
        <v>39.583333333333336</v>
      </c>
      <c r="AG10" s="309">
        <f>AVERAGE(AA10:AC10)</f>
        <v>41.833333333333336</v>
      </c>
      <c r="AH10" s="241">
        <f>AVERAGE(P10:AC10)</f>
        <v>37.173484848484847</v>
      </c>
      <c r="AI10" s="267"/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29.38</v>
      </c>
      <c r="R11" s="50">
        <v>35.141818181818174</v>
      </c>
      <c r="S11" s="183">
        <v>36</v>
      </c>
      <c r="T11" s="185"/>
      <c r="U11" s="186"/>
      <c r="V11" s="183">
        <v>35</v>
      </c>
      <c r="W11" s="183">
        <v>34</v>
      </c>
      <c r="X11" s="183">
        <v>36</v>
      </c>
      <c r="Y11" s="183">
        <v>36</v>
      </c>
      <c r="Z11" s="183">
        <v>37</v>
      </c>
      <c r="AA11" s="183">
        <v>39</v>
      </c>
      <c r="AB11" s="183">
        <v>41</v>
      </c>
      <c r="AC11" s="298">
        <v>42</v>
      </c>
      <c r="AD11" s="308">
        <f>AVERAGE(P11:R11)</f>
        <v>30.443939393939388</v>
      </c>
      <c r="AE11" s="246">
        <f t="shared" ref="AE11:AE13" si="1">AVERAGE(S11:W11)</f>
        <v>35</v>
      </c>
      <c r="AF11" s="246">
        <f t="shared" ref="AF11:AF13" si="2">AVERAGE(X11:Z11)</f>
        <v>36.333333333333336</v>
      </c>
      <c r="AG11" s="309">
        <f t="shared" ref="AG11:AG13" si="3">AVERAGE(AA11:AC11)</f>
        <v>40.666666666666664</v>
      </c>
      <c r="AH11" s="241">
        <f>AVERAGE(P11:AC11)</f>
        <v>35.610984848484847</v>
      </c>
      <c r="AI11" s="267"/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29.38</v>
      </c>
      <c r="R12" s="56">
        <v>35.141818181818174</v>
      </c>
      <c r="S12" s="183">
        <v>35</v>
      </c>
      <c r="T12" s="185" t="s">
        <v>173</v>
      </c>
      <c r="U12" s="186" t="s">
        <v>157</v>
      </c>
      <c r="V12" s="183">
        <v>35</v>
      </c>
      <c r="W12" s="183">
        <v>35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297">
        <v>40</v>
      </c>
      <c r="AD12" s="308">
        <f>AVERAGE(P12:R12)</f>
        <v>30.443939393939388</v>
      </c>
      <c r="AE12" s="246">
        <f t="shared" si="1"/>
        <v>35</v>
      </c>
      <c r="AF12" s="246">
        <f t="shared" si="2"/>
        <v>37</v>
      </c>
      <c r="AG12" s="309">
        <f t="shared" si="3"/>
        <v>40</v>
      </c>
      <c r="AH12" s="241">
        <f>AVERAGE(P12:AC12)</f>
        <v>35.610984848484847</v>
      </c>
      <c r="AI12" s="267"/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29.38</v>
      </c>
      <c r="R13" s="56">
        <v>35.141818181818174</v>
      </c>
      <c r="S13" s="189">
        <v>35.700000000000003</v>
      </c>
      <c r="T13" s="253" t="s">
        <v>184</v>
      </c>
      <c r="U13" s="254" t="s">
        <v>185</v>
      </c>
      <c r="V13" s="189">
        <v>36</v>
      </c>
      <c r="W13" s="189">
        <v>36.549999999999997</v>
      </c>
      <c r="X13" s="189">
        <v>37.5</v>
      </c>
      <c r="Y13" s="189">
        <v>38</v>
      </c>
      <c r="Z13" s="189">
        <v>39</v>
      </c>
      <c r="AA13" s="189">
        <v>41</v>
      </c>
      <c r="AB13" s="189">
        <v>43</v>
      </c>
      <c r="AC13" s="297">
        <v>45</v>
      </c>
      <c r="AD13" s="308">
        <f>AVERAGE(P13:R13)</f>
        <v>30.443939393939388</v>
      </c>
      <c r="AE13" s="246">
        <f t="shared" si="1"/>
        <v>36.083333333333336</v>
      </c>
      <c r="AF13" s="246">
        <f t="shared" si="2"/>
        <v>38.166666666666664</v>
      </c>
      <c r="AG13" s="309">
        <f t="shared" si="3"/>
        <v>43</v>
      </c>
      <c r="AH13" s="241">
        <f>AVERAGE(P13:AC13)</f>
        <v>36.923484848484847</v>
      </c>
      <c r="AI13" s="267"/>
    </row>
    <row r="14" spans="1:358" s="62" customFormat="1" ht="19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4">AVERAGE(J10:J13)</f>
        <v>#DIV/0!</v>
      </c>
      <c r="K14" s="59">
        <f t="shared" si="4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5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35.674999999999997</v>
      </c>
      <c r="T14" s="60"/>
      <c r="U14" s="60"/>
      <c r="V14" s="59">
        <f t="shared" ref="V14:AC14" si="6">AVERAGE(V10:V13)</f>
        <v>35.75</v>
      </c>
      <c r="W14" s="59">
        <f t="shared" si="6"/>
        <v>35.762500000000003</v>
      </c>
      <c r="X14" s="59">
        <f t="shared" si="6"/>
        <v>37.1875</v>
      </c>
      <c r="Y14" s="59">
        <f t="shared" si="6"/>
        <v>37.75</v>
      </c>
      <c r="Z14" s="59">
        <f t="shared" si="6"/>
        <v>38.375</v>
      </c>
      <c r="AA14" s="59">
        <f t="shared" si="6"/>
        <v>40.25</v>
      </c>
      <c r="AB14" s="59">
        <f t="shared" si="6"/>
        <v>41.5</v>
      </c>
      <c r="AC14" s="234">
        <f t="shared" si="6"/>
        <v>42.375</v>
      </c>
      <c r="AD14" s="310">
        <f>AVERAGE(AD10:AD13)</f>
        <v>30.443939393939388</v>
      </c>
      <c r="AE14" s="59">
        <f t="shared" ref="AE14" si="7">AVERAGE(AE10:AE13)</f>
        <v>35.729166666666671</v>
      </c>
      <c r="AF14" s="59">
        <f>AVERAGE(AF10:AF13)</f>
        <v>37.770833333333336</v>
      </c>
      <c r="AG14" s="311">
        <f>AVERAGE(AG10:AG13)</f>
        <v>41.375</v>
      </c>
      <c r="AH14" s="242">
        <f>AVERAGE(AH10:AH13)</f>
        <v>36.329734848484847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8">Q14</f>
        <v>29.38</v>
      </c>
      <c r="R15" s="164">
        <f>R14</f>
        <v>35.141818181818174</v>
      </c>
      <c r="S15" s="164">
        <v>35.700000000000003</v>
      </c>
      <c r="T15" s="164"/>
      <c r="U15" s="164"/>
      <c r="V15" s="164">
        <v>36</v>
      </c>
      <c r="W15" s="164">
        <v>36</v>
      </c>
      <c r="X15" s="164">
        <v>37.5</v>
      </c>
      <c r="Y15" s="164">
        <v>38</v>
      </c>
      <c r="Z15" s="164">
        <v>39</v>
      </c>
      <c r="AA15" s="164">
        <v>40</v>
      </c>
      <c r="AB15" s="164">
        <v>42</v>
      </c>
      <c r="AC15" s="229">
        <v>42.5</v>
      </c>
      <c r="AD15" s="312">
        <f>AVERAGE(P15:R15)</f>
        <v>30.443939393939388</v>
      </c>
      <c r="AE15" s="164">
        <f>AVERAGE(S15:W15)</f>
        <v>35.9</v>
      </c>
      <c r="AF15" s="164">
        <f>AVERAGE(X15:Z15)</f>
        <v>38.166666666666664</v>
      </c>
      <c r="AG15" s="313">
        <f>AVERAGE(AA15:AC15)</f>
        <v>41.5</v>
      </c>
      <c r="AH15" s="242">
        <f>AVERAGE(P15:S15,V15:AC15)</f>
        <v>36.502651515151513</v>
      </c>
      <c r="AI15" s="271">
        <v>54</v>
      </c>
      <c r="AJ15" s="179"/>
      <c r="AK15" s="179"/>
    </row>
    <row r="16" spans="1:358" ht="21.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67"/>
      <c r="U16" s="67"/>
      <c r="V16" s="24"/>
      <c r="W16" s="24"/>
      <c r="X16" s="24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t="16.5" hidden="1" customHeight="1" outlineLevel="1">
      <c r="A17" s="231"/>
      <c r="B17" s="26" t="s">
        <v>1</v>
      </c>
      <c r="C17" s="26" t="str">
        <f>C5</f>
        <v>Forecast</v>
      </c>
      <c r="D17" s="27"/>
      <c r="E17" s="673" t="s">
        <v>3</v>
      </c>
      <c r="F17" s="673" t="s">
        <v>4</v>
      </c>
      <c r="G17" s="673" t="s">
        <v>5</v>
      </c>
      <c r="H17" s="673" t="s">
        <v>6</v>
      </c>
      <c r="I17" s="673" t="s">
        <v>7</v>
      </c>
      <c r="J17" s="28" t="s">
        <v>2</v>
      </c>
      <c r="K17" s="673" t="s">
        <v>8</v>
      </c>
      <c r="L17" s="264" t="s">
        <v>9</v>
      </c>
      <c r="M17" s="264" t="s">
        <v>9</v>
      </c>
      <c r="N17" s="673" t="s">
        <v>12</v>
      </c>
      <c r="O17" s="673" t="s">
        <v>13</v>
      </c>
      <c r="P17" s="673" t="s">
        <v>14</v>
      </c>
      <c r="Q17" s="673" t="s">
        <v>15</v>
      </c>
      <c r="R17" s="673" t="s">
        <v>16</v>
      </c>
      <c r="S17" s="673" t="s">
        <v>64</v>
      </c>
      <c r="T17" s="29" t="s">
        <v>10</v>
      </c>
      <c r="U17" s="30" t="s">
        <v>11</v>
      </c>
      <c r="V17" s="673" t="s">
        <v>65</v>
      </c>
      <c r="W17" s="673" t="s">
        <v>66</v>
      </c>
      <c r="X17" s="673" t="s">
        <v>67</v>
      </c>
      <c r="Y17" s="673" t="s">
        <v>68</v>
      </c>
      <c r="Z17" s="673" t="s">
        <v>69</v>
      </c>
      <c r="AA17" s="673" t="s">
        <v>70</v>
      </c>
      <c r="AB17" s="673" t="s">
        <v>77</v>
      </c>
      <c r="AC17" s="697" t="s">
        <v>78</v>
      </c>
      <c r="AD17" s="699" t="s">
        <v>79</v>
      </c>
      <c r="AE17" s="688" t="s">
        <v>80</v>
      </c>
      <c r="AF17" s="688" t="s">
        <v>81</v>
      </c>
      <c r="AG17" s="695" t="s">
        <v>82</v>
      </c>
      <c r="AH17" s="692">
        <v>2016</v>
      </c>
      <c r="AI17" s="272"/>
    </row>
    <row r="18" spans="1:358" ht="16.5" hidden="1" customHeight="1" outlineLevel="1">
      <c r="A18" s="232"/>
      <c r="B18" s="68"/>
      <c r="C18" s="68"/>
      <c r="D18" s="27"/>
      <c r="E18" s="674"/>
      <c r="F18" s="674"/>
      <c r="G18" s="674"/>
      <c r="H18" s="674"/>
      <c r="I18" s="674"/>
      <c r="J18" s="69" t="str">
        <f>$J$6</f>
        <v>(8-12 Jun)</v>
      </c>
      <c r="K18" s="674"/>
      <c r="L18" s="33" t="s">
        <v>20</v>
      </c>
      <c r="M18" s="33" t="s">
        <v>63</v>
      </c>
      <c r="N18" s="674"/>
      <c r="O18" s="674"/>
      <c r="P18" s="674"/>
      <c r="Q18" s="674"/>
      <c r="R18" s="674"/>
      <c r="S18" s="674"/>
      <c r="T18" s="187">
        <v>42430</v>
      </c>
      <c r="U18" s="188">
        <v>42461</v>
      </c>
      <c r="V18" s="674"/>
      <c r="W18" s="674"/>
      <c r="X18" s="674"/>
      <c r="Y18" s="674"/>
      <c r="Z18" s="674"/>
      <c r="AA18" s="674"/>
      <c r="AB18" s="674"/>
      <c r="AC18" s="698"/>
      <c r="AD18" s="700"/>
      <c r="AE18" s="689"/>
      <c r="AF18" s="689"/>
      <c r="AG18" s="696"/>
      <c r="AH18" s="686"/>
      <c r="AI18" s="272"/>
    </row>
    <row r="19" spans="1:358" hidden="1" outlineLevel="1">
      <c r="A19" s="47" t="s">
        <v>29</v>
      </c>
      <c r="B19" s="34">
        <v>-1.78</v>
      </c>
      <c r="C19" s="34" t="str">
        <f>C8</f>
        <v>Previous WK</v>
      </c>
      <c r="D19" s="70"/>
      <c r="E19" s="71">
        <v>1.01</v>
      </c>
      <c r="F19" s="35"/>
      <c r="G19" s="35"/>
      <c r="H19" s="35"/>
      <c r="I19" s="35"/>
      <c r="J19" s="72"/>
      <c r="K19" s="35"/>
      <c r="L19" s="37"/>
      <c r="M19" s="37"/>
      <c r="N19" s="35"/>
      <c r="O19" s="35"/>
      <c r="P19" s="74"/>
      <c r="Q19" s="74"/>
      <c r="R19" s="74"/>
      <c r="S19" s="39"/>
      <c r="T19" s="73"/>
      <c r="U19" s="73"/>
      <c r="V19" s="39"/>
      <c r="W19" s="39"/>
      <c r="X19" s="39"/>
      <c r="Y19" s="38"/>
      <c r="Z19" s="38"/>
      <c r="AA19" s="38"/>
      <c r="AB19" s="38"/>
      <c r="AC19" s="39"/>
      <c r="AD19" s="304"/>
      <c r="AE19" s="248"/>
      <c r="AF19" s="248"/>
      <c r="AG19" s="305"/>
      <c r="AH19" s="239"/>
      <c r="AI19" s="272"/>
    </row>
    <row r="20" spans="1:358" s="77" customFormat="1" ht="21" hidden="1" customHeight="1" outlineLevel="1">
      <c r="A20" s="675"/>
      <c r="B20" s="676"/>
      <c r="C20" s="676"/>
      <c r="D20" s="75"/>
      <c r="E20" s="75"/>
      <c r="F20" s="76"/>
      <c r="G20" s="76"/>
      <c r="H20" s="76"/>
      <c r="I20" s="76"/>
      <c r="J20" s="43"/>
      <c r="K20" s="76"/>
      <c r="L20" s="76"/>
      <c r="M20" s="76"/>
      <c r="N20" s="76"/>
      <c r="O20" s="76"/>
      <c r="P20" s="222"/>
      <c r="Q20" s="76"/>
      <c r="R20" s="44"/>
      <c r="S20" s="44"/>
      <c r="T20" s="216"/>
      <c r="U20" s="217"/>
      <c r="V20" s="44"/>
      <c r="W20" s="44"/>
      <c r="X20" s="44"/>
      <c r="Y20" s="44"/>
      <c r="Z20" s="44"/>
      <c r="AA20" s="44"/>
      <c r="AB20" s="44"/>
      <c r="AC20" s="235"/>
      <c r="AD20" s="315"/>
      <c r="AE20" s="44"/>
      <c r="AF20" s="44"/>
      <c r="AG20" s="316"/>
      <c r="AH20" s="240"/>
      <c r="AI20" s="272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5"/>
      <c r="EA20" s="45"/>
      <c r="EB20" s="45"/>
      <c r="EC20" s="45"/>
      <c r="ED20" s="45"/>
      <c r="EE20" s="45"/>
      <c r="EF20" s="45"/>
      <c r="EG20" s="45"/>
      <c r="EH20" s="45"/>
      <c r="EI20" s="45"/>
      <c r="EJ20" s="45"/>
      <c r="EK20" s="45"/>
      <c r="EL20" s="45"/>
      <c r="EM20" s="45"/>
      <c r="EN20" s="45"/>
      <c r="EO20" s="45"/>
      <c r="EP20" s="45"/>
      <c r="EQ20" s="45"/>
      <c r="ER20" s="45"/>
      <c r="ES20" s="45"/>
      <c r="ET20" s="45"/>
      <c r="EU20" s="45"/>
      <c r="EV20" s="45"/>
      <c r="EW20" s="45"/>
      <c r="EX20" s="45"/>
      <c r="EY20" s="45"/>
      <c r="EZ20" s="45"/>
      <c r="FA20" s="45"/>
      <c r="FB20" s="45"/>
      <c r="FC20" s="45"/>
      <c r="FD20" s="45"/>
      <c r="FE20" s="45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45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45"/>
      <c r="GR20" s="45"/>
      <c r="GS20" s="45"/>
      <c r="GT20" s="45"/>
      <c r="GU20" s="45"/>
      <c r="GV20" s="45"/>
      <c r="GW20" s="45"/>
      <c r="GX20" s="45"/>
      <c r="GY20" s="45"/>
      <c r="GZ20" s="45"/>
      <c r="HA20" s="45"/>
      <c r="HB20" s="45"/>
      <c r="HC20" s="45"/>
      <c r="HD20" s="45"/>
      <c r="HE20" s="45"/>
      <c r="HF20" s="45"/>
      <c r="HG20" s="45"/>
      <c r="HH20" s="45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  <c r="IO20" s="45"/>
      <c r="IP20" s="45"/>
      <c r="IQ20" s="45"/>
      <c r="IR20" s="45"/>
      <c r="IS20" s="45"/>
      <c r="IT20" s="45"/>
      <c r="IU20" s="45"/>
      <c r="IV20" s="45"/>
      <c r="IW20" s="45"/>
      <c r="IX20" s="45"/>
      <c r="IY20" s="45"/>
      <c r="IZ20" s="45"/>
      <c r="JA20" s="45"/>
      <c r="JB20" s="45"/>
      <c r="JC20" s="45"/>
      <c r="JD20" s="45"/>
      <c r="JE20" s="45"/>
      <c r="JF20" s="45"/>
      <c r="JG20" s="45"/>
      <c r="JH20" s="45"/>
      <c r="JI20" s="45"/>
      <c r="JJ20" s="45"/>
      <c r="JK20" s="45"/>
      <c r="JL20" s="45"/>
      <c r="JM20" s="45"/>
      <c r="JN20" s="45"/>
      <c r="JO20" s="45"/>
      <c r="JP20" s="45"/>
      <c r="JQ20" s="45"/>
      <c r="JR20" s="45"/>
      <c r="JS20" s="45"/>
      <c r="JT20" s="45"/>
      <c r="JU20" s="45"/>
      <c r="JV20" s="45"/>
      <c r="JW20" s="45"/>
      <c r="JX20" s="45"/>
      <c r="JY20" s="45"/>
      <c r="JZ20" s="45"/>
      <c r="KA20" s="45"/>
      <c r="KB20" s="45"/>
      <c r="KC20" s="45"/>
      <c r="KD20" s="45"/>
      <c r="KE20" s="45"/>
      <c r="KF20" s="45"/>
      <c r="KG20" s="45"/>
      <c r="KH20" s="45"/>
      <c r="KI20" s="45"/>
      <c r="KJ20" s="45"/>
      <c r="KK20" s="45"/>
      <c r="KL20" s="45"/>
      <c r="KM20" s="45"/>
      <c r="KN20" s="45"/>
      <c r="KO20" s="45"/>
      <c r="KP20" s="45"/>
      <c r="KQ20" s="45"/>
      <c r="KR20" s="45"/>
      <c r="KS20" s="45"/>
      <c r="KT20" s="45"/>
      <c r="KU20" s="45"/>
      <c r="KV20" s="45"/>
      <c r="KW20" s="45"/>
      <c r="KX20" s="45"/>
      <c r="KY20" s="45"/>
      <c r="KZ20" s="45"/>
      <c r="LA20" s="45"/>
      <c r="LB20" s="45"/>
      <c r="LC20" s="45"/>
      <c r="LD20" s="45"/>
      <c r="LE20" s="45"/>
      <c r="LF20" s="45"/>
      <c r="LG20" s="45"/>
      <c r="LH20" s="45"/>
      <c r="LI20" s="45"/>
      <c r="LJ20" s="45"/>
      <c r="LK20" s="45"/>
      <c r="LL20" s="45"/>
      <c r="LM20" s="45"/>
      <c r="LN20" s="45"/>
      <c r="LO20" s="45"/>
      <c r="LP20" s="45"/>
      <c r="LQ20" s="45"/>
      <c r="LR20" s="45"/>
      <c r="LS20" s="45"/>
      <c r="LT20" s="45"/>
      <c r="LU20" s="45"/>
      <c r="LV20" s="45"/>
      <c r="LW20" s="45"/>
      <c r="LX20" s="45"/>
      <c r="LY20" s="45"/>
      <c r="LZ20" s="45"/>
      <c r="MA20" s="45"/>
      <c r="MB20" s="45"/>
      <c r="MC20" s="45"/>
      <c r="MD20" s="45"/>
      <c r="ME20" s="45"/>
      <c r="MF20" s="45"/>
      <c r="MG20" s="45"/>
      <c r="MH20" s="45"/>
      <c r="MI20" s="45"/>
      <c r="MJ20" s="45"/>
      <c r="MK20" s="45"/>
      <c r="ML20" s="45"/>
      <c r="MM20" s="45"/>
      <c r="MN20" s="45"/>
      <c r="MO20" s="45"/>
      <c r="MP20" s="45"/>
      <c r="MQ20" s="45"/>
      <c r="MR20" s="45"/>
      <c r="MS20" s="45"/>
      <c r="MT20" s="45"/>
    </row>
    <row r="21" spans="1:358" ht="60" hidden="1" customHeight="1" outlineLevel="1">
      <c r="A21" s="47" t="s">
        <v>23</v>
      </c>
      <c r="B21" s="48">
        <f>C21-$B$19</f>
        <v>0.28000000000000003</v>
      </c>
      <c r="C21" s="55">
        <v>-1.5</v>
      </c>
      <c r="D21" s="49"/>
      <c r="E21" s="49"/>
      <c r="F21" s="50"/>
      <c r="G21" s="57"/>
      <c r="H21" s="56"/>
      <c r="I21" s="56"/>
      <c r="J21" s="53"/>
      <c r="K21" s="189">
        <v>1</v>
      </c>
      <c r="L21" s="189">
        <v>2</v>
      </c>
      <c r="M21" s="189">
        <v>2</v>
      </c>
      <c r="N21" s="171">
        <v>4</v>
      </c>
      <c r="O21" s="189">
        <v>9.75</v>
      </c>
      <c r="P21" s="56">
        <v>9.7899999999999991</v>
      </c>
      <c r="Q21" s="56">
        <v>4.5627777777777778</v>
      </c>
      <c r="R21" s="56">
        <v>3.8622727272727388</v>
      </c>
      <c r="S21" s="189">
        <v>4</v>
      </c>
      <c r="T21" s="185" t="s">
        <v>177</v>
      </c>
      <c r="U21" s="186" t="s">
        <v>178</v>
      </c>
      <c r="V21" s="189">
        <v>3</v>
      </c>
      <c r="W21" s="189">
        <v>2.5</v>
      </c>
      <c r="X21" s="189">
        <v>1.5</v>
      </c>
      <c r="Y21" s="189">
        <v>1.25</v>
      </c>
      <c r="Z21" s="189">
        <v>1.25</v>
      </c>
      <c r="AA21" s="189">
        <v>1.5</v>
      </c>
      <c r="AB21" s="189">
        <v>2.5</v>
      </c>
      <c r="AC21" s="297">
        <v>3</v>
      </c>
      <c r="AD21" s="308">
        <f>AVERAGE(P21:R21)</f>
        <v>6.0716835016835056</v>
      </c>
      <c r="AE21" s="246">
        <f>AVERAGE(S21:W21)</f>
        <v>3.1666666666666665</v>
      </c>
      <c r="AF21" s="246">
        <f>AVERAGE(X21:Z21)</f>
        <v>1.3333333333333333</v>
      </c>
      <c r="AG21" s="309">
        <f>AVERAGE(AA21:AC21)</f>
        <v>2.3333333333333335</v>
      </c>
      <c r="AH21" s="241">
        <f>AVERAGE(P21:AC21)</f>
        <v>3.2262542087542094</v>
      </c>
      <c r="AI21" s="272"/>
    </row>
    <row r="22" spans="1:358" ht="66" hidden="1" customHeight="1" outlineLevel="1">
      <c r="A22" s="47" t="s">
        <v>24</v>
      </c>
      <c r="B22" s="48">
        <f t="shared" ref="B22" si="9">C22-$B$16</f>
        <v>-1.3</v>
      </c>
      <c r="C22" s="55">
        <v>-1.3</v>
      </c>
      <c r="D22" s="49"/>
      <c r="E22" s="49"/>
      <c r="F22" s="56"/>
      <c r="G22" s="57"/>
      <c r="H22" s="56"/>
      <c r="I22" s="56"/>
      <c r="J22" s="55"/>
      <c r="K22" s="189">
        <v>-0.4</v>
      </c>
      <c r="L22" s="189">
        <v>0.3</v>
      </c>
      <c r="M22" s="189">
        <v>1.9</v>
      </c>
      <c r="N22" s="171">
        <v>4.8</v>
      </c>
      <c r="O22" s="183"/>
      <c r="P22" s="56">
        <v>9.7899999999999991</v>
      </c>
      <c r="Q22" s="50">
        <v>4.5627777777777778</v>
      </c>
      <c r="R22" s="50">
        <v>3.8622727272727388</v>
      </c>
      <c r="S22" s="183">
        <v>3.8</v>
      </c>
      <c r="T22" s="185"/>
      <c r="U22" s="186"/>
      <c r="V22" s="183">
        <v>4</v>
      </c>
      <c r="W22" s="183">
        <v>4</v>
      </c>
      <c r="X22" s="183">
        <v>3.6</v>
      </c>
      <c r="Y22" s="183">
        <v>3.1</v>
      </c>
      <c r="Z22" s="183">
        <v>2.7</v>
      </c>
      <c r="AA22" s="183">
        <v>2.6</v>
      </c>
      <c r="AB22" s="183">
        <v>2.9</v>
      </c>
      <c r="AC22" s="298">
        <v>3.2</v>
      </c>
      <c r="AD22" s="308">
        <f>AVERAGE(P22:R22)</f>
        <v>6.0716835016835056</v>
      </c>
      <c r="AE22" s="246">
        <f>AVERAGE(S22:W22)</f>
        <v>3.9333333333333336</v>
      </c>
      <c r="AF22" s="246">
        <f t="shared" ref="AF22:AF24" si="10">AVERAGE(X22:Z22)</f>
        <v>3.1333333333333333</v>
      </c>
      <c r="AG22" s="309">
        <f t="shared" ref="AG22:AG24" si="11">AVERAGE(AA22:AC22)</f>
        <v>2.9</v>
      </c>
      <c r="AH22" s="241">
        <f>AVERAGE(P22:AC22)</f>
        <v>4.0095875420875435</v>
      </c>
      <c r="AI22" s="272"/>
    </row>
    <row r="23" spans="1:358" ht="62.25" hidden="1" customHeight="1" outlineLevel="1">
      <c r="A23" s="47" t="s">
        <v>25</v>
      </c>
      <c r="B23" s="78">
        <f t="shared" ref="B23" si="12">C23-$B$19</f>
        <v>8.0000000000000071E-2</v>
      </c>
      <c r="C23" s="55">
        <v>-1.7</v>
      </c>
      <c r="D23" s="49"/>
      <c r="E23" s="49"/>
      <c r="F23" s="56"/>
      <c r="G23" s="57"/>
      <c r="H23" s="56"/>
      <c r="I23" s="56"/>
      <c r="J23" s="79"/>
      <c r="K23" s="189">
        <v>-2</v>
      </c>
      <c r="L23" s="189">
        <v>0.6</v>
      </c>
      <c r="M23" s="189">
        <v>0.6</v>
      </c>
      <c r="N23" s="171">
        <v>4.5999999999999996</v>
      </c>
      <c r="O23" s="189">
        <v>3</v>
      </c>
      <c r="P23" s="56">
        <v>9.7899999999999991</v>
      </c>
      <c r="Q23" s="56">
        <v>4.5627777777777778</v>
      </c>
      <c r="R23" s="56">
        <v>3.8622727272727388</v>
      </c>
      <c r="S23" s="189">
        <v>5</v>
      </c>
      <c r="T23" s="185" t="s">
        <v>165</v>
      </c>
      <c r="U23" s="186" t="s">
        <v>193</v>
      </c>
      <c r="V23" s="189">
        <v>5</v>
      </c>
      <c r="W23" s="189">
        <v>5</v>
      </c>
      <c r="X23" s="189">
        <v>4.5</v>
      </c>
      <c r="Y23" s="189">
        <v>4.5</v>
      </c>
      <c r="Z23" s="189">
        <v>4.5</v>
      </c>
      <c r="AA23" s="189">
        <v>4</v>
      </c>
      <c r="AB23" s="189">
        <v>4</v>
      </c>
      <c r="AC23" s="297">
        <v>4</v>
      </c>
      <c r="AD23" s="308">
        <f>AVERAGE(P23:R23)</f>
        <v>6.0716835016835056</v>
      </c>
      <c r="AE23" s="246">
        <f>AVERAGE(S23:W23)</f>
        <v>5</v>
      </c>
      <c r="AF23" s="246">
        <f t="shared" si="10"/>
        <v>4.5</v>
      </c>
      <c r="AG23" s="309">
        <f t="shared" si="11"/>
        <v>4</v>
      </c>
      <c r="AH23" s="241">
        <f>AVERAGE(P23:AC23)</f>
        <v>4.8929208754208764</v>
      </c>
      <c r="AI23" s="272"/>
    </row>
    <row r="24" spans="1:358" ht="66" hidden="1" customHeight="1" outlineLevel="1" thickBot="1">
      <c r="A24" s="47" t="s">
        <v>26</v>
      </c>
      <c r="B24" s="48">
        <f>C24-$B$13</f>
        <v>-1.769999999999996</v>
      </c>
      <c r="C24" s="55">
        <v>-1</v>
      </c>
      <c r="D24" s="80"/>
      <c r="E24" s="49"/>
      <c r="F24" s="52"/>
      <c r="G24" s="51"/>
      <c r="H24" s="52"/>
      <c r="I24" s="52"/>
      <c r="J24" s="55"/>
      <c r="K24" s="181">
        <v>1.84</v>
      </c>
      <c r="L24" s="181">
        <v>1.84</v>
      </c>
      <c r="M24" s="181">
        <v>1.2</v>
      </c>
      <c r="N24" s="181">
        <v>2.1</v>
      </c>
      <c r="O24" s="181">
        <v>10</v>
      </c>
      <c r="P24" s="56">
        <v>9.7899999999999991</v>
      </c>
      <c r="Q24" s="56">
        <v>4.5627777777777778</v>
      </c>
      <c r="R24" s="56">
        <v>3.8622727272727388</v>
      </c>
      <c r="S24" s="189">
        <v>3.3</v>
      </c>
      <c r="T24" s="185" t="s">
        <v>186</v>
      </c>
      <c r="U24" s="186"/>
      <c r="V24" s="189">
        <v>3.5</v>
      </c>
      <c r="W24" s="189">
        <v>3.5</v>
      </c>
      <c r="X24" s="189">
        <v>3</v>
      </c>
      <c r="Y24" s="189">
        <v>2.5</v>
      </c>
      <c r="Z24" s="189">
        <v>2.2000000000000002</v>
      </c>
      <c r="AA24" s="189">
        <v>2</v>
      </c>
      <c r="AB24" s="189">
        <v>1.8</v>
      </c>
      <c r="AC24" s="297">
        <v>1.8</v>
      </c>
      <c r="AD24" s="308">
        <f>AVERAGE(P24:R24)</f>
        <v>6.0716835016835056</v>
      </c>
      <c r="AE24" s="246">
        <f t="shared" ref="AE24" si="13">AVERAGE(S24:W24)</f>
        <v>3.4333333333333336</v>
      </c>
      <c r="AF24" s="246">
        <f t="shared" si="10"/>
        <v>2.5666666666666669</v>
      </c>
      <c r="AG24" s="309">
        <f t="shared" si="11"/>
        <v>1.8666666666666665</v>
      </c>
      <c r="AH24" s="241">
        <f>AVERAGE(P24:AC24)</f>
        <v>3.4845875420875427</v>
      </c>
      <c r="AI24" s="272"/>
    </row>
    <row r="25" spans="1:358" ht="26.25" hidden="1" customHeight="1" outlineLevel="1" thickBot="1">
      <c r="A25" s="245" t="s">
        <v>75</v>
      </c>
      <c r="B25" s="81"/>
      <c r="C25" s="82"/>
      <c r="D25" s="83"/>
      <c r="E25" s="84"/>
      <c r="F25" s="85"/>
      <c r="G25" s="86"/>
      <c r="H25" s="85"/>
      <c r="I25" s="59"/>
      <c r="J25" s="82"/>
      <c r="K25" s="59">
        <v>0.5</v>
      </c>
      <c r="L25" s="59">
        <v>0.5</v>
      </c>
      <c r="M25" s="59">
        <f>AVERAGE(M21:M24)</f>
        <v>1.425</v>
      </c>
      <c r="N25" s="59">
        <f>AVERAGE(N21:N24)</f>
        <v>3.875</v>
      </c>
      <c r="O25" s="59">
        <f>AVERAGE(O21:O24)</f>
        <v>7.583333333333333</v>
      </c>
      <c r="P25" s="59">
        <f>AVERAGE(P21:P24)</f>
        <v>9.7899999999999991</v>
      </c>
      <c r="Q25" s="59">
        <f>AVERAGE(Q21:Q24)</f>
        <v>4.5627777777777778</v>
      </c>
      <c r="R25" s="59">
        <f t="shared" ref="R25" si="14">AVERAGE(R21:R24)</f>
        <v>3.8622727272727388</v>
      </c>
      <c r="S25" s="59">
        <f>AVERAGE(S21:S24)</f>
        <v>4.0250000000000004</v>
      </c>
      <c r="T25" s="59"/>
      <c r="U25" s="59"/>
      <c r="V25" s="59">
        <f t="shared" ref="V25:AC25" si="15">AVERAGE(V21:V24)</f>
        <v>3.875</v>
      </c>
      <c r="W25" s="59">
        <f t="shared" si="15"/>
        <v>3.75</v>
      </c>
      <c r="X25" s="59">
        <f t="shared" si="15"/>
        <v>3.15</v>
      </c>
      <c r="Y25" s="59">
        <f t="shared" si="15"/>
        <v>2.8374999999999999</v>
      </c>
      <c r="Z25" s="59">
        <f t="shared" si="15"/>
        <v>2.6624999999999996</v>
      </c>
      <c r="AA25" s="59">
        <f t="shared" si="15"/>
        <v>2.5249999999999999</v>
      </c>
      <c r="AB25" s="59">
        <f t="shared" si="15"/>
        <v>2.8000000000000003</v>
      </c>
      <c r="AC25" s="234">
        <f t="shared" si="15"/>
        <v>3</v>
      </c>
      <c r="AD25" s="310">
        <f>AVERAGE(AD21:AD24)</f>
        <v>6.0716835016835056</v>
      </c>
      <c r="AE25" s="59">
        <f>AVERAGE(AE21:AE24)</f>
        <v>3.8833333333333333</v>
      </c>
      <c r="AF25" s="59">
        <f t="shared" ref="AF25:AG25" si="16">AVERAGE(AF21:AF24)</f>
        <v>2.8833333333333333</v>
      </c>
      <c r="AG25" s="311">
        <f t="shared" si="16"/>
        <v>2.7750000000000004</v>
      </c>
      <c r="AH25" s="242">
        <f>AVERAGE(AH21:AH24)</f>
        <v>3.9033375420875429</v>
      </c>
      <c r="AI25" s="272"/>
    </row>
    <row r="26" spans="1:358" ht="19" collapsed="1" thickBot="1">
      <c r="A26" s="227" t="s">
        <v>74</v>
      </c>
      <c r="B26" s="160"/>
      <c r="C26" s="160"/>
      <c r="D26" s="161"/>
      <c r="E26" s="161"/>
      <c r="F26" s="162"/>
      <c r="G26" s="162"/>
      <c r="H26" s="162"/>
      <c r="I26" s="162"/>
      <c r="J26" s="163"/>
      <c r="K26" s="162">
        <f>K25+K14</f>
        <v>48.8</v>
      </c>
      <c r="L26" s="162">
        <f>L25+L14</f>
        <v>47.35</v>
      </c>
      <c r="M26" s="162"/>
      <c r="N26" s="164">
        <f>N25</f>
        <v>3.875</v>
      </c>
      <c r="O26" s="164">
        <v>6</v>
      </c>
      <c r="P26" s="164">
        <f>P25</f>
        <v>9.7899999999999991</v>
      </c>
      <c r="Q26" s="164">
        <f t="shared" ref="Q26" si="17">Q25</f>
        <v>4.5627777777777778</v>
      </c>
      <c r="R26" s="164">
        <f>R25</f>
        <v>3.8622727272727388</v>
      </c>
      <c r="S26" s="164">
        <v>4</v>
      </c>
      <c r="T26" s="164"/>
      <c r="U26" s="164"/>
      <c r="V26" s="164">
        <v>4.5</v>
      </c>
      <c r="W26" s="164">
        <v>5</v>
      </c>
      <c r="X26" s="164">
        <v>4</v>
      </c>
      <c r="Y26" s="164">
        <v>3.5</v>
      </c>
      <c r="Z26" s="164">
        <v>3</v>
      </c>
      <c r="AA26" s="164">
        <v>3</v>
      </c>
      <c r="AB26" s="164">
        <v>3.2</v>
      </c>
      <c r="AC26" s="229">
        <v>3.2</v>
      </c>
      <c r="AD26" s="312">
        <f>AVERAGE(P26:R26)</f>
        <v>6.0716835016835056</v>
      </c>
      <c r="AE26" s="164">
        <f>AVERAGE(S26:W26)</f>
        <v>4.5</v>
      </c>
      <c r="AF26" s="164">
        <f>AVERAGE(X26:Z26)</f>
        <v>3.5</v>
      </c>
      <c r="AG26" s="313">
        <f>AVERAGE(AA26:AC26)</f>
        <v>3.1333333333333333</v>
      </c>
      <c r="AH26" s="242">
        <f>AVERAGE(P26:S26,V26:AC26)</f>
        <v>4.3012542087542096</v>
      </c>
      <c r="AI26" s="271">
        <v>-1</v>
      </c>
    </row>
    <row r="27" spans="1:358" ht="21.5" thickBot="1">
      <c r="A27" s="196" t="s">
        <v>32</v>
      </c>
      <c r="B27" s="88"/>
      <c r="C27" s="88"/>
      <c r="D27" s="65"/>
      <c r="E27" s="65"/>
      <c r="F27" s="20"/>
      <c r="G27" s="20"/>
      <c r="H27" s="20"/>
      <c r="I27" s="20"/>
      <c r="J27" s="66"/>
      <c r="K27" s="20"/>
      <c r="L27" s="20"/>
      <c r="M27" s="20"/>
      <c r="N27" s="20"/>
      <c r="O27" s="20"/>
      <c r="P27" s="20"/>
      <c r="Q27" s="20"/>
      <c r="R27" s="23"/>
      <c r="S27" s="24"/>
      <c r="T27" s="67"/>
      <c r="U27" s="67"/>
      <c r="V27" s="24"/>
      <c r="W27" s="24"/>
      <c r="X27" s="24"/>
      <c r="Y27" s="23"/>
      <c r="Z27" s="23"/>
      <c r="AA27" s="23"/>
      <c r="AB27" s="23"/>
      <c r="AC27" s="24"/>
      <c r="AD27" s="314"/>
      <c r="AE27" s="23"/>
      <c r="AF27" s="23"/>
      <c r="AG27" s="303"/>
      <c r="AH27" s="238"/>
      <c r="AI27" s="272"/>
    </row>
    <row r="28" spans="1:358" ht="16.5" hidden="1" customHeight="1" outlineLevel="1">
      <c r="A28" s="25"/>
      <c r="B28" s="26" t="s">
        <v>1</v>
      </c>
      <c r="C28" s="26" t="str">
        <f>C17</f>
        <v>Forecast</v>
      </c>
      <c r="D28" s="27"/>
      <c r="E28" s="673" t="s">
        <v>3</v>
      </c>
      <c r="F28" s="673" t="s">
        <v>4</v>
      </c>
      <c r="G28" s="673" t="s">
        <v>5</v>
      </c>
      <c r="H28" s="673" t="s">
        <v>6</v>
      </c>
      <c r="I28" s="673" t="s">
        <v>7</v>
      </c>
      <c r="J28" s="28" t="s">
        <v>2</v>
      </c>
      <c r="K28" s="673" t="s">
        <v>8</v>
      </c>
      <c r="L28" s="264" t="s">
        <v>9</v>
      </c>
      <c r="M28" s="264" t="s">
        <v>9</v>
      </c>
      <c r="N28" s="673" t="s">
        <v>12</v>
      </c>
      <c r="O28" s="673" t="s">
        <v>13</v>
      </c>
      <c r="P28" s="673" t="s">
        <v>14</v>
      </c>
      <c r="Q28" s="673" t="s">
        <v>15</v>
      </c>
      <c r="R28" s="673" t="s">
        <v>16</v>
      </c>
      <c r="S28" s="673" t="s">
        <v>64</v>
      </c>
      <c r="T28" s="29" t="s">
        <v>10</v>
      </c>
      <c r="U28" s="30" t="s">
        <v>11</v>
      </c>
      <c r="V28" s="673" t="s">
        <v>65</v>
      </c>
      <c r="W28" s="673" t="s">
        <v>66</v>
      </c>
      <c r="X28" s="673" t="s">
        <v>67</v>
      </c>
      <c r="Y28" s="673" t="s">
        <v>68</v>
      </c>
      <c r="Z28" s="673" t="s">
        <v>69</v>
      </c>
      <c r="AA28" s="673" t="s">
        <v>70</v>
      </c>
      <c r="AB28" s="673" t="s">
        <v>77</v>
      </c>
      <c r="AC28" s="697" t="s">
        <v>78</v>
      </c>
      <c r="AD28" s="699" t="s">
        <v>79</v>
      </c>
      <c r="AE28" s="688" t="s">
        <v>80</v>
      </c>
      <c r="AF28" s="688" t="s">
        <v>81</v>
      </c>
      <c r="AG28" s="695" t="s">
        <v>82</v>
      </c>
      <c r="AH28" s="692">
        <v>2016</v>
      </c>
      <c r="AI28" s="272"/>
    </row>
    <row r="29" spans="1:358" ht="16.5" hidden="1" customHeight="1" outlineLevel="1">
      <c r="A29" s="31"/>
      <c r="B29" s="68"/>
      <c r="C29" s="68"/>
      <c r="D29" s="27"/>
      <c r="E29" s="674"/>
      <c r="F29" s="674"/>
      <c r="G29" s="674"/>
      <c r="H29" s="674"/>
      <c r="I29" s="674"/>
      <c r="J29" s="69" t="str">
        <f>$J$6</f>
        <v>(8-12 Jun)</v>
      </c>
      <c r="K29" s="674"/>
      <c r="L29" s="33" t="s">
        <v>20</v>
      </c>
      <c r="M29" s="33" t="s">
        <v>63</v>
      </c>
      <c r="N29" s="674"/>
      <c r="O29" s="674"/>
      <c r="P29" s="674"/>
      <c r="Q29" s="674"/>
      <c r="R29" s="674"/>
      <c r="S29" s="674"/>
      <c r="T29" s="187">
        <v>42430</v>
      </c>
      <c r="U29" s="188">
        <v>42461</v>
      </c>
      <c r="V29" s="674"/>
      <c r="W29" s="674"/>
      <c r="X29" s="674"/>
      <c r="Y29" s="674"/>
      <c r="Z29" s="674"/>
      <c r="AA29" s="674"/>
      <c r="AB29" s="674"/>
      <c r="AC29" s="698"/>
      <c r="AD29" s="700"/>
      <c r="AE29" s="689"/>
      <c r="AF29" s="689"/>
      <c r="AG29" s="696"/>
      <c r="AH29" s="686"/>
      <c r="AI29" s="272"/>
    </row>
    <row r="30" spans="1:358" hidden="1" outlineLevel="1">
      <c r="A30" s="89" t="s">
        <v>33</v>
      </c>
      <c r="B30" s="90">
        <v>20.81</v>
      </c>
      <c r="C30" s="90" t="str">
        <f>C19</f>
        <v>Previous WK</v>
      </c>
      <c r="D30" s="70"/>
      <c r="E30" s="71">
        <v>17</v>
      </c>
      <c r="F30" s="35"/>
      <c r="G30" s="35"/>
      <c r="H30" s="35"/>
      <c r="I30" s="35"/>
      <c r="J30" s="72"/>
      <c r="K30" s="35"/>
      <c r="L30" s="37"/>
      <c r="M30" s="37"/>
      <c r="N30" s="35"/>
      <c r="O30" s="35"/>
      <c r="P30" s="35"/>
      <c r="Q30" s="35"/>
      <c r="R30" s="38"/>
      <c r="S30" s="39"/>
      <c r="T30" s="73"/>
      <c r="U30" s="73"/>
      <c r="V30" s="39"/>
      <c r="W30" s="39"/>
      <c r="X30" s="39"/>
      <c r="Y30" s="38"/>
      <c r="Z30" s="38"/>
      <c r="AA30" s="38"/>
      <c r="AB30" s="38"/>
      <c r="AC30" s="39"/>
      <c r="AD30" s="304"/>
      <c r="AE30" s="248"/>
      <c r="AF30" s="248"/>
      <c r="AG30" s="305"/>
      <c r="AH30" s="239"/>
      <c r="AI30" s="272"/>
    </row>
    <row r="31" spans="1:358" s="77" customFormat="1" ht="21" hidden="1" customHeight="1" outlineLevel="1">
      <c r="A31" s="683"/>
      <c r="B31" s="684"/>
      <c r="C31" s="684"/>
      <c r="D31" s="91"/>
      <c r="E31" s="91"/>
      <c r="F31" s="76"/>
      <c r="G31" s="76"/>
      <c r="H31" s="76"/>
      <c r="I31" s="76"/>
      <c r="J31" s="43"/>
      <c r="K31" s="76"/>
      <c r="L31" s="76"/>
      <c r="M31" s="76"/>
      <c r="N31" s="76"/>
      <c r="O31" s="76"/>
      <c r="P31" s="222"/>
      <c r="Q31" s="76"/>
      <c r="R31" s="44"/>
      <c r="S31" s="44"/>
      <c r="T31" s="218"/>
      <c r="U31" s="219"/>
      <c r="V31" s="44"/>
      <c r="W31" s="44"/>
      <c r="X31" s="44"/>
      <c r="Y31" s="44"/>
      <c r="Z31" s="44"/>
      <c r="AA31" s="44"/>
      <c r="AB31" s="44"/>
      <c r="AC31" s="235"/>
      <c r="AD31" s="315"/>
      <c r="AE31" s="44"/>
      <c r="AF31" s="44"/>
      <c r="AG31" s="316"/>
      <c r="AH31" s="240"/>
      <c r="AI31" s="272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5"/>
      <c r="EE31" s="45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5"/>
      <c r="EQ31" s="45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5"/>
      <c r="FC31" s="45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5"/>
      <c r="GY31" s="45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5"/>
      <c r="IU31" s="45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5"/>
      <c r="JG31" s="45"/>
      <c r="JH31" s="45"/>
      <c r="JI31" s="45"/>
      <c r="JJ31" s="45"/>
      <c r="JK31" s="45"/>
      <c r="JL31" s="45"/>
      <c r="JM31" s="45"/>
      <c r="JN31" s="45"/>
      <c r="JO31" s="45"/>
      <c r="JP31" s="45"/>
      <c r="JQ31" s="45"/>
      <c r="JR31" s="45"/>
      <c r="JS31" s="45"/>
      <c r="JT31" s="45"/>
      <c r="JU31" s="45"/>
      <c r="JV31" s="45"/>
      <c r="JW31" s="45"/>
      <c r="JX31" s="45"/>
      <c r="JY31" s="45"/>
      <c r="JZ31" s="45"/>
      <c r="KA31" s="45"/>
      <c r="KB31" s="45"/>
      <c r="KC31" s="45"/>
      <c r="KD31" s="45"/>
      <c r="KE31" s="45"/>
      <c r="KF31" s="45"/>
      <c r="KG31" s="45"/>
      <c r="KH31" s="45"/>
      <c r="KI31" s="45"/>
      <c r="KJ31" s="45"/>
      <c r="KK31" s="45"/>
      <c r="KL31" s="45"/>
      <c r="KM31" s="45"/>
      <c r="KN31" s="45"/>
      <c r="KO31" s="45"/>
      <c r="KP31" s="45"/>
      <c r="KQ31" s="45"/>
      <c r="KR31" s="45"/>
      <c r="KS31" s="45"/>
      <c r="KT31" s="45"/>
      <c r="KU31" s="45"/>
      <c r="KV31" s="45"/>
      <c r="KW31" s="45"/>
      <c r="KX31" s="45"/>
      <c r="KY31" s="45"/>
      <c r="KZ31" s="45"/>
      <c r="LA31" s="45"/>
      <c r="LB31" s="45"/>
      <c r="LC31" s="45"/>
      <c r="LD31" s="45"/>
      <c r="LE31" s="45"/>
      <c r="LF31" s="45"/>
      <c r="LG31" s="45"/>
      <c r="LH31" s="45"/>
      <c r="LI31" s="45"/>
      <c r="LJ31" s="45"/>
      <c r="LK31" s="45"/>
      <c r="LL31" s="45"/>
      <c r="LM31" s="45"/>
      <c r="LN31" s="45"/>
      <c r="LO31" s="45"/>
      <c r="LP31" s="45"/>
      <c r="LQ31" s="45"/>
      <c r="LR31" s="45"/>
      <c r="LS31" s="45"/>
      <c r="LT31" s="45"/>
      <c r="LU31" s="45"/>
      <c r="LV31" s="45"/>
      <c r="LW31" s="45"/>
      <c r="LX31" s="45"/>
      <c r="LY31" s="45"/>
      <c r="LZ31" s="45"/>
      <c r="MA31" s="45"/>
      <c r="MB31" s="45"/>
      <c r="MC31" s="45"/>
      <c r="MD31" s="45"/>
      <c r="ME31" s="45"/>
      <c r="MF31" s="45"/>
      <c r="MG31" s="45"/>
      <c r="MH31" s="45"/>
      <c r="MI31" s="45"/>
      <c r="MJ31" s="45"/>
      <c r="MK31" s="45"/>
      <c r="ML31" s="45"/>
      <c r="MM31" s="45"/>
      <c r="MN31" s="45"/>
      <c r="MO31" s="45"/>
      <c r="MP31" s="45"/>
      <c r="MQ31" s="45"/>
      <c r="MR31" s="45"/>
      <c r="MS31" s="45"/>
      <c r="MT31" s="45"/>
    </row>
    <row r="32" spans="1:358" ht="54.75" hidden="1" customHeight="1" outlineLevel="1">
      <c r="A32" s="47" t="s">
        <v>23</v>
      </c>
      <c r="B32" s="78">
        <f>C32-$B$30</f>
        <v>-0.30999999999999872</v>
      </c>
      <c r="C32" s="55">
        <v>20.5</v>
      </c>
      <c r="D32" s="49"/>
      <c r="E32" s="49"/>
      <c r="F32" s="50"/>
      <c r="G32" s="57"/>
      <c r="H32" s="56"/>
      <c r="I32" s="56"/>
      <c r="J32" s="53"/>
      <c r="K32" s="189">
        <v>17.25</v>
      </c>
      <c r="L32" s="189">
        <v>18</v>
      </c>
      <c r="M32" s="189">
        <v>17.25</v>
      </c>
      <c r="N32" s="189">
        <v>16</v>
      </c>
      <c r="O32" s="189">
        <v>19.5</v>
      </c>
      <c r="P32" s="56">
        <v>23.61</v>
      </c>
      <c r="Q32" s="56">
        <v>15.2</v>
      </c>
      <c r="R32" s="56">
        <v>17.63000000000001</v>
      </c>
      <c r="S32" s="189">
        <v>19.5</v>
      </c>
      <c r="T32" s="185" t="s">
        <v>179</v>
      </c>
      <c r="U32" s="186" t="s">
        <v>180</v>
      </c>
      <c r="V32" s="189">
        <v>20.5</v>
      </c>
      <c r="W32" s="189">
        <v>20</v>
      </c>
      <c r="X32" s="189">
        <v>18.5</v>
      </c>
      <c r="Y32" s="189">
        <v>17.5</v>
      </c>
      <c r="Z32" s="189">
        <v>16</v>
      </c>
      <c r="AA32" s="189">
        <v>16</v>
      </c>
      <c r="AB32" s="189">
        <v>15</v>
      </c>
      <c r="AC32" s="297">
        <v>14.5</v>
      </c>
      <c r="AD32" s="308">
        <f>AVERAGE(P32:R32)</f>
        <v>18.813333333333336</v>
      </c>
      <c r="AE32" s="246">
        <f>AVERAGE(S32:W32)</f>
        <v>20</v>
      </c>
      <c r="AF32" s="246">
        <f>AVERAGE(X32:Z32)</f>
        <v>17.333333333333332</v>
      </c>
      <c r="AG32" s="309">
        <f>AVERAGE(AA32:AC32)</f>
        <v>15.166666666666666</v>
      </c>
      <c r="AH32" s="241">
        <f>AVERAGE(P32:AC32)</f>
        <v>17.828333333333333</v>
      </c>
      <c r="AI32" s="272"/>
    </row>
    <row r="33" spans="1:358" ht="54.75" hidden="1" customHeight="1" outlineLevel="1">
      <c r="A33" s="47" t="s">
        <v>24</v>
      </c>
      <c r="B33" s="78">
        <f t="shared" ref="B33" si="18">C33-$B$24</f>
        <v>21.869999999999997</v>
      </c>
      <c r="C33" s="55">
        <v>20.100000000000001</v>
      </c>
      <c r="D33" s="49"/>
      <c r="E33" s="49"/>
      <c r="F33" s="56"/>
      <c r="G33" s="57"/>
      <c r="H33" s="56"/>
      <c r="I33" s="56"/>
      <c r="J33" s="55"/>
      <c r="K33" s="189">
        <v>17</v>
      </c>
      <c r="L33" s="189">
        <v>17</v>
      </c>
      <c r="M33" s="189">
        <v>16.3</v>
      </c>
      <c r="N33" s="189">
        <v>15</v>
      </c>
      <c r="O33" s="183"/>
      <c r="P33" s="56">
        <v>23.61</v>
      </c>
      <c r="Q33" s="56">
        <v>15.2</v>
      </c>
      <c r="R33" s="50">
        <v>17.63000000000001</v>
      </c>
      <c r="S33" s="183">
        <v>19</v>
      </c>
      <c r="T33" s="185"/>
      <c r="U33" s="186"/>
      <c r="V33" s="183">
        <v>20.5</v>
      </c>
      <c r="W33" s="183">
        <v>21</v>
      </c>
      <c r="X33" s="183">
        <v>20.5</v>
      </c>
      <c r="Y33" s="183">
        <v>19.8</v>
      </c>
      <c r="Z33" s="183">
        <v>18</v>
      </c>
      <c r="AA33" s="183">
        <v>17.5</v>
      </c>
      <c r="AB33" s="183">
        <v>16</v>
      </c>
      <c r="AC33" s="298">
        <v>16</v>
      </c>
      <c r="AD33" s="308">
        <f>AVERAGE(P33:R33)</f>
        <v>18.813333333333336</v>
      </c>
      <c r="AE33" s="246">
        <f t="shared" ref="AE33:AE35" si="19">AVERAGE(S33:W33)</f>
        <v>20.166666666666668</v>
      </c>
      <c r="AF33" s="246">
        <f t="shared" ref="AF33:AF35" si="20">AVERAGE(X33:Z33)</f>
        <v>19.433333333333334</v>
      </c>
      <c r="AG33" s="309">
        <f t="shared" ref="AG33:AG35" si="21">AVERAGE(AA33:AC33)</f>
        <v>16.5</v>
      </c>
      <c r="AH33" s="241">
        <f>AVERAGE(P33:AC33)</f>
        <v>18.728333333333335</v>
      </c>
      <c r="AI33" s="272"/>
    </row>
    <row r="34" spans="1:358" ht="54.75" hidden="1" customHeight="1" outlineLevel="1">
      <c r="A34" s="47" t="s">
        <v>25</v>
      </c>
      <c r="B34" s="48">
        <f t="shared" ref="B34" si="22">C34-$B$30</f>
        <v>-0.80999999999999872</v>
      </c>
      <c r="C34" s="55">
        <v>20</v>
      </c>
      <c r="D34" s="49"/>
      <c r="E34" s="49"/>
      <c r="F34" s="56"/>
      <c r="G34" s="57"/>
      <c r="H34" s="56"/>
      <c r="I34" s="56"/>
      <c r="J34" s="55"/>
      <c r="K34" s="189">
        <v>16</v>
      </c>
      <c r="L34" s="189">
        <v>16</v>
      </c>
      <c r="M34" s="189">
        <v>16</v>
      </c>
      <c r="N34" s="189">
        <v>16</v>
      </c>
      <c r="O34" s="189">
        <v>16.5</v>
      </c>
      <c r="P34" s="56">
        <v>23.61</v>
      </c>
      <c r="Q34" s="56">
        <v>15.2</v>
      </c>
      <c r="R34" s="56">
        <v>17.63000000000001</v>
      </c>
      <c r="S34" s="189">
        <v>18</v>
      </c>
      <c r="T34" s="185" t="s">
        <v>166</v>
      </c>
      <c r="U34" s="186" t="s">
        <v>96</v>
      </c>
      <c r="V34" s="189">
        <v>18.5</v>
      </c>
      <c r="W34" s="189">
        <v>20</v>
      </c>
      <c r="X34" s="189">
        <v>20</v>
      </c>
      <c r="Y34" s="189">
        <v>19</v>
      </c>
      <c r="Z34" s="189">
        <v>18</v>
      </c>
      <c r="AA34" s="189">
        <v>17.5</v>
      </c>
      <c r="AB34" s="189">
        <v>17.5</v>
      </c>
      <c r="AC34" s="297">
        <v>17.5</v>
      </c>
      <c r="AD34" s="308">
        <f>AVERAGE(P34:R34)</f>
        <v>18.813333333333336</v>
      </c>
      <c r="AE34" s="246">
        <f t="shared" si="19"/>
        <v>18.833333333333332</v>
      </c>
      <c r="AF34" s="246">
        <f t="shared" si="20"/>
        <v>19</v>
      </c>
      <c r="AG34" s="309">
        <f t="shared" si="21"/>
        <v>17.5</v>
      </c>
      <c r="AH34" s="241">
        <f>AVERAGE(P34:AC34)</f>
        <v>18.536666666666665</v>
      </c>
      <c r="AI34" s="272"/>
    </row>
    <row r="35" spans="1:358" ht="47.25" hidden="1" customHeight="1" outlineLevel="1" thickBot="1">
      <c r="A35" s="47" t="s">
        <v>26</v>
      </c>
      <c r="B35" s="78">
        <f>C35-$B$18</f>
        <v>20.18</v>
      </c>
      <c r="C35" s="55">
        <v>20.18</v>
      </c>
      <c r="D35" s="49"/>
      <c r="E35" s="49"/>
      <c r="F35" s="52"/>
      <c r="G35" s="51"/>
      <c r="H35" s="52"/>
      <c r="I35" s="92"/>
      <c r="J35" s="55"/>
      <c r="K35" s="93">
        <v>15.68</v>
      </c>
      <c r="L35" s="94">
        <v>18</v>
      </c>
      <c r="M35" s="94">
        <v>15.94</v>
      </c>
      <c r="N35" s="181">
        <v>16.25</v>
      </c>
      <c r="O35" s="181">
        <v>18.5</v>
      </c>
      <c r="P35" s="56">
        <v>23.61</v>
      </c>
      <c r="Q35" s="56">
        <v>15.2</v>
      </c>
      <c r="R35" s="56">
        <v>17.63000000000001</v>
      </c>
      <c r="S35" s="189">
        <v>18.7</v>
      </c>
      <c r="T35" s="185" t="s">
        <v>187</v>
      </c>
      <c r="U35" s="186" t="s">
        <v>188</v>
      </c>
      <c r="V35" s="189">
        <v>19.3</v>
      </c>
      <c r="W35" s="189">
        <v>20.22</v>
      </c>
      <c r="X35" s="189">
        <v>21</v>
      </c>
      <c r="Y35" s="189">
        <v>19</v>
      </c>
      <c r="Z35" s="189">
        <v>18</v>
      </c>
      <c r="AA35" s="189">
        <v>16</v>
      </c>
      <c r="AB35" s="189">
        <v>15</v>
      </c>
      <c r="AC35" s="297">
        <v>14</v>
      </c>
      <c r="AD35" s="308">
        <f>AVERAGE(P35:R35)</f>
        <v>18.813333333333336</v>
      </c>
      <c r="AE35" s="246">
        <f t="shared" si="19"/>
        <v>19.406666666666666</v>
      </c>
      <c r="AF35" s="246">
        <f t="shared" si="20"/>
        <v>19.333333333333332</v>
      </c>
      <c r="AG35" s="309">
        <f t="shared" si="21"/>
        <v>15</v>
      </c>
      <c r="AH35" s="241">
        <f>AVERAGE(P35:AC35)</f>
        <v>18.138333333333335</v>
      </c>
      <c r="AI35" s="272"/>
    </row>
    <row r="36" spans="1:358" s="62" customFormat="1" ht="19" hidden="1" outlineLevel="1" thickBot="1">
      <c r="A36" s="245" t="s">
        <v>75</v>
      </c>
      <c r="B36" s="58" t="s">
        <v>27</v>
      </c>
      <c r="C36" s="58" t="s">
        <v>27</v>
      </c>
      <c r="D36" s="87"/>
      <c r="E36" s="58"/>
      <c r="F36" s="59" t="e">
        <f>AVERAGE(F32:F35)</f>
        <v>#DIV/0!</v>
      </c>
      <c r="G36" s="59"/>
      <c r="H36" s="59"/>
      <c r="I36" s="59"/>
      <c r="J36" s="59" t="e">
        <f t="shared" ref="J36:AC36" si="23">AVERAGE(J32:J35)</f>
        <v>#DIV/0!</v>
      </c>
      <c r="K36" s="59">
        <f t="shared" si="23"/>
        <v>16.482500000000002</v>
      </c>
      <c r="L36" s="59">
        <f t="shared" si="23"/>
        <v>17.25</v>
      </c>
      <c r="M36" s="59">
        <f t="shared" si="23"/>
        <v>16.372499999999999</v>
      </c>
      <c r="N36" s="59">
        <f t="shared" si="23"/>
        <v>15.8125</v>
      </c>
      <c r="O36" s="59">
        <f t="shared" si="23"/>
        <v>18.166666666666668</v>
      </c>
      <c r="P36" s="59">
        <f t="shared" si="23"/>
        <v>23.61</v>
      </c>
      <c r="Q36" s="59">
        <f t="shared" si="23"/>
        <v>15.2</v>
      </c>
      <c r="R36" s="59">
        <f t="shared" si="23"/>
        <v>17.63000000000001</v>
      </c>
      <c r="S36" s="59">
        <f t="shared" si="23"/>
        <v>18.8</v>
      </c>
      <c r="T36" s="60"/>
      <c r="U36" s="60"/>
      <c r="V36" s="59">
        <f t="shared" si="23"/>
        <v>19.7</v>
      </c>
      <c r="W36" s="59">
        <f t="shared" si="23"/>
        <v>20.305</v>
      </c>
      <c r="X36" s="59">
        <f t="shared" si="23"/>
        <v>20</v>
      </c>
      <c r="Y36" s="59">
        <f t="shared" si="23"/>
        <v>18.824999999999999</v>
      </c>
      <c r="Z36" s="59">
        <f t="shared" si="23"/>
        <v>17.5</v>
      </c>
      <c r="AA36" s="59">
        <f t="shared" si="23"/>
        <v>16.75</v>
      </c>
      <c r="AB36" s="59">
        <f t="shared" si="23"/>
        <v>15.875</v>
      </c>
      <c r="AC36" s="234">
        <f t="shared" si="23"/>
        <v>15.5</v>
      </c>
      <c r="AD36" s="310">
        <f>AVERAGE(AD32:AD35)</f>
        <v>18.813333333333336</v>
      </c>
      <c r="AE36" s="59">
        <f t="shared" ref="AE36:AG36" si="24">AVERAGE(AE32:AE35)</f>
        <v>19.601666666666667</v>
      </c>
      <c r="AF36" s="59">
        <f t="shared" si="24"/>
        <v>18.774999999999999</v>
      </c>
      <c r="AG36" s="311">
        <f t="shared" si="24"/>
        <v>16.041666666666664</v>
      </c>
      <c r="AH36" s="242">
        <f>AVERAGE(AH32:AH35)</f>
        <v>18.307916666666667</v>
      </c>
      <c r="AI36" s="273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  <c r="DH36" s="61"/>
      <c r="DI36" s="61"/>
      <c r="DJ36" s="61"/>
      <c r="DK36" s="61"/>
      <c r="DL36" s="61"/>
      <c r="DM36" s="61"/>
      <c r="DN36" s="61"/>
      <c r="DO36" s="61"/>
      <c r="DP36" s="61"/>
      <c r="DQ36" s="61"/>
      <c r="DR36" s="61"/>
      <c r="DS36" s="61"/>
      <c r="DT36" s="61"/>
      <c r="DU36" s="61"/>
      <c r="DV36" s="61"/>
      <c r="DW36" s="61"/>
      <c r="DX36" s="61"/>
      <c r="DY36" s="61"/>
      <c r="DZ36" s="61"/>
      <c r="EA36" s="61"/>
      <c r="EB36" s="61"/>
      <c r="EC36" s="61"/>
      <c r="ED36" s="61"/>
      <c r="EE36" s="61"/>
      <c r="EF36" s="61"/>
      <c r="EG36" s="61"/>
      <c r="EH36" s="61"/>
      <c r="EI36" s="61"/>
      <c r="EJ36" s="61"/>
      <c r="EK36" s="61"/>
      <c r="EL36" s="61"/>
      <c r="EM36" s="61"/>
      <c r="EN36" s="61"/>
      <c r="EO36" s="61"/>
      <c r="EP36" s="61"/>
      <c r="EQ36" s="61"/>
      <c r="ER36" s="61"/>
      <c r="ES36" s="61"/>
      <c r="ET36" s="61"/>
      <c r="EU36" s="61"/>
      <c r="EV36" s="61"/>
      <c r="EW36" s="61"/>
      <c r="EX36" s="61"/>
      <c r="EY36" s="61"/>
      <c r="EZ36" s="61"/>
      <c r="FA36" s="61"/>
      <c r="FB36" s="61"/>
      <c r="FC36" s="61"/>
      <c r="FD36" s="61"/>
      <c r="FE36" s="61"/>
      <c r="FF36" s="61"/>
      <c r="FG36" s="61"/>
      <c r="FH36" s="61"/>
      <c r="FI36" s="61"/>
      <c r="FJ36" s="61"/>
      <c r="FK36" s="61"/>
      <c r="FL36" s="61"/>
      <c r="FM36" s="61"/>
      <c r="FN36" s="61"/>
      <c r="FO36" s="61"/>
      <c r="FP36" s="61"/>
      <c r="FQ36" s="61"/>
      <c r="FR36" s="61"/>
      <c r="FS36" s="61"/>
      <c r="FT36" s="61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  <c r="IV36" s="61"/>
      <c r="IW36" s="61"/>
      <c r="IX36" s="61"/>
      <c r="IY36" s="61"/>
      <c r="IZ36" s="61"/>
      <c r="JA36" s="61"/>
      <c r="JB36" s="61"/>
      <c r="JC36" s="61"/>
      <c r="JD36" s="61"/>
      <c r="JE36" s="61"/>
      <c r="JF36" s="61"/>
      <c r="JG36" s="61"/>
      <c r="JH36" s="61"/>
      <c r="JI36" s="61"/>
      <c r="JJ36" s="61"/>
      <c r="JK36" s="61"/>
      <c r="JL36" s="61"/>
      <c r="JM36" s="61"/>
      <c r="JN36" s="61"/>
      <c r="JO36" s="61"/>
      <c r="JP36" s="61"/>
      <c r="JQ36" s="61"/>
      <c r="JR36" s="61"/>
      <c r="JS36" s="61"/>
      <c r="JT36" s="61"/>
      <c r="JU36" s="61"/>
      <c r="JV36" s="61"/>
      <c r="JW36" s="61"/>
      <c r="JX36" s="61"/>
      <c r="JY36" s="61"/>
      <c r="JZ36" s="61"/>
      <c r="KA36" s="61"/>
      <c r="KB36" s="61"/>
      <c r="KC36" s="61"/>
      <c r="KD36" s="61"/>
      <c r="KE36" s="61"/>
      <c r="KF36" s="61"/>
      <c r="KG36" s="61"/>
      <c r="KH36" s="61"/>
      <c r="KI36" s="61"/>
      <c r="KJ36" s="61"/>
      <c r="KK36" s="61"/>
      <c r="KL36" s="61"/>
      <c r="KM36" s="61"/>
      <c r="KN36" s="61"/>
      <c r="KO36" s="61"/>
      <c r="KP36" s="61"/>
      <c r="KQ36" s="61"/>
      <c r="KR36" s="61"/>
      <c r="KS36" s="61"/>
      <c r="KT36" s="61"/>
      <c r="KU36" s="61"/>
      <c r="KV36" s="61"/>
      <c r="KW36" s="61"/>
      <c r="KX36" s="61"/>
      <c r="KY36" s="61"/>
      <c r="KZ36" s="61"/>
      <c r="LA36" s="61"/>
      <c r="LB36" s="61"/>
      <c r="LC36" s="61"/>
      <c r="LD36" s="61"/>
      <c r="LE36" s="61"/>
      <c r="LF36" s="61"/>
      <c r="LG36" s="61"/>
      <c r="LH36" s="61"/>
      <c r="LI36" s="61"/>
      <c r="LJ36" s="61"/>
      <c r="LK36" s="61"/>
      <c r="LL36" s="61"/>
      <c r="LM36" s="61"/>
      <c r="LN36" s="61"/>
      <c r="LO36" s="61"/>
      <c r="LP36" s="61"/>
      <c r="LQ36" s="61"/>
      <c r="LR36" s="61"/>
      <c r="LS36" s="61"/>
      <c r="LT36" s="61"/>
      <c r="LU36" s="61"/>
      <c r="LV36" s="61"/>
      <c r="LW36" s="61"/>
      <c r="LX36" s="61"/>
      <c r="LY36" s="61"/>
      <c r="LZ36" s="61"/>
      <c r="MA36" s="61"/>
      <c r="MB36" s="61"/>
      <c r="MC36" s="61"/>
      <c r="MD36" s="61"/>
      <c r="ME36" s="61"/>
      <c r="MF36" s="61"/>
      <c r="MG36" s="61"/>
      <c r="MH36" s="61"/>
      <c r="MI36" s="61"/>
      <c r="MJ36" s="61"/>
      <c r="MK36" s="61"/>
      <c r="ML36" s="61"/>
      <c r="MM36" s="61"/>
      <c r="MN36" s="61"/>
      <c r="MO36" s="61"/>
      <c r="MP36" s="61"/>
      <c r="MQ36" s="61"/>
      <c r="MR36" s="61"/>
      <c r="MS36" s="61"/>
      <c r="MT36" s="61"/>
    </row>
    <row r="37" spans="1:358" ht="19" collapsed="1" thickBot="1">
      <c r="A37" s="227" t="s">
        <v>74</v>
      </c>
      <c r="B37" s="160"/>
      <c r="C37" s="160"/>
      <c r="D37" s="161"/>
      <c r="E37" s="161"/>
      <c r="F37" s="162"/>
      <c r="G37" s="162"/>
      <c r="H37" s="162"/>
      <c r="I37" s="162"/>
      <c r="J37" s="163"/>
      <c r="K37" s="162">
        <f>K14+K36</f>
        <v>64.782499999999999</v>
      </c>
      <c r="L37" s="162">
        <f>L14+L36</f>
        <v>64.099999999999994</v>
      </c>
      <c r="M37" s="162"/>
      <c r="N37" s="164">
        <f>N36</f>
        <v>15.8125</v>
      </c>
      <c r="O37" s="164">
        <v>17.5</v>
      </c>
      <c r="P37" s="164">
        <f>P36</f>
        <v>23.61</v>
      </c>
      <c r="Q37" s="164">
        <f t="shared" ref="Q37" si="25">Q36</f>
        <v>15.2</v>
      </c>
      <c r="R37" s="164">
        <f>R36</f>
        <v>17.63000000000001</v>
      </c>
      <c r="S37" s="164">
        <v>19</v>
      </c>
      <c r="T37" s="164"/>
      <c r="U37" s="164"/>
      <c r="V37" s="164">
        <f>V36</f>
        <v>19.7</v>
      </c>
      <c r="W37" s="164">
        <v>20.5</v>
      </c>
      <c r="X37" s="164">
        <f>X36</f>
        <v>20</v>
      </c>
      <c r="Y37" s="164">
        <v>19</v>
      </c>
      <c r="Z37" s="164">
        <f>Z36</f>
        <v>17.5</v>
      </c>
      <c r="AA37" s="164">
        <v>16.5</v>
      </c>
      <c r="AB37" s="164">
        <v>15</v>
      </c>
      <c r="AC37" s="229">
        <v>14.5</v>
      </c>
      <c r="AD37" s="312">
        <f>AVERAGE(P37:R37)</f>
        <v>18.813333333333336</v>
      </c>
      <c r="AE37" s="164">
        <f>AVERAGE(S37:W37)</f>
        <v>19.733333333333334</v>
      </c>
      <c r="AF37" s="164">
        <f>AVERAGE(X37:Z37)</f>
        <v>18.833333333333332</v>
      </c>
      <c r="AG37" s="313">
        <f>AVERAGE(AA37:AC37)</f>
        <v>15.333333333333334</v>
      </c>
      <c r="AH37" s="242">
        <f>AVERAGE(P37:S37,V37:AC37)</f>
        <v>18.178333333333335</v>
      </c>
      <c r="AI37" s="271">
        <v>16</v>
      </c>
    </row>
    <row r="38" spans="1:358" ht="21.5" thickBot="1">
      <c r="A38" s="196" t="s">
        <v>34</v>
      </c>
      <c r="B38" s="88"/>
      <c r="C38" s="88"/>
      <c r="D38" s="65"/>
      <c r="E38" s="65"/>
      <c r="F38" s="20"/>
      <c r="G38" s="20"/>
      <c r="H38" s="20"/>
      <c r="I38" s="20"/>
      <c r="J38" s="66"/>
      <c r="K38" s="20"/>
      <c r="L38" s="20"/>
      <c r="M38" s="20"/>
      <c r="N38" s="20"/>
      <c r="O38" s="20"/>
      <c r="P38" s="20"/>
      <c r="Q38" s="20"/>
      <c r="R38" s="23"/>
      <c r="S38" s="24"/>
      <c r="T38" s="67"/>
      <c r="U38" s="67"/>
      <c r="V38" s="24"/>
      <c r="W38" s="24"/>
      <c r="X38" s="24"/>
      <c r="Y38" s="23"/>
      <c r="Z38" s="23"/>
      <c r="AA38" s="23"/>
      <c r="AB38" s="23"/>
      <c r="AC38" s="24"/>
      <c r="AD38" s="314"/>
      <c r="AE38" s="23"/>
      <c r="AF38" s="23"/>
      <c r="AG38" s="303"/>
      <c r="AH38" s="238"/>
      <c r="AI38" s="272"/>
    </row>
    <row r="39" spans="1:358" ht="16.5" hidden="1" customHeight="1" outlineLevel="1">
      <c r="A39" s="25"/>
      <c r="B39" s="26" t="s">
        <v>1</v>
      </c>
      <c r="C39" s="26" t="str">
        <f>C28</f>
        <v>Forecast</v>
      </c>
      <c r="D39" s="27"/>
      <c r="E39" s="673" t="s">
        <v>3</v>
      </c>
      <c r="F39" s="673" t="s">
        <v>4</v>
      </c>
      <c r="G39" s="673" t="s">
        <v>5</v>
      </c>
      <c r="H39" s="673" t="s">
        <v>6</v>
      </c>
      <c r="I39" s="673" t="s">
        <v>7</v>
      </c>
      <c r="J39" s="28" t="s">
        <v>2</v>
      </c>
      <c r="K39" s="673" t="s">
        <v>8</v>
      </c>
      <c r="L39" s="264" t="s">
        <v>9</v>
      </c>
      <c r="M39" s="264" t="s">
        <v>9</v>
      </c>
      <c r="N39" s="673" t="s">
        <v>12</v>
      </c>
      <c r="O39" s="673" t="s">
        <v>13</v>
      </c>
      <c r="P39" s="673" t="s">
        <v>14</v>
      </c>
      <c r="Q39" s="673" t="s">
        <v>15</v>
      </c>
      <c r="R39" s="673" t="s">
        <v>16</v>
      </c>
      <c r="S39" s="673" t="s">
        <v>64</v>
      </c>
      <c r="T39" s="29" t="s">
        <v>10</v>
      </c>
      <c r="U39" s="30" t="s">
        <v>11</v>
      </c>
      <c r="V39" s="673" t="s">
        <v>65</v>
      </c>
      <c r="W39" s="673" t="s">
        <v>66</v>
      </c>
      <c r="X39" s="673" t="s">
        <v>67</v>
      </c>
      <c r="Y39" s="673" t="s">
        <v>68</v>
      </c>
      <c r="Z39" s="673" t="s">
        <v>69</v>
      </c>
      <c r="AA39" s="673" t="s">
        <v>70</v>
      </c>
      <c r="AB39" s="673" t="s">
        <v>77</v>
      </c>
      <c r="AC39" s="697" t="s">
        <v>78</v>
      </c>
      <c r="AD39" s="699" t="s">
        <v>79</v>
      </c>
      <c r="AE39" s="688" t="s">
        <v>80</v>
      </c>
      <c r="AF39" s="688" t="s">
        <v>81</v>
      </c>
      <c r="AG39" s="695" t="s">
        <v>82</v>
      </c>
      <c r="AH39" s="692">
        <v>2016</v>
      </c>
      <c r="AI39" s="272"/>
    </row>
    <row r="40" spans="1:358" ht="16.5" hidden="1" customHeight="1" outlineLevel="1">
      <c r="A40" s="31"/>
      <c r="B40" s="68"/>
      <c r="C40" s="68"/>
      <c r="D40" s="27"/>
      <c r="E40" s="674"/>
      <c r="F40" s="674"/>
      <c r="G40" s="674"/>
      <c r="H40" s="674"/>
      <c r="I40" s="674"/>
      <c r="J40" s="69" t="str">
        <f>$J$6</f>
        <v>(8-12 Jun)</v>
      </c>
      <c r="K40" s="674"/>
      <c r="L40" s="33" t="s">
        <v>20</v>
      </c>
      <c r="M40" s="33" t="s">
        <v>63</v>
      </c>
      <c r="N40" s="674"/>
      <c r="O40" s="674"/>
      <c r="P40" s="674"/>
      <c r="Q40" s="674"/>
      <c r="R40" s="674"/>
      <c r="S40" s="674"/>
      <c r="T40" s="187">
        <f>T6</f>
        <v>42461</v>
      </c>
      <c r="U40" s="188">
        <f>U6</f>
        <v>42491</v>
      </c>
      <c r="V40" s="674"/>
      <c r="W40" s="674"/>
      <c r="X40" s="674"/>
      <c r="Y40" s="674"/>
      <c r="Z40" s="674"/>
      <c r="AA40" s="674"/>
      <c r="AB40" s="674"/>
      <c r="AC40" s="698"/>
      <c r="AD40" s="700"/>
      <c r="AE40" s="689"/>
      <c r="AF40" s="689"/>
      <c r="AG40" s="696"/>
      <c r="AH40" s="686"/>
      <c r="AI40" s="272"/>
    </row>
    <row r="41" spans="1:358" hidden="1" outlineLevel="1">
      <c r="A41" s="89" t="s">
        <v>35</v>
      </c>
      <c r="B41" s="96">
        <v>13.72</v>
      </c>
      <c r="C41" s="97" t="str">
        <f>C30</f>
        <v>Previous WK</v>
      </c>
      <c r="D41" s="98"/>
      <c r="E41" s="99">
        <v>13.53</v>
      </c>
      <c r="F41" s="35"/>
      <c r="G41" s="35"/>
      <c r="H41" s="35"/>
      <c r="I41" s="35"/>
      <c r="J41" s="72"/>
      <c r="K41" s="35"/>
      <c r="L41" s="37"/>
      <c r="M41" s="37"/>
      <c r="N41" s="35"/>
      <c r="O41" s="35"/>
      <c r="P41" s="35"/>
      <c r="Q41" s="35"/>
      <c r="R41" s="38"/>
      <c r="S41" s="39"/>
      <c r="T41" s="100"/>
      <c r="U41" s="100"/>
      <c r="V41" s="39"/>
      <c r="W41" s="39"/>
      <c r="X41" s="39"/>
      <c r="Y41" s="38"/>
      <c r="Z41" s="38"/>
      <c r="AA41" s="38"/>
      <c r="AB41" s="38"/>
      <c r="AC41" s="39"/>
      <c r="AD41" s="304"/>
      <c r="AE41" s="248"/>
      <c r="AF41" s="248"/>
      <c r="AG41" s="305"/>
      <c r="AH41" s="239"/>
      <c r="AI41" s="272"/>
    </row>
    <row r="42" spans="1:358" s="77" customFormat="1" ht="21" hidden="1" customHeight="1" outlineLevel="1">
      <c r="A42" s="675"/>
      <c r="B42" s="676"/>
      <c r="C42" s="676"/>
      <c r="D42" s="41"/>
      <c r="E42" s="41"/>
      <c r="F42" s="76"/>
      <c r="G42" s="76"/>
      <c r="H42" s="76"/>
      <c r="I42" s="76"/>
      <c r="J42" s="43"/>
      <c r="K42" s="76"/>
      <c r="L42" s="76"/>
      <c r="M42" s="76"/>
      <c r="N42" s="76"/>
      <c r="O42" s="76"/>
      <c r="P42" s="222"/>
      <c r="Q42" s="76"/>
      <c r="R42" s="44"/>
      <c r="S42" s="44"/>
      <c r="T42" s="216"/>
      <c r="U42" s="217"/>
      <c r="V42" s="44"/>
      <c r="W42" s="44"/>
      <c r="X42" s="44"/>
      <c r="Y42" s="44"/>
      <c r="Z42" s="44"/>
      <c r="AA42" s="44"/>
      <c r="AB42" s="44"/>
      <c r="AC42" s="235"/>
      <c r="AD42" s="315"/>
      <c r="AE42" s="44"/>
      <c r="AF42" s="44"/>
      <c r="AG42" s="316"/>
      <c r="AH42" s="240"/>
      <c r="AI42" s="272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5"/>
      <c r="EA42" s="45"/>
      <c r="EB42" s="45"/>
      <c r="EC42" s="45"/>
      <c r="ED42" s="45"/>
      <c r="EE42" s="45"/>
      <c r="EF42" s="45"/>
      <c r="EG42" s="45"/>
      <c r="EH42" s="45"/>
      <c r="EI42" s="45"/>
      <c r="EJ42" s="45"/>
      <c r="EK42" s="45"/>
      <c r="EL42" s="45"/>
      <c r="EM42" s="45"/>
      <c r="EN42" s="45"/>
      <c r="EO42" s="45"/>
      <c r="EP42" s="45"/>
      <c r="EQ42" s="45"/>
      <c r="ER42" s="45"/>
      <c r="ES42" s="45"/>
      <c r="ET42" s="45"/>
      <c r="EU42" s="45"/>
      <c r="EV42" s="45"/>
      <c r="EW42" s="45"/>
      <c r="EX42" s="45"/>
      <c r="EY42" s="45"/>
      <c r="EZ42" s="45"/>
      <c r="FA42" s="45"/>
      <c r="FB42" s="45"/>
      <c r="FC42" s="45"/>
      <c r="FD42" s="45"/>
      <c r="FE42" s="45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45"/>
      <c r="GR42" s="45"/>
      <c r="GS42" s="45"/>
      <c r="GT42" s="45"/>
      <c r="GU42" s="45"/>
      <c r="GV42" s="45"/>
      <c r="GW42" s="45"/>
      <c r="GX42" s="45"/>
      <c r="GY42" s="45"/>
      <c r="GZ42" s="45"/>
      <c r="HA42" s="45"/>
      <c r="HB42" s="45"/>
      <c r="HC42" s="45"/>
      <c r="HD42" s="45"/>
      <c r="HE42" s="45"/>
      <c r="HF42" s="45"/>
      <c r="HG42" s="45"/>
      <c r="HH42" s="45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  <c r="IO42" s="45"/>
      <c r="IP42" s="45"/>
      <c r="IQ42" s="45"/>
      <c r="IR42" s="45"/>
      <c r="IS42" s="45"/>
      <c r="IT42" s="45"/>
      <c r="IU42" s="45"/>
      <c r="IV42" s="45"/>
      <c r="IW42" s="45"/>
      <c r="IX42" s="45"/>
      <c r="IY42" s="45"/>
      <c r="IZ42" s="45"/>
      <c r="JA42" s="45"/>
      <c r="JB42" s="45"/>
      <c r="JC42" s="45"/>
      <c r="JD42" s="45"/>
      <c r="JE42" s="45"/>
      <c r="JF42" s="45"/>
      <c r="JG42" s="45"/>
      <c r="JH42" s="45"/>
      <c r="JI42" s="45"/>
      <c r="JJ42" s="45"/>
      <c r="JK42" s="45"/>
      <c r="JL42" s="45"/>
      <c r="JM42" s="45"/>
      <c r="JN42" s="45"/>
      <c r="JO42" s="45"/>
      <c r="JP42" s="45"/>
      <c r="JQ42" s="45"/>
      <c r="JR42" s="45"/>
      <c r="JS42" s="45"/>
      <c r="JT42" s="45"/>
      <c r="JU42" s="45"/>
      <c r="JV42" s="45"/>
      <c r="JW42" s="45"/>
      <c r="JX42" s="45"/>
      <c r="JY42" s="45"/>
      <c r="JZ42" s="45"/>
      <c r="KA42" s="45"/>
      <c r="KB42" s="45"/>
      <c r="KC42" s="45"/>
      <c r="KD42" s="45"/>
      <c r="KE42" s="45"/>
      <c r="KF42" s="45"/>
      <c r="KG42" s="45"/>
      <c r="KH42" s="45"/>
      <c r="KI42" s="45"/>
      <c r="KJ42" s="45"/>
      <c r="KK42" s="45"/>
      <c r="KL42" s="45"/>
      <c r="KM42" s="45"/>
      <c r="KN42" s="45"/>
      <c r="KO42" s="45"/>
      <c r="KP42" s="45"/>
      <c r="KQ42" s="45"/>
      <c r="KR42" s="45"/>
      <c r="KS42" s="45"/>
      <c r="KT42" s="45"/>
      <c r="KU42" s="45"/>
      <c r="KV42" s="45"/>
      <c r="KW42" s="45"/>
      <c r="KX42" s="45"/>
      <c r="KY42" s="45"/>
      <c r="KZ42" s="45"/>
      <c r="LA42" s="45"/>
      <c r="LB42" s="45"/>
      <c r="LC42" s="45"/>
      <c r="LD42" s="45"/>
      <c r="LE42" s="45"/>
      <c r="LF42" s="45"/>
      <c r="LG42" s="45"/>
      <c r="LH42" s="45"/>
      <c r="LI42" s="45"/>
      <c r="LJ42" s="45"/>
      <c r="LK42" s="45"/>
      <c r="LL42" s="45"/>
      <c r="LM42" s="45"/>
      <c r="LN42" s="45"/>
      <c r="LO42" s="45"/>
      <c r="LP42" s="45"/>
      <c r="LQ42" s="45"/>
      <c r="LR42" s="45"/>
      <c r="LS42" s="45"/>
      <c r="LT42" s="45"/>
      <c r="LU42" s="45"/>
      <c r="LV42" s="45"/>
      <c r="LW42" s="45"/>
      <c r="LX42" s="45"/>
      <c r="LY42" s="45"/>
      <c r="LZ42" s="45"/>
      <c r="MA42" s="45"/>
      <c r="MB42" s="45"/>
      <c r="MC42" s="45"/>
      <c r="MD42" s="45"/>
      <c r="ME42" s="45"/>
      <c r="MF42" s="45"/>
      <c r="MG42" s="45"/>
      <c r="MH42" s="45"/>
      <c r="MI42" s="45"/>
      <c r="MJ42" s="45"/>
      <c r="MK42" s="45"/>
      <c r="ML42" s="45"/>
      <c r="MM42" s="45"/>
      <c r="MN42" s="45"/>
      <c r="MO42" s="45"/>
      <c r="MP42" s="45"/>
      <c r="MQ42" s="45"/>
      <c r="MR42" s="45"/>
      <c r="MS42" s="45"/>
      <c r="MT42" s="45"/>
    </row>
    <row r="43" spans="1:358" ht="60.75" hidden="1" customHeight="1" outlineLevel="1">
      <c r="A43" s="47" t="s">
        <v>23</v>
      </c>
      <c r="B43" s="78">
        <f>C43-$B$41</f>
        <v>-0.22000000000000064</v>
      </c>
      <c r="C43" s="55">
        <v>13.5</v>
      </c>
      <c r="D43" s="49"/>
      <c r="E43" s="49"/>
      <c r="F43" s="52"/>
      <c r="G43" s="57"/>
      <c r="H43" s="56"/>
      <c r="I43" s="56"/>
      <c r="J43" s="55"/>
      <c r="K43" s="189">
        <v>13.2</v>
      </c>
      <c r="L43" s="191">
        <v>13.9</v>
      </c>
      <c r="M43" s="154">
        <v>13.5</v>
      </c>
      <c r="N43" s="191">
        <v>14.5</v>
      </c>
      <c r="O43" s="191">
        <v>13.5</v>
      </c>
      <c r="P43" s="56">
        <v>11.1</v>
      </c>
      <c r="Q43" s="56">
        <v>11.62</v>
      </c>
      <c r="R43" s="52">
        <v>12.238181818181829</v>
      </c>
      <c r="S43" s="181">
        <v>11.25</v>
      </c>
      <c r="T43" s="185" t="s">
        <v>150</v>
      </c>
      <c r="U43" s="186" t="s">
        <v>181</v>
      </c>
      <c r="V43" s="181">
        <v>10.6</v>
      </c>
      <c r="W43" s="181">
        <v>11</v>
      </c>
      <c r="X43" s="181">
        <v>11.25</v>
      </c>
      <c r="Y43" s="181">
        <v>11</v>
      </c>
      <c r="Z43" s="181">
        <v>11.25</v>
      </c>
      <c r="AA43" s="181">
        <v>11.5</v>
      </c>
      <c r="AB43" s="181">
        <v>12.75</v>
      </c>
      <c r="AC43" s="299">
        <v>13.75</v>
      </c>
      <c r="AD43" s="308">
        <f>AVERAGE(P43:R43)</f>
        <v>11.652727272727276</v>
      </c>
      <c r="AE43" s="246">
        <f>AVERAGE(S43:W43)</f>
        <v>10.950000000000001</v>
      </c>
      <c r="AF43" s="246">
        <f>AVERAGE(X43:Z43)</f>
        <v>11.166666666666666</v>
      </c>
      <c r="AG43" s="309">
        <f>AVERAGE(AA43:AC43)</f>
        <v>12.666666666666666</v>
      </c>
      <c r="AH43" s="241">
        <f>AVERAGE(P43:AC43)</f>
        <v>11.609015151515152</v>
      </c>
      <c r="AI43" s="272"/>
    </row>
    <row r="44" spans="1:358" ht="60.75" hidden="1" customHeight="1" outlineLevel="1">
      <c r="A44" s="47" t="s">
        <v>24</v>
      </c>
      <c r="B44" s="78">
        <f t="shared" ref="B44" si="26">C44-$B$32</f>
        <v>13.809999999999999</v>
      </c>
      <c r="C44" s="55">
        <v>13.5</v>
      </c>
      <c r="D44" s="49"/>
      <c r="E44" s="49"/>
      <c r="F44" s="56"/>
      <c r="G44" s="57"/>
      <c r="H44" s="56"/>
      <c r="I44" s="56"/>
      <c r="J44" s="55"/>
      <c r="K44" s="189">
        <v>13.4</v>
      </c>
      <c r="L44" s="191">
        <v>13.3</v>
      </c>
      <c r="M44" s="154">
        <v>13</v>
      </c>
      <c r="N44" s="191">
        <v>13.8</v>
      </c>
      <c r="O44" s="184"/>
      <c r="P44" s="56">
        <v>11.1</v>
      </c>
      <c r="Q44" s="56">
        <v>11.62</v>
      </c>
      <c r="R44" s="296">
        <v>12.238181818181829</v>
      </c>
      <c r="S44" s="175">
        <v>11.8</v>
      </c>
      <c r="T44" s="185"/>
      <c r="U44" s="186"/>
      <c r="V44" s="175">
        <v>11.3</v>
      </c>
      <c r="W44" s="175">
        <v>11.3</v>
      </c>
      <c r="X44" s="175">
        <v>11.8</v>
      </c>
      <c r="Y44" s="175">
        <v>11</v>
      </c>
      <c r="Z44" s="175">
        <v>11.7</v>
      </c>
      <c r="AA44" s="175">
        <v>13</v>
      </c>
      <c r="AB44" s="175">
        <v>14</v>
      </c>
      <c r="AC44" s="300">
        <v>13.9</v>
      </c>
      <c r="AD44" s="308">
        <f>AVERAGE(P44:R44)</f>
        <v>11.652727272727276</v>
      </c>
      <c r="AE44" s="246">
        <f t="shared" ref="AE44:AE46" si="27">AVERAGE(S44:W44)</f>
        <v>11.466666666666669</v>
      </c>
      <c r="AF44" s="246">
        <f t="shared" ref="AF44:AF46" si="28">AVERAGE(X44:Z44)</f>
        <v>11.5</v>
      </c>
      <c r="AG44" s="309">
        <f t="shared" ref="AG44:AG46" si="29">AVERAGE(AA44:AC44)</f>
        <v>13.633333333333333</v>
      </c>
      <c r="AH44" s="241">
        <f>AVERAGE(P44:AC44)</f>
        <v>12.063181818181819</v>
      </c>
      <c r="AI44" s="272"/>
    </row>
    <row r="45" spans="1:358" ht="60.75" hidden="1" customHeight="1" outlineLevel="1">
      <c r="A45" s="47" t="s">
        <v>25</v>
      </c>
      <c r="B45" s="78">
        <f t="shared" ref="B45" si="30">C45-$B$41</f>
        <v>8.0000000000000071E-2</v>
      </c>
      <c r="C45" s="55">
        <v>13.8</v>
      </c>
      <c r="D45" s="49"/>
      <c r="E45" s="49"/>
      <c r="F45" s="52"/>
      <c r="G45" s="57"/>
      <c r="H45" s="56"/>
      <c r="I45" s="56"/>
      <c r="J45" s="55"/>
      <c r="K45" s="189">
        <v>12.5</v>
      </c>
      <c r="L45" s="191">
        <v>13.2</v>
      </c>
      <c r="M45" s="154">
        <v>13.2</v>
      </c>
      <c r="N45" s="191">
        <v>14.5</v>
      </c>
      <c r="O45" s="191">
        <v>15.25</v>
      </c>
      <c r="P45" s="56">
        <v>11.1</v>
      </c>
      <c r="Q45" s="56">
        <v>11.62</v>
      </c>
      <c r="R45" s="56">
        <v>12.238181818181829</v>
      </c>
      <c r="S45" s="181">
        <v>11.6</v>
      </c>
      <c r="T45" s="185" t="s">
        <v>161</v>
      </c>
      <c r="U45" s="186" t="s">
        <v>36</v>
      </c>
      <c r="V45" s="181">
        <v>11</v>
      </c>
      <c r="W45" s="181">
        <v>11</v>
      </c>
      <c r="X45" s="181">
        <v>11</v>
      </c>
      <c r="Y45" s="181">
        <v>11</v>
      </c>
      <c r="Z45" s="181">
        <v>11.5</v>
      </c>
      <c r="AA45" s="181">
        <v>11.5</v>
      </c>
      <c r="AB45" s="181">
        <v>12</v>
      </c>
      <c r="AC45" s="299">
        <v>12</v>
      </c>
      <c r="AD45" s="308">
        <f>AVERAGE(P45:R45)</f>
        <v>11.652727272727276</v>
      </c>
      <c r="AE45" s="246">
        <f t="shared" si="27"/>
        <v>11.200000000000001</v>
      </c>
      <c r="AF45" s="246">
        <f t="shared" si="28"/>
        <v>11.166666666666666</v>
      </c>
      <c r="AG45" s="309">
        <f t="shared" si="29"/>
        <v>11.833333333333334</v>
      </c>
      <c r="AH45" s="241">
        <f>AVERAGE(P45:AC45)</f>
        <v>11.463181818181818</v>
      </c>
      <c r="AI45" s="272"/>
    </row>
    <row r="46" spans="1:358" ht="60.75" hidden="1" customHeight="1" outlineLevel="1" thickBot="1">
      <c r="A46" s="47" t="s">
        <v>26</v>
      </c>
      <c r="B46" s="48" t="e">
        <f>C46-#REF!</f>
        <v>#REF!</v>
      </c>
      <c r="C46" s="55">
        <v>12.8</v>
      </c>
      <c r="D46" s="49"/>
      <c r="E46" s="49"/>
      <c r="F46" s="52"/>
      <c r="G46" s="51"/>
      <c r="H46" s="52"/>
      <c r="I46" s="52"/>
      <c r="J46" s="55"/>
      <c r="K46" s="181">
        <v>13.34</v>
      </c>
      <c r="L46" s="101">
        <v>13.34</v>
      </c>
      <c r="M46" s="101">
        <v>13.68</v>
      </c>
      <c r="N46" s="182">
        <v>14.12</v>
      </c>
      <c r="O46" s="182">
        <v>14</v>
      </c>
      <c r="P46" s="56">
        <v>11.1</v>
      </c>
      <c r="Q46" s="56">
        <v>11.62</v>
      </c>
      <c r="R46" s="52">
        <v>12.238181818181829</v>
      </c>
      <c r="S46" s="181">
        <v>12.4</v>
      </c>
      <c r="T46" s="185" t="s">
        <v>189</v>
      </c>
      <c r="U46" s="186" t="s">
        <v>190</v>
      </c>
      <c r="V46" s="181">
        <v>12.8</v>
      </c>
      <c r="W46" s="181">
        <v>12</v>
      </c>
      <c r="X46" s="181">
        <v>12.5</v>
      </c>
      <c r="Y46" s="181">
        <v>10.7</v>
      </c>
      <c r="Z46" s="181">
        <v>10.3</v>
      </c>
      <c r="AA46" s="181">
        <v>12.7</v>
      </c>
      <c r="AB46" s="181">
        <v>14.65</v>
      </c>
      <c r="AC46" s="299">
        <v>14.39</v>
      </c>
      <c r="AD46" s="308">
        <f>AVERAGE(P46:R46)</f>
        <v>11.652727272727276</v>
      </c>
      <c r="AE46" s="246">
        <f t="shared" si="27"/>
        <v>12.4</v>
      </c>
      <c r="AF46" s="246">
        <f t="shared" si="28"/>
        <v>11.166666666666666</v>
      </c>
      <c r="AG46" s="309">
        <f t="shared" si="29"/>
        <v>13.913333333333334</v>
      </c>
      <c r="AH46" s="241">
        <f>AVERAGE(P46:AC46)</f>
        <v>12.283181818181822</v>
      </c>
      <c r="AI46" s="272"/>
    </row>
    <row r="47" spans="1:358" s="62" customFormat="1" ht="19" hidden="1" outlineLevel="1" thickBot="1">
      <c r="A47" s="245" t="s">
        <v>75</v>
      </c>
      <c r="B47" s="155" t="s">
        <v>27</v>
      </c>
      <c r="C47" s="155" t="s">
        <v>27</v>
      </c>
      <c r="D47" s="155"/>
      <c r="E47" s="156"/>
      <c r="F47" s="157"/>
      <c r="G47" s="157"/>
      <c r="H47" s="157"/>
      <c r="I47" s="157"/>
      <c r="J47" s="157" t="e">
        <f t="shared" ref="J47:AG47" si="31">AVERAGE(J43:J46)</f>
        <v>#DIV/0!</v>
      </c>
      <c r="K47" s="157">
        <f t="shared" si="31"/>
        <v>13.11</v>
      </c>
      <c r="L47" s="157">
        <f t="shared" si="31"/>
        <v>13.435000000000002</v>
      </c>
      <c r="M47" s="157">
        <f t="shared" si="31"/>
        <v>13.345000000000001</v>
      </c>
      <c r="N47" s="157">
        <f t="shared" si="31"/>
        <v>14.229999999999999</v>
      </c>
      <c r="O47" s="157">
        <f t="shared" si="31"/>
        <v>14.25</v>
      </c>
      <c r="P47" s="157">
        <f t="shared" si="31"/>
        <v>11.1</v>
      </c>
      <c r="Q47" s="157">
        <f t="shared" si="31"/>
        <v>11.62</v>
      </c>
      <c r="R47" s="157">
        <f t="shared" si="31"/>
        <v>12.238181818181829</v>
      </c>
      <c r="S47" s="59">
        <f t="shared" si="31"/>
        <v>11.762499999999999</v>
      </c>
      <c r="T47" s="158"/>
      <c r="U47" s="158"/>
      <c r="V47" s="59">
        <f t="shared" si="31"/>
        <v>11.425000000000001</v>
      </c>
      <c r="W47" s="59">
        <f t="shared" si="31"/>
        <v>11.324999999999999</v>
      </c>
      <c r="X47" s="59">
        <f t="shared" si="31"/>
        <v>11.637499999999999</v>
      </c>
      <c r="Y47" s="59">
        <f t="shared" si="31"/>
        <v>10.925000000000001</v>
      </c>
      <c r="Z47" s="59">
        <f t="shared" si="31"/>
        <v>11.1875</v>
      </c>
      <c r="AA47" s="59">
        <f t="shared" si="31"/>
        <v>12.175000000000001</v>
      </c>
      <c r="AB47" s="59">
        <f t="shared" si="31"/>
        <v>13.35</v>
      </c>
      <c r="AC47" s="234">
        <f t="shared" si="31"/>
        <v>13.51</v>
      </c>
      <c r="AD47" s="310">
        <f t="shared" si="31"/>
        <v>11.652727272727276</v>
      </c>
      <c r="AE47" s="59">
        <f t="shared" si="31"/>
        <v>11.504166666666668</v>
      </c>
      <c r="AF47" s="59">
        <f t="shared" si="31"/>
        <v>11.249999999999998</v>
      </c>
      <c r="AG47" s="311">
        <f t="shared" si="31"/>
        <v>13.011666666666667</v>
      </c>
      <c r="AH47" s="242">
        <f>AVERAGE(AH43:AH46)</f>
        <v>11.854640151515152</v>
      </c>
      <c r="AI47" s="272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1"/>
      <c r="IX47" s="61"/>
      <c r="IY47" s="61"/>
      <c r="IZ47" s="61"/>
      <c r="JA47" s="61"/>
      <c r="JB47" s="61"/>
      <c r="JC47" s="61"/>
      <c r="JD47" s="61"/>
      <c r="JE47" s="61"/>
      <c r="JF47" s="61"/>
      <c r="JG47" s="61"/>
      <c r="JH47" s="61"/>
      <c r="JI47" s="61"/>
      <c r="JJ47" s="61"/>
      <c r="JK47" s="61"/>
      <c r="JL47" s="61"/>
      <c r="JM47" s="61"/>
      <c r="JN47" s="61"/>
      <c r="JO47" s="61"/>
      <c r="JP47" s="61"/>
      <c r="JQ47" s="61"/>
      <c r="JR47" s="61"/>
      <c r="JS47" s="61"/>
      <c r="JT47" s="61"/>
      <c r="JU47" s="61"/>
      <c r="JV47" s="61"/>
      <c r="JW47" s="61"/>
      <c r="JX47" s="61"/>
      <c r="JY47" s="61"/>
      <c r="JZ47" s="61"/>
      <c r="KA47" s="61"/>
      <c r="KB47" s="61"/>
      <c r="KC47" s="61"/>
      <c r="KD47" s="61"/>
      <c r="KE47" s="61"/>
      <c r="KF47" s="61"/>
      <c r="KG47" s="61"/>
      <c r="KH47" s="61"/>
      <c r="KI47" s="61"/>
      <c r="KJ47" s="61"/>
      <c r="KK47" s="61"/>
      <c r="KL47" s="61"/>
      <c r="KM47" s="61"/>
      <c r="KN47" s="61"/>
      <c r="KO47" s="61"/>
      <c r="KP47" s="61"/>
      <c r="KQ47" s="61"/>
      <c r="KR47" s="61"/>
      <c r="KS47" s="61"/>
      <c r="KT47" s="61"/>
      <c r="KU47" s="61"/>
      <c r="KV47" s="61"/>
      <c r="KW47" s="61"/>
      <c r="KX47" s="61"/>
      <c r="KY47" s="61"/>
      <c r="KZ47" s="61"/>
      <c r="LA47" s="61"/>
      <c r="LB47" s="61"/>
      <c r="LC47" s="61"/>
      <c r="LD47" s="61"/>
      <c r="LE47" s="61"/>
      <c r="LF47" s="61"/>
      <c r="LG47" s="61"/>
      <c r="LH47" s="61"/>
      <c r="LI47" s="61"/>
      <c r="LJ47" s="61"/>
      <c r="LK47" s="61"/>
      <c r="LL47" s="61"/>
      <c r="LM47" s="61"/>
      <c r="LN47" s="61"/>
      <c r="LO47" s="61"/>
      <c r="LP47" s="61"/>
      <c r="LQ47" s="61"/>
      <c r="LR47" s="61"/>
      <c r="LS47" s="61"/>
      <c r="LT47" s="61"/>
      <c r="LU47" s="61"/>
      <c r="LV47" s="61"/>
      <c r="LW47" s="61"/>
      <c r="LX47" s="61"/>
      <c r="LY47" s="61"/>
      <c r="LZ47" s="61"/>
      <c r="MA47" s="61"/>
      <c r="MB47" s="61"/>
      <c r="MC47" s="61"/>
      <c r="MD47" s="61"/>
      <c r="ME47" s="61"/>
      <c r="MF47" s="61"/>
      <c r="MG47" s="61"/>
      <c r="MH47" s="61"/>
      <c r="MI47" s="61"/>
      <c r="MJ47" s="61"/>
      <c r="MK47" s="61"/>
      <c r="ML47" s="61"/>
      <c r="MM47" s="61"/>
      <c r="MN47" s="61"/>
      <c r="MO47" s="61"/>
      <c r="MP47" s="61"/>
      <c r="MQ47" s="61"/>
      <c r="MR47" s="61"/>
      <c r="MS47" s="61"/>
      <c r="MT47" s="61"/>
    </row>
    <row r="48" spans="1:358" s="62" customFormat="1" ht="24.65" customHeight="1" collapsed="1" thickBot="1">
      <c r="A48" s="227" t="s">
        <v>74</v>
      </c>
      <c r="B48" s="165"/>
      <c r="C48" s="165"/>
      <c r="D48" s="166"/>
      <c r="E48" s="166"/>
      <c r="F48" s="167"/>
      <c r="G48" s="167"/>
      <c r="H48" s="167"/>
      <c r="I48" s="167"/>
      <c r="J48" s="168"/>
      <c r="K48" s="167"/>
      <c r="L48" s="167"/>
      <c r="M48" s="167"/>
      <c r="N48" s="164">
        <f>N47</f>
        <v>14.229999999999999</v>
      </c>
      <c r="O48" s="164">
        <v>15.6</v>
      </c>
      <c r="P48" s="164">
        <f>P47</f>
        <v>11.1</v>
      </c>
      <c r="Q48" s="164">
        <f t="shared" ref="Q48:R48" si="32">Q47</f>
        <v>11.62</v>
      </c>
      <c r="R48" s="164">
        <f t="shared" si="32"/>
        <v>12.238181818181829</v>
      </c>
      <c r="S48" s="164">
        <v>11.6</v>
      </c>
      <c r="T48" s="164"/>
      <c r="U48" s="164"/>
      <c r="V48" s="164">
        <v>11.4</v>
      </c>
      <c r="W48" s="164">
        <v>11.3</v>
      </c>
      <c r="X48" s="164">
        <v>11.65</v>
      </c>
      <c r="Y48" s="164">
        <v>11</v>
      </c>
      <c r="Z48" s="164">
        <v>11.2</v>
      </c>
      <c r="AA48" s="164">
        <v>12.2</v>
      </c>
      <c r="AB48" s="164">
        <v>13.5</v>
      </c>
      <c r="AC48" s="229">
        <v>13.5</v>
      </c>
      <c r="AD48" s="312">
        <f>AVERAGE(P48:R48)</f>
        <v>11.652727272727276</v>
      </c>
      <c r="AE48" s="164">
        <f>AVERAGE(S48:W48)</f>
        <v>11.433333333333332</v>
      </c>
      <c r="AF48" s="164">
        <f>AVERAGE(X48:Z48)</f>
        <v>11.283333333333331</v>
      </c>
      <c r="AG48" s="313">
        <f>AVERAGE(AA48:AC48)</f>
        <v>13.066666666666668</v>
      </c>
      <c r="AH48" s="242">
        <f>AVERAGE(P48:S48,V48:AC48)</f>
        <v>11.859015151515152</v>
      </c>
      <c r="AI48" s="271">
        <v>13.1</v>
      </c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1"/>
      <c r="IX48" s="61"/>
      <c r="IY48" s="61"/>
      <c r="IZ48" s="61"/>
      <c r="JA48" s="61"/>
      <c r="JB48" s="61"/>
      <c r="JC48" s="61"/>
      <c r="JD48" s="61"/>
      <c r="JE48" s="61"/>
      <c r="JF48" s="61"/>
      <c r="JG48" s="61"/>
      <c r="JH48" s="61"/>
      <c r="JI48" s="61"/>
      <c r="JJ48" s="61"/>
      <c r="JK48" s="61"/>
      <c r="JL48" s="61"/>
      <c r="JM48" s="61"/>
      <c r="JN48" s="61"/>
      <c r="JO48" s="61"/>
      <c r="JP48" s="61"/>
      <c r="JQ48" s="61"/>
      <c r="JR48" s="61"/>
      <c r="JS48" s="61"/>
      <c r="JT48" s="61"/>
      <c r="JU48" s="61"/>
      <c r="JV48" s="61"/>
      <c r="JW48" s="61"/>
      <c r="JX48" s="61"/>
      <c r="JY48" s="61"/>
      <c r="JZ48" s="61"/>
      <c r="KA48" s="61"/>
      <c r="KB48" s="61"/>
      <c r="KC48" s="61"/>
      <c r="KD48" s="61"/>
      <c r="KE48" s="61"/>
      <c r="KF48" s="61"/>
      <c r="KG48" s="61"/>
      <c r="KH48" s="61"/>
      <c r="KI48" s="61"/>
      <c r="KJ48" s="61"/>
      <c r="KK48" s="61"/>
      <c r="KL48" s="61"/>
      <c r="KM48" s="61"/>
      <c r="KN48" s="61"/>
      <c r="KO48" s="61"/>
      <c r="KP48" s="61"/>
      <c r="KQ48" s="61"/>
      <c r="KR48" s="61"/>
      <c r="KS48" s="61"/>
      <c r="KT48" s="61"/>
      <c r="KU48" s="61"/>
      <c r="KV48" s="61"/>
      <c r="KW48" s="61"/>
      <c r="KX48" s="61"/>
      <c r="KY48" s="61"/>
      <c r="KZ48" s="61"/>
      <c r="LA48" s="61"/>
      <c r="LB48" s="61"/>
      <c r="LC48" s="61"/>
      <c r="LD48" s="61"/>
      <c r="LE48" s="61"/>
      <c r="LF48" s="61"/>
      <c r="LG48" s="61"/>
      <c r="LH48" s="61"/>
      <c r="LI48" s="61"/>
      <c r="LJ48" s="61"/>
      <c r="LK48" s="61"/>
      <c r="LL48" s="61"/>
      <c r="LM48" s="61"/>
      <c r="LN48" s="61"/>
      <c r="LO48" s="61"/>
      <c r="LP48" s="61"/>
      <c r="LQ48" s="61"/>
      <c r="LR48" s="61"/>
      <c r="LS48" s="61"/>
      <c r="LT48" s="61"/>
      <c r="LU48" s="61"/>
      <c r="LV48" s="61"/>
      <c r="LW48" s="61"/>
      <c r="LX48" s="61"/>
      <c r="LY48" s="61"/>
      <c r="LZ48" s="61"/>
      <c r="MA48" s="61"/>
      <c r="MB48" s="61"/>
      <c r="MC48" s="61"/>
      <c r="MD48" s="61"/>
      <c r="ME48" s="61"/>
      <c r="MF48" s="61"/>
      <c r="MG48" s="61"/>
      <c r="MH48" s="61"/>
      <c r="MI48" s="61"/>
      <c r="MJ48" s="61"/>
      <c r="MK48" s="61"/>
      <c r="ML48" s="61"/>
      <c r="MM48" s="61"/>
      <c r="MN48" s="61"/>
      <c r="MO48" s="61"/>
      <c r="MP48" s="61"/>
      <c r="MQ48" s="61"/>
      <c r="MR48" s="61"/>
      <c r="MS48" s="61"/>
      <c r="MT48" s="61"/>
    </row>
    <row r="49" spans="1:358" s="62" customFormat="1" ht="21.5" hidden="1" thickBot="1">
      <c r="A49" s="197" t="s">
        <v>37</v>
      </c>
      <c r="B49" s="102"/>
      <c r="C49" s="102"/>
      <c r="D49" s="102"/>
      <c r="E49" s="102"/>
      <c r="F49" s="159"/>
      <c r="G49" s="159"/>
      <c r="H49" s="159"/>
      <c r="I49" s="159"/>
      <c r="J49" s="103"/>
      <c r="K49" s="159">
        <f>K47+K14</f>
        <v>61.41</v>
      </c>
      <c r="L49" s="159">
        <f>L47+L14</f>
        <v>60.285000000000004</v>
      </c>
      <c r="M49" s="104">
        <f>M47-M60</f>
        <v>0.27500000000000036</v>
      </c>
      <c r="N49" s="157">
        <f>N47-N60</f>
        <v>0.19999999999999929</v>
      </c>
      <c r="O49" s="157">
        <f>O47-O60</f>
        <v>9.9999999999999645E-2</v>
      </c>
      <c r="P49" s="157">
        <f>P47-P60</f>
        <v>1.7599999999999998</v>
      </c>
      <c r="Q49" s="157">
        <f t="shared" ref="Q49:AC50" si="33">Q47-Q60</f>
        <v>2.4599999999999991</v>
      </c>
      <c r="R49" s="157">
        <f>R47-R60</f>
        <v>1.8622727272727317</v>
      </c>
      <c r="S49" s="157">
        <f t="shared" ref="S49:AH50" si="34">S47-S60</f>
        <v>0.88749999999999929</v>
      </c>
      <c r="T49" s="159"/>
      <c r="U49" s="159"/>
      <c r="V49" s="157">
        <f t="shared" si="34"/>
        <v>0.80000000000000071</v>
      </c>
      <c r="W49" s="157">
        <f t="shared" si="34"/>
        <v>0.8125</v>
      </c>
      <c r="X49" s="157">
        <f t="shared" si="34"/>
        <v>0.92499999999999893</v>
      </c>
      <c r="Y49" s="157">
        <f t="shared" si="34"/>
        <v>0.75</v>
      </c>
      <c r="Z49" s="157">
        <f t="shared" si="34"/>
        <v>0.71250000000000036</v>
      </c>
      <c r="AA49" s="157">
        <f t="shared" si="34"/>
        <v>0.77500000000000036</v>
      </c>
      <c r="AB49" s="157">
        <f t="shared" si="34"/>
        <v>0.80750000000000099</v>
      </c>
      <c r="AC49" s="236">
        <f t="shared" si="34"/>
        <v>0.70500000000000007</v>
      </c>
      <c r="AD49" s="317">
        <f t="shared" si="34"/>
        <v>2.0274242424242441</v>
      </c>
      <c r="AE49" s="157">
        <f t="shared" si="34"/>
        <v>0.8333333333333357</v>
      </c>
      <c r="AF49" s="157">
        <f t="shared" si="34"/>
        <v>0.7958333333333325</v>
      </c>
      <c r="AG49" s="318">
        <f t="shared" si="34"/>
        <v>0.76249999999999929</v>
      </c>
      <c r="AH49" s="242">
        <f t="shared" si="34"/>
        <v>1.1047727272727279</v>
      </c>
      <c r="AI49" s="272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1"/>
      <c r="IX49" s="61"/>
      <c r="IY49" s="61"/>
      <c r="IZ49" s="61"/>
      <c r="JA49" s="61"/>
      <c r="JB49" s="61"/>
      <c r="JC49" s="61"/>
      <c r="JD49" s="61"/>
      <c r="JE49" s="61"/>
      <c r="JF49" s="61"/>
      <c r="JG49" s="61"/>
      <c r="JH49" s="61"/>
      <c r="JI49" s="61"/>
      <c r="JJ49" s="61"/>
      <c r="JK49" s="61"/>
      <c r="JL49" s="61"/>
      <c r="JM49" s="61"/>
      <c r="JN49" s="61"/>
      <c r="JO49" s="61"/>
      <c r="JP49" s="61"/>
      <c r="JQ49" s="61"/>
      <c r="JR49" s="61"/>
      <c r="JS49" s="61"/>
      <c r="JT49" s="61"/>
      <c r="JU49" s="61"/>
      <c r="JV49" s="61"/>
      <c r="JW49" s="61"/>
      <c r="JX49" s="61"/>
      <c r="JY49" s="61"/>
      <c r="JZ49" s="61"/>
      <c r="KA49" s="61"/>
      <c r="KB49" s="61"/>
      <c r="KC49" s="61"/>
      <c r="KD49" s="61"/>
      <c r="KE49" s="61"/>
      <c r="KF49" s="61"/>
      <c r="KG49" s="61"/>
      <c r="KH49" s="61"/>
      <c r="KI49" s="61"/>
      <c r="KJ49" s="61"/>
      <c r="KK49" s="61"/>
      <c r="KL49" s="61"/>
      <c r="KM49" s="61"/>
      <c r="KN49" s="61"/>
      <c r="KO49" s="61"/>
      <c r="KP49" s="61"/>
      <c r="KQ49" s="61"/>
      <c r="KR49" s="61"/>
      <c r="KS49" s="61"/>
      <c r="KT49" s="61"/>
      <c r="KU49" s="61"/>
      <c r="KV49" s="61"/>
      <c r="KW49" s="61"/>
      <c r="KX49" s="61"/>
      <c r="KY49" s="61"/>
      <c r="KZ49" s="61"/>
      <c r="LA49" s="61"/>
      <c r="LB49" s="61"/>
      <c r="LC49" s="61"/>
      <c r="LD49" s="61"/>
      <c r="LE49" s="61"/>
      <c r="LF49" s="61"/>
      <c r="LG49" s="61"/>
      <c r="LH49" s="61"/>
      <c r="LI49" s="61"/>
      <c r="LJ49" s="61"/>
      <c r="LK49" s="61"/>
      <c r="LL49" s="61"/>
      <c r="LM49" s="61"/>
      <c r="LN49" s="61"/>
      <c r="LO49" s="61"/>
      <c r="LP49" s="61"/>
      <c r="LQ49" s="61"/>
      <c r="LR49" s="61"/>
      <c r="LS49" s="61"/>
      <c r="LT49" s="61"/>
      <c r="LU49" s="61"/>
      <c r="LV49" s="61"/>
      <c r="LW49" s="61"/>
      <c r="LX49" s="61"/>
      <c r="LY49" s="61"/>
      <c r="LZ49" s="61"/>
      <c r="MA49" s="61"/>
      <c r="MB49" s="61"/>
      <c r="MC49" s="61"/>
      <c r="MD49" s="61"/>
      <c r="ME49" s="61"/>
      <c r="MF49" s="61"/>
      <c r="MG49" s="61"/>
      <c r="MH49" s="61"/>
      <c r="MI49" s="61"/>
      <c r="MJ49" s="61"/>
      <c r="MK49" s="61"/>
      <c r="ML49" s="61"/>
      <c r="MM49" s="61"/>
      <c r="MN49" s="61"/>
      <c r="MO49" s="61"/>
      <c r="MP49" s="61"/>
      <c r="MQ49" s="61"/>
      <c r="MR49" s="61"/>
      <c r="MS49" s="61"/>
      <c r="MT49" s="61"/>
    </row>
    <row r="50" spans="1:358" s="62" customFormat="1" ht="19" thickBot="1">
      <c r="A50" s="227" t="s">
        <v>76</v>
      </c>
      <c r="B50" s="164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>
        <f>N48-N61</f>
        <v>0.19999999999999929</v>
      </c>
      <c r="O50" s="164">
        <f>O48-O61</f>
        <v>1.4499999999999993</v>
      </c>
      <c r="P50" s="164">
        <f>P48-P61</f>
        <v>1.7599999999999998</v>
      </c>
      <c r="Q50" s="164">
        <f t="shared" si="33"/>
        <v>2.4599999999999991</v>
      </c>
      <c r="R50" s="164">
        <f t="shared" si="33"/>
        <v>1.8622727272727317</v>
      </c>
      <c r="S50" s="164">
        <f t="shared" si="33"/>
        <v>0.59999999999999964</v>
      </c>
      <c r="T50" s="164"/>
      <c r="U50" s="164"/>
      <c r="V50" s="164">
        <f t="shared" si="33"/>
        <v>0.80000000000000071</v>
      </c>
      <c r="W50" s="164">
        <f t="shared" si="33"/>
        <v>1.0500000000000007</v>
      </c>
      <c r="X50" s="164">
        <f t="shared" si="33"/>
        <v>1.1500000000000004</v>
      </c>
      <c r="Y50" s="164">
        <f t="shared" si="33"/>
        <v>0.80000000000000071</v>
      </c>
      <c r="Z50" s="164">
        <f t="shared" si="33"/>
        <v>1</v>
      </c>
      <c r="AA50" s="164">
        <f t="shared" si="33"/>
        <v>1</v>
      </c>
      <c r="AB50" s="164">
        <f t="shared" si="33"/>
        <v>1.5</v>
      </c>
      <c r="AC50" s="229">
        <f t="shared" si="33"/>
        <v>1.5</v>
      </c>
      <c r="AD50" s="312">
        <f>AVERAGE(P50:R50)</f>
        <v>2.0274242424242437</v>
      </c>
      <c r="AE50" s="164">
        <f t="shared" si="34"/>
        <v>0.81666666666666465</v>
      </c>
      <c r="AF50" s="164">
        <f t="shared" si="34"/>
        <v>0.9833333333333325</v>
      </c>
      <c r="AG50" s="313">
        <f t="shared" si="34"/>
        <v>1.3333333333333339</v>
      </c>
      <c r="AH50" s="243">
        <f t="shared" si="34"/>
        <v>1.2901893939393929</v>
      </c>
      <c r="AI50" s="274">
        <f>AI48-AI60</f>
        <v>13.1</v>
      </c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1"/>
      <c r="IX50" s="61"/>
      <c r="IY50" s="61"/>
      <c r="IZ50" s="61"/>
      <c r="JA50" s="61"/>
      <c r="JB50" s="61"/>
      <c r="JC50" s="61"/>
      <c r="JD50" s="61"/>
      <c r="JE50" s="61"/>
      <c r="JF50" s="61"/>
      <c r="JG50" s="61"/>
      <c r="JH50" s="61"/>
      <c r="JI50" s="61"/>
      <c r="JJ50" s="61"/>
      <c r="JK50" s="61"/>
      <c r="JL50" s="61"/>
      <c r="JM50" s="61"/>
      <c r="JN50" s="61"/>
      <c r="JO50" s="61"/>
      <c r="JP50" s="61"/>
      <c r="JQ50" s="61"/>
      <c r="JR50" s="61"/>
      <c r="JS50" s="61"/>
      <c r="JT50" s="61"/>
      <c r="JU50" s="61"/>
      <c r="JV50" s="61"/>
      <c r="JW50" s="61"/>
      <c r="JX50" s="61"/>
      <c r="JY50" s="61"/>
      <c r="JZ50" s="61"/>
      <c r="KA50" s="61"/>
      <c r="KB50" s="61"/>
      <c r="KC50" s="61"/>
      <c r="KD50" s="61"/>
      <c r="KE50" s="61"/>
      <c r="KF50" s="61"/>
      <c r="KG50" s="61"/>
      <c r="KH50" s="61"/>
      <c r="KI50" s="61"/>
      <c r="KJ50" s="61"/>
      <c r="KK50" s="61"/>
      <c r="KL50" s="61"/>
      <c r="KM50" s="61"/>
      <c r="KN50" s="61"/>
      <c r="KO50" s="61"/>
      <c r="KP50" s="61"/>
      <c r="KQ50" s="61"/>
      <c r="KR50" s="61"/>
      <c r="KS50" s="61"/>
      <c r="KT50" s="61"/>
      <c r="KU50" s="61"/>
      <c r="KV50" s="61"/>
      <c r="KW50" s="61"/>
      <c r="KX50" s="61"/>
      <c r="KY50" s="61"/>
      <c r="KZ50" s="61"/>
      <c r="LA50" s="61"/>
      <c r="LB50" s="61"/>
      <c r="LC50" s="61"/>
      <c r="LD50" s="61"/>
      <c r="LE50" s="61"/>
      <c r="LF50" s="61"/>
      <c r="LG50" s="61"/>
      <c r="LH50" s="61"/>
      <c r="LI50" s="61"/>
      <c r="LJ50" s="61"/>
      <c r="LK50" s="61"/>
      <c r="LL50" s="61"/>
      <c r="LM50" s="61"/>
      <c r="LN50" s="61"/>
      <c r="LO50" s="61"/>
      <c r="LP50" s="61"/>
      <c r="LQ50" s="61"/>
      <c r="LR50" s="61"/>
      <c r="LS50" s="61"/>
      <c r="LT50" s="61"/>
      <c r="LU50" s="61"/>
      <c r="LV50" s="61"/>
      <c r="LW50" s="61"/>
      <c r="LX50" s="61"/>
      <c r="LY50" s="61"/>
      <c r="LZ50" s="61"/>
      <c r="MA50" s="61"/>
      <c r="MB50" s="61"/>
      <c r="MC50" s="61"/>
      <c r="MD50" s="61"/>
      <c r="ME50" s="61"/>
      <c r="MF50" s="61"/>
      <c r="MG50" s="61"/>
      <c r="MH50" s="61"/>
      <c r="MI50" s="61"/>
      <c r="MJ50" s="61"/>
      <c r="MK50" s="61"/>
      <c r="ML50" s="61"/>
      <c r="MM50" s="61"/>
      <c r="MN50" s="61"/>
      <c r="MO50" s="61"/>
      <c r="MP50" s="61"/>
      <c r="MQ50" s="61"/>
      <c r="MR50" s="61"/>
      <c r="MS50" s="61"/>
      <c r="MT50" s="61"/>
    </row>
    <row r="51" spans="1:358" ht="21.5" thickBot="1">
      <c r="A51" s="196" t="s">
        <v>38</v>
      </c>
      <c r="B51" s="88"/>
      <c r="C51" s="88"/>
      <c r="D51" s="65"/>
      <c r="E51" s="65"/>
      <c r="F51" s="20"/>
      <c r="G51" s="20"/>
      <c r="H51" s="20"/>
      <c r="I51" s="20"/>
      <c r="J51" s="66"/>
      <c r="K51" s="20"/>
      <c r="L51" s="20"/>
      <c r="M51" s="20"/>
      <c r="N51" s="20"/>
      <c r="O51" s="20"/>
      <c r="P51" s="20"/>
      <c r="Q51" s="20"/>
      <c r="R51" s="23"/>
      <c r="S51" s="24"/>
      <c r="T51" s="67"/>
      <c r="U51" s="67"/>
      <c r="V51" s="24"/>
      <c r="W51" s="24"/>
      <c r="X51" s="24"/>
      <c r="Y51" s="177"/>
      <c r="Z51" s="177"/>
      <c r="AA51" s="177"/>
      <c r="AB51" s="177"/>
      <c r="AC51" s="301"/>
      <c r="AD51" s="314"/>
      <c r="AE51" s="23"/>
      <c r="AF51" s="23"/>
      <c r="AG51" s="303"/>
      <c r="AH51" s="238"/>
      <c r="AI51" s="275">
        <f>AH48-AH61</f>
        <v>1.2901893939393929</v>
      </c>
    </row>
    <row r="52" spans="1:358" ht="17.25" hidden="1" customHeight="1" outlineLevel="1">
      <c r="A52" s="25"/>
      <c r="B52" s="26" t="s">
        <v>1</v>
      </c>
      <c r="C52" s="26" t="str">
        <f>C39</f>
        <v>Forecast</v>
      </c>
      <c r="D52" s="27"/>
      <c r="E52" s="673" t="s">
        <v>3</v>
      </c>
      <c r="F52" s="673" t="s">
        <v>4</v>
      </c>
      <c r="G52" s="673" t="s">
        <v>5</v>
      </c>
      <c r="H52" s="673" t="s">
        <v>6</v>
      </c>
      <c r="I52" s="673" t="s">
        <v>7</v>
      </c>
      <c r="J52" s="28" t="s">
        <v>2</v>
      </c>
      <c r="K52" s="673" t="s">
        <v>8</v>
      </c>
      <c r="L52" s="264" t="s">
        <v>9</v>
      </c>
      <c r="M52" s="264" t="s">
        <v>9</v>
      </c>
      <c r="N52" s="673" t="s">
        <v>12</v>
      </c>
      <c r="O52" s="673" t="s">
        <v>13</v>
      </c>
      <c r="P52" s="673" t="s">
        <v>14</v>
      </c>
      <c r="Q52" s="673" t="s">
        <v>15</v>
      </c>
      <c r="R52" s="673" t="s">
        <v>16</v>
      </c>
      <c r="S52" s="673" t="s">
        <v>64</v>
      </c>
      <c r="T52" s="29" t="s">
        <v>10</v>
      </c>
      <c r="U52" s="30" t="s">
        <v>11</v>
      </c>
      <c r="V52" s="673" t="s">
        <v>65</v>
      </c>
      <c r="W52" s="673" t="s">
        <v>66</v>
      </c>
      <c r="X52" s="673" t="s">
        <v>67</v>
      </c>
      <c r="Y52" s="673" t="s">
        <v>68</v>
      </c>
      <c r="Z52" s="673" t="s">
        <v>69</v>
      </c>
      <c r="AA52" s="673" t="s">
        <v>70</v>
      </c>
      <c r="AB52" s="673" t="s">
        <v>77</v>
      </c>
      <c r="AC52" s="697" t="s">
        <v>78</v>
      </c>
      <c r="AD52" s="699" t="s">
        <v>79</v>
      </c>
      <c r="AE52" s="688" t="s">
        <v>80</v>
      </c>
      <c r="AF52" s="688" t="s">
        <v>81</v>
      </c>
      <c r="AG52" s="695" t="s">
        <v>82</v>
      </c>
      <c r="AH52" s="692">
        <v>2016</v>
      </c>
      <c r="AI52" s="267"/>
    </row>
    <row r="53" spans="1:358" ht="17.25" hidden="1" customHeight="1" outlineLevel="1">
      <c r="A53" s="31"/>
      <c r="B53" s="68"/>
      <c r="C53" s="68"/>
      <c r="D53" s="27"/>
      <c r="E53" s="674"/>
      <c r="F53" s="674"/>
      <c r="G53" s="674"/>
      <c r="H53" s="674"/>
      <c r="I53" s="674"/>
      <c r="J53" s="69" t="str">
        <f>$J$6</f>
        <v>(8-12 Jun)</v>
      </c>
      <c r="K53" s="674"/>
      <c r="L53" s="33" t="s">
        <v>20</v>
      </c>
      <c r="M53" s="33" t="s">
        <v>63</v>
      </c>
      <c r="N53" s="674"/>
      <c r="O53" s="674"/>
      <c r="P53" s="674"/>
      <c r="Q53" s="674"/>
      <c r="R53" s="674"/>
      <c r="S53" s="674"/>
      <c r="T53" s="187">
        <f>T6</f>
        <v>42461</v>
      </c>
      <c r="U53" s="188">
        <f>U6</f>
        <v>42491</v>
      </c>
      <c r="V53" s="674"/>
      <c r="W53" s="674"/>
      <c r="X53" s="674"/>
      <c r="Y53" s="674"/>
      <c r="Z53" s="674"/>
      <c r="AA53" s="674"/>
      <c r="AB53" s="674"/>
      <c r="AC53" s="698"/>
      <c r="AD53" s="700"/>
      <c r="AE53" s="689"/>
      <c r="AF53" s="689"/>
      <c r="AG53" s="696"/>
      <c r="AH53" s="686"/>
      <c r="AI53" s="267"/>
    </row>
    <row r="54" spans="1:358" ht="17.25" hidden="1" customHeight="1" outlineLevel="1">
      <c r="A54" s="89" t="s">
        <v>39</v>
      </c>
      <c r="B54" s="105">
        <v>14.19</v>
      </c>
      <c r="C54" s="106" t="str">
        <f>C41</f>
        <v>Previous WK</v>
      </c>
      <c r="D54" s="98"/>
      <c r="E54" s="99">
        <v>13.82</v>
      </c>
      <c r="F54" s="35"/>
      <c r="G54" s="35"/>
      <c r="H54" s="35"/>
      <c r="I54" s="35"/>
      <c r="J54" s="72"/>
      <c r="K54" s="35"/>
      <c r="L54" s="37"/>
      <c r="M54" s="37"/>
      <c r="N54" s="35"/>
      <c r="O54" s="35"/>
      <c r="P54" s="35"/>
      <c r="Q54" s="35"/>
      <c r="R54" s="38"/>
      <c r="S54" s="39"/>
      <c r="T54" s="107"/>
      <c r="U54" s="107"/>
      <c r="V54" s="39"/>
      <c r="W54" s="39"/>
      <c r="X54" s="39"/>
      <c r="Y54" s="38"/>
      <c r="Z54" s="38"/>
      <c r="AA54" s="38"/>
      <c r="AB54" s="38"/>
      <c r="AC54" s="39"/>
      <c r="AD54" s="304"/>
      <c r="AE54" s="248"/>
      <c r="AF54" s="248"/>
      <c r="AG54" s="305"/>
      <c r="AH54" s="239"/>
      <c r="AI54" s="267"/>
    </row>
    <row r="55" spans="1:358" s="77" customFormat="1" ht="16.5" hidden="1" customHeight="1" outlineLevel="1">
      <c r="A55" s="675"/>
      <c r="B55" s="676"/>
      <c r="C55" s="676"/>
      <c r="D55" s="41"/>
      <c r="E55" s="41"/>
      <c r="F55" s="76"/>
      <c r="G55" s="76"/>
      <c r="H55" s="76"/>
      <c r="I55" s="76"/>
      <c r="J55" s="43"/>
      <c r="K55" s="76"/>
      <c r="L55" s="76"/>
      <c r="M55" s="76"/>
      <c r="N55" s="76"/>
      <c r="O55" s="76"/>
      <c r="P55" s="222"/>
      <c r="Q55" s="76"/>
      <c r="R55" s="44"/>
      <c r="S55" s="44"/>
      <c r="T55" s="220"/>
      <c r="U55" s="221"/>
      <c r="V55" s="44"/>
      <c r="W55" s="44"/>
      <c r="X55" s="44"/>
      <c r="Y55" s="44"/>
      <c r="Z55" s="44"/>
      <c r="AA55" s="44"/>
      <c r="AB55" s="44"/>
      <c r="AC55" s="235"/>
      <c r="AD55" s="315"/>
      <c r="AE55" s="44"/>
      <c r="AF55" s="44"/>
      <c r="AG55" s="316"/>
      <c r="AH55" s="240"/>
      <c r="AI55" s="268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  <c r="KE55" s="45"/>
      <c r="KF55" s="45"/>
      <c r="KG55" s="45"/>
      <c r="KH55" s="45"/>
      <c r="KI55" s="45"/>
      <c r="KJ55" s="45"/>
      <c r="KK55" s="45"/>
      <c r="KL55" s="45"/>
      <c r="KM55" s="45"/>
      <c r="KN55" s="45"/>
      <c r="KO55" s="45"/>
      <c r="KP55" s="45"/>
      <c r="KQ55" s="45"/>
      <c r="KR55" s="45"/>
      <c r="KS55" s="45"/>
      <c r="KT55" s="45"/>
      <c r="KU55" s="45"/>
      <c r="KV55" s="45"/>
      <c r="KW55" s="45"/>
      <c r="KX55" s="45"/>
      <c r="KY55" s="45"/>
      <c r="KZ55" s="45"/>
      <c r="LA55" s="45"/>
      <c r="LB55" s="45"/>
      <c r="LC55" s="45"/>
      <c r="LD55" s="45"/>
      <c r="LE55" s="45"/>
      <c r="LF55" s="45"/>
      <c r="LG55" s="45"/>
      <c r="LH55" s="45"/>
      <c r="LI55" s="45"/>
      <c r="LJ55" s="45"/>
      <c r="LK55" s="45"/>
      <c r="LL55" s="45"/>
      <c r="LM55" s="45"/>
      <c r="LN55" s="45"/>
      <c r="LO55" s="45"/>
      <c r="LP55" s="45"/>
      <c r="LQ55" s="45"/>
      <c r="LR55" s="45"/>
      <c r="LS55" s="45"/>
      <c r="LT55" s="45"/>
      <c r="LU55" s="45"/>
      <c r="LV55" s="45"/>
      <c r="LW55" s="45"/>
      <c r="LX55" s="45"/>
      <c r="LY55" s="45"/>
      <c r="LZ55" s="45"/>
      <c r="MA55" s="45"/>
      <c r="MB55" s="45"/>
      <c r="MC55" s="45"/>
      <c r="MD55" s="45"/>
      <c r="ME55" s="45"/>
      <c r="MF55" s="45"/>
      <c r="MG55" s="45"/>
      <c r="MH55" s="45"/>
      <c r="MI55" s="45"/>
      <c r="MJ55" s="45"/>
      <c r="MK55" s="45"/>
      <c r="ML55" s="45"/>
      <c r="MM55" s="45"/>
      <c r="MN55" s="45"/>
      <c r="MO55" s="45"/>
      <c r="MP55" s="45"/>
      <c r="MQ55" s="45"/>
      <c r="MR55" s="45"/>
      <c r="MS55" s="45"/>
      <c r="MT55" s="45"/>
    </row>
    <row r="56" spans="1:358" ht="50.25" hidden="1" customHeight="1" outlineLevel="1">
      <c r="A56" s="47" t="s">
        <v>23</v>
      </c>
      <c r="B56" s="78">
        <f>C56-$B$54</f>
        <v>6.0000000000000497E-2</v>
      </c>
      <c r="C56" s="55">
        <v>14.25</v>
      </c>
      <c r="D56" s="49"/>
      <c r="E56" s="49"/>
      <c r="F56" s="51"/>
      <c r="G56" s="57"/>
      <c r="H56" s="56"/>
      <c r="I56" s="56"/>
      <c r="J56" s="55"/>
      <c r="K56" s="189">
        <v>13.5</v>
      </c>
      <c r="L56" s="191">
        <v>14.2</v>
      </c>
      <c r="M56" s="154">
        <v>13.1</v>
      </c>
      <c r="N56" s="191">
        <v>14.2</v>
      </c>
      <c r="O56" s="191">
        <v>13.7</v>
      </c>
      <c r="P56" s="56">
        <v>9.34</v>
      </c>
      <c r="Q56" s="56">
        <v>9.16</v>
      </c>
      <c r="R56" s="56">
        <v>10.375909090909097</v>
      </c>
      <c r="S56" s="189">
        <v>10.6</v>
      </c>
      <c r="T56" s="185" t="s">
        <v>152</v>
      </c>
      <c r="U56" s="186" t="s">
        <v>182</v>
      </c>
      <c r="V56" s="189">
        <v>10.5</v>
      </c>
      <c r="W56" s="189">
        <v>10.25</v>
      </c>
      <c r="X56" s="189">
        <v>10.25</v>
      </c>
      <c r="Y56" s="189">
        <v>10</v>
      </c>
      <c r="Z56" s="189">
        <v>10.5</v>
      </c>
      <c r="AA56" s="189">
        <v>10.5</v>
      </c>
      <c r="AB56" s="189">
        <v>11.5</v>
      </c>
      <c r="AC56" s="297">
        <v>12.5</v>
      </c>
      <c r="AD56" s="308">
        <f>AVERAGE(P56:R56)</f>
        <v>9.6253030303030318</v>
      </c>
      <c r="AE56" s="246">
        <f>AVERAGE(S56:W56)</f>
        <v>10.450000000000001</v>
      </c>
      <c r="AF56" s="246">
        <f>AVERAGE(X56:Z56)</f>
        <v>10.25</v>
      </c>
      <c r="AG56" s="309">
        <f>AVERAGE(AA56:AC56)</f>
        <v>11.5</v>
      </c>
      <c r="AH56" s="241">
        <f>AVERAGE(P56:AC56)</f>
        <v>10.456325757575758</v>
      </c>
      <c r="AI56" s="267"/>
    </row>
    <row r="57" spans="1:358" ht="50.25" hidden="1" customHeight="1" outlineLevel="1">
      <c r="A57" s="47" t="s">
        <v>24</v>
      </c>
      <c r="B57" s="78">
        <f t="shared" ref="B57" si="35">C57-$B$40</f>
        <v>14.3</v>
      </c>
      <c r="C57" s="55">
        <v>14.3</v>
      </c>
      <c r="D57" s="49"/>
      <c r="E57" s="49"/>
      <c r="F57" s="57"/>
      <c r="G57" s="57"/>
      <c r="H57" s="56"/>
      <c r="I57" s="56"/>
      <c r="J57" s="55"/>
      <c r="K57" s="189">
        <v>13.5</v>
      </c>
      <c r="L57" s="191">
        <v>13.6</v>
      </c>
      <c r="M57" s="154">
        <v>12.9</v>
      </c>
      <c r="N57" s="191">
        <v>14</v>
      </c>
      <c r="O57" s="184"/>
      <c r="P57" s="56">
        <v>9.34</v>
      </c>
      <c r="Q57" s="56">
        <v>9.16</v>
      </c>
      <c r="R57" s="50">
        <v>10.375909090909097</v>
      </c>
      <c r="S57" s="183">
        <v>11.3</v>
      </c>
      <c r="T57" s="185"/>
      <c r="U57" s="186"/>
      <c r="V57" s="183">
        <v>11</v>
      </c>
      <c r="W57" s="183">
        <v>10.8</v>
      </c>
      <c r="X57" s="183">
        <v>10.8</v>
      </c>
      <c r="Y57" s="183">
        <v>10.200000000000001</v>
      </c>
      <c r="Z57" s="183">
        <v>11.299999999999999</v>
      </c>
      <c r="AA57" s="183">
        <v>12.5</v>
      </c>
      <c r="AB57" s="183">
        <v>13.3</v>
      </c>
      <c r="AC57" s="298">
        <v>13.1</v>
      </c>
      <c r="AD57" s="308">
        <f>AVERAGE(P57:R57)</f>
        <v>9.6253030303030318</v>
      </c>
      <c r="AE57" s="246">
        <f t="shared" ref="AE57:AE59" si="36">AVERAGE(S57:W57)</f>
        <v>11.033333333333333</v>
      </c>
      <c r="AF57" s="246">
        <f t="shared" ref="AF57:AF59" si="37">AVERAGE(X57:Z57)</f>
        <v>10.766666666666666</v>
      </c>
      <c r="AG57" s="309">
        <f t="shared" ref="AG57:AG59" si="38">AVERAGE(AA57:AC57)</f>
        <v>12.966666666666667</v>
      </c>
      <c r="AH57" s="241">
        <f>AVERAGE(P57:AC57)</f>
        <v>11.097992424242426</v>
      </c>
      <c r="AI57" s="267"/>
    </row>
    <row r="58" spans="1:358" ht="50.25" hidden="1" customHeight="1" outlineLevel="1">
      <c r="A58" s="47" t="s">
        <v>25</v>
      </c>
      <c r="B58" s="78">
        <f t="shared" ref="B58" si="39">C58-$B$54</f>
        <v>-8.9999999999999858E-2</v>
      </c>
      <c r="C58" s="55">
        <v>14.1</v>
      </c>
      <c r="D58" s="49"/>
      <c r="E58" s="49"/>
      <c r="F58" s="57"/>
      <c r="G58" s="57"/>
      <c r="H58" s="56"/>
      <c r="I58" s="56"/>
      <c r="J58" s="55"/>
      <c r="K58" s="189">
        <v>13</v>
      </c>
      <c r="L58" s="191">
        <v>13</v>
      </c>
      <c r="M58" s="189">
        <v>13</v>
      </c>
      <c r="N58" s="189">
        <v>14.3</v>
      </c>
      <c r="O58" s="189">
        <v>14.75</v>
      </c>
      <c r="P58" s="56">
        <v>9.34</v>
      </c>
      <c r="Q58" s="56">
        <v>9.16</v>
      </c>
      <c r="R58" s="56">
        <v>10.375909090909097</v>
      </c>
      <c r="S58" s="189">
        <v>11</v>
      </c>
      <c r="T58" s="185" t="s">
        <v>162</v>
      </c>
      <c r="U58" s="186" t="s">
        <v>36</v>
      </c>
      <c r="V58" s="189">
        <v>10.5</v>
      </c>
      <c r="W58" s="189">
        <v>10.5</v>
      </c>
      <c r="X58" s="189">
        <v>10.5</v>
      </c>
      <c r="Y58" s="189">
        <v>10.5</v>
      </c>
      <c r="Z58" s="189">
        <v>11</v>
      </c>
      <c r="AA58" s="189">
        <v>11</v>
      </c>
      <c r="AB58" s="189">
        <v>11.5</v>
      </c>
      <c r="AC58" s="297">
        <v>11.5</v>
      </c>
      <c r="AD58" s="308">
        <f>AVERAGE(P58:R58)</f>
        <v>9.6253030303030318</v>
      </c>
      <c r="AE58" s="246">
        <f t="shared" si="36"/>
        <v>10.666666666666666</v>
      </c>
      <c r="AF58" s="246">
        <f t="shared" si="37"/>
        <v>10.666666666666666</v>
      </c>
      <c r="AG58" s="309">
        <f t="shared" si="38"/>
        <v>11.333333333333334</v>
      </c>
      <c r="AH58" s="241">
        <f>AVERAGE(P58:AC58)</f>
        <v>10.572992424242424</v>
      </c>
      <c r="AI58" s="267"/>
    </row>
    <row r="59" spans="1:358" ht="50.25" hidden="1" customHeight="1" outlineLevel="1" thickBot="1">
      <c r="A59" s="47" t="s">
        <v>26</v>
      </c>
      <c r="B59" s="78" t="e">
        <f>C59-#REF!</f>
        <v>#REF!</v>
      </c>
      <c r="C59" s="55">
        <v>14.5</v>
      </c>
      <c r="D59" s="49"/>
      <c r="E59" s="49"/>
      <c r="F59" s="51"/>
      <c r="G59" s="51"/>
      <c r="H59" s="52"/>
      <c r="I59" s="52"/>
      <c r="J59" s="55"/>
      <c r="K59" s="181">
        <v>13.4</v>
      </c>
      <c r="L59" s="101">
        <v>13.4</v>
      </c>
      <c r="M59" s="101">
        <v>13.28</v>
      </c>
      <c r="N59" s="176">
        <v>13.62</v>
      </c>
      <c r="O59" s="176">
        <v>14</v>
      </c>
      <c r="P59" s="56">
        <v>9.34</v>
      </c>
      <c r="Q59" s="56">
        <v>9.16</v>
      </c>
      <c r="R59" s="50">
        <v>10.375909090909097</v>
      </c>
      <c r="S59" s="183">
        <v>10.6</v>
      </c>
      <c r="T59" s="224" t="s">
        <v>191</v>
      </c>
      <c r="U59" s="186" t="s">
        <v>192</v>
      </c>
      <c r="V59" s="183">
        <v>10.5</v>
      </c>
      <c r="W59" s="189">
        <v>10.5</v>
      </c>
      <c r="X59" s="189">
        <v>11.3</v>
      </c>
      <c r="Y59" s="183">
        <v>10</v>
      </c>
      <c r="Z59" s="183">
        <v>9.1</v>
      </c>
      <c r="AA59" s="183">
        <v>11.6</v>
      </c>
      <c r="AB59" s="183">
        <v>13.87</v>
      </c>
      <c r="AC59" s="298">
        <v>14.12</v>
      </c>
      <c r="AD59" s="308">
        <f>AVERAGE(P59:R59)</f>
        <v>9.6253030303030318</v>
      </c>
      <c r="AE59" s="246">
        <f t="shared" si="36"/>
        <v>10.533333333333333</v>
      </c>
      <c r="AF59" s="246">
        <f t="shared" si="37"/>
        <v>10.133333333333333</v>
      </c>
      <c r="AG59" s="309">
        <f t="shared" si="38"/>
        <v>13.196666666666665</v>
      </c>
      <c r="AH59" s="241">
        <f>AVERAGE(P59:AC59)</f>
        <v>10.872159090909092</v>
      </c>
      <c r="AI59" s="267"/>
    </row>
    <row r="60" spans="1:358" s="62" customFormat="1" ht="19" hidden="1" outlineLevel="1" thickBot="1">
      <c r="A60" s="245" t="s">
        <v>75</v>
      </c>
      <c r="B60" s="155" t="s">
        <v>27</v>
      </c>
      <c r="C60" s="155" t="s">
        <v>27</v>
      </c>
      <c r="D60" s="155"/>
      <c r="E60" s="156"/>
      <c r="F60" s="157" t="e">
        <f>AVERAGE(F56:F59)</f>
        <v>#DIV/0!</v>
      </c>
      <c r="G60" s="157"/>
      <c r="H60" s="157"/>
      <c r="I60" s="157"/>
      <c r="J60" s="157" t="e">
        <f t="shared" ref="J60:K60" si="40">AVERAGE(J56:J59)</f>
        <v>#DIV/0!</v>
      </c>
      <c r="K60" s="157">
        <f t="shared" si="40"/>
        <v>13.35</v>
      </c>
      <c r="L60" s="157">
        <v>13.75</v>
      </c>
      <c r="M60" s="157">
        <f>AVERAGE(M56:M59)</f>
        <v>13.07</v>
      </c>
      <c r="N60" s="157">
        <f>AVERAGE(N56:N59)</f>
        <v>14.03</v>
      </c>
      <c r="O60" s="157">
        <f>AVERAGE(O56:O59)</f>
        <v>14.15</v>
      </c>
      <c r="P60" s="157">
        <f>AVERAGE(P56:P59)</f>
        <v>9.34</v>
      </c>
      <c r="Q60" s="157">
        <f>AVERAGE(Q56:Q59)</f>
        <v>9.16</v>
      </c>
      <c r="R60" s="157">
        <f t="shared" ref="R60:AG60" si="41">AVERAGE(R56:R59)</f>
        <v>10.375909090909097</v>
      </c>
      <c r="S60" s="59">
        <f t="shared" si="41"/>
        <v>10.875</v>
      </c>
      <c r="T60" s="158"/>
      <c r="U60" s="158"/>
      <c r="V60" s="59">
        <f t="shared" si="41"/>
        <v>10.625</v>
      </c>
      <c r="W60" s="59">
        <f t="shared" si="41"/>
        <v>10.512499999999999</v>
      </c>
      <c r="X60" s="59">
        <f t="shared" si="41"/>
        <v>10.7125</v>
      </c>
      <c r="Y60" s="59">
        <f t="shared" si="41"/>
        <v>10.175000000000001</v>
      </c>
      <c r="Z60" s="59">
        <f t="shared" si="41"/>
        <v>10.475</v>
      </c>
      <c r="AA60" s="59">
        <f t="shared" si="41"/>
        <v>11.4</v>
      </c>
      <c r="AB60" s="59">
        <f t="shared" si="41"/>
        <v>12.542499999999999</v>
      </c>
      <c r="AC60" s="234">
        <f t="shared" si="41"/>
        <v>12.805</v>
      </c>
      <c r="AD60" s="310">
        <f t="shared" si="41"/>
        <v>9.6253030303030318</v>
      </c>
      <c r="AE60" s="59">
        <f t="shared" si="41"/>
        <v>10.670833333333333</v>
      </c>
      <c r="AF60" s="59">
        <f t="shared" si="41"/>
        <v>10.454166666666666</v>
      </c>
      <c r="AG60" s="311">
        <f t="shared" si="41"/>
        <v>12.249166666666667</v>
      </c>
      <c r="AH60" s="242">
        <f>AVERAGE(AH56:AH59)</f>
        <v>10.749867424242424</v>
      </c>
      <c r="AI60" s="270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1"/>
      <c r="IX60" s="61"/>
      <c r="IY60" s="61"/>
      <c r="IZ60" s="61"/>
      <c r="JA60" s="61"/>
      <c r="JB60" s="61"/>
      <c r="JC60" s="61"/>
      <c r="JD60" s="61"/>
      <c r="JE60" s="61"/>
      <c r="JF60" s="61"/>
      <c r="JG60" s="61"/>
      <c r="JH60" s="61"/>
      <c r="JI60" s="61"/>
      <c r="JJ60" s="61"/>
      <c r="JK60" s="61"/>
      <c r="JL60" s="61"/>
      <c r="JM60" s="61"/>
      <c r="JN60" s="61"/>
      <c r="JO60" s="61"/>
      <c r="JP60" s="61"/>
      <c r="JQ60" s="61"/>
      <c r="JR60" s="61"/>
      <c r="JS60" s="61"/>
      <c r="JT60" s="61"/>
      <c r="JU60" s="61"/>
      <c r="JV60" s="61"/>
      <c r="JW60" s="61"/>
      <c r="JX60" s="61"/>
      <c r="JY60" s="61"/>
      <c r="JZ60" s="61"/>
      <c r="KA60" s="61"/>
      <c r="KB60" s="61"/>
      <c r="KC60" s="61"/>
      <c r="KD60" s="61"/>
      <c r="KE60" s="61"/>
      <c r="KF60" s="61"/>
      <c r="KG60" s="61"/>
      <c r="KH60" s="61"/>
      <c r="KI60" s="61"/>
      <c r="KJ60" s="61"/>
      <c r="KK60" s="61"/>
      <c r="KL60" s="61"/>
      <c r="KM60" s="61"/>
      <c r="KN60" s="61"/>
      <c r="KO60" s="61"/>
      <c r="KP60" s="61"/>
      <c r="KQ60" s="61"/>
      <c r="KR60" s="61"/>
      <c r="KS60" s="61"/>
      <c r="KT60" s="61"/>
      <c r="KU60" s="61"/>
      <c r="KV60" s="61"/>
      <c r="KW60" s="61"/>
      <c r="KX60" s="61"/>
      <c r="KY60" s="61"/>
      <c r="KZ60" s="61"/>
      <c r="LA60" s="61"/>
      <c r="LB60" s="61"/>
      <c r="LC60" s="61"/>
      <c r="LD60" s="61"/>
      <c r="LE60" s="61"/>
      <c r="LF60" s="61"/>
      <c r="LG60" s="61"/>
      <c r="LH60" s="61"/>
      <c r="LI60" s="61"/>
      <c r="LJ60" s="61"/>
      <c r="LK60" s="61"/>
      <c r="LL60" s="61"/>
      <c r="LM60" s="61"/>
      <c r="LN60" s="61"/>
      <c r="LO60" s="61"/>
      <c r="LP60" s="61"/>
      <c r="LQ60" s="61"/>
      <c r="LR60" s="61"/>
      <c r="LS60" s="61"/>
      <c r="LT60" s="61"/>
      <c r="LU60" s="61"/>
      <c r="LV60" s="61"/>
      <c r="LW60" s="61"/>
      <c r="LX60" s="61"/>
      <c r="LY60" s="61"/>
      <c r="LZ60" s="61"/>
      <c r="MA60" s="61"/>
      <c r="MB60" s="61"/>
      <c r="MC60" s="61"/>
      <c r="MD60" s="61"/>
      <c r="ME60" s="61"/>
      <c r="MF60" s="61"/>
      <c r="MG60" s="61"/>
      <c r="MH60" s="61"/>
      <c r="MI60" s="61"/>
      <c r="MJ60" s="61"/>
      <c r="MK60" s="61"/>
      <c r="ML60" s="61"/>
      <c r="MM60" s="61"/>
      <c r="MN60" s="61"/>
      <c r="MO60" s="61"/>
      <c r="MP60" s="61"/>
      <c r="MQ60" s="61"/>
      <c r="MR60" s="61"/>
      <c r="MS60" s="61"/>
      <c r="MT60" s="61"/>
    </row>
    <row r="61" spans="1:358" ht="19" collapsed="1" thickBot="1">
      <c r="A61" s="227" t="s">
        <v>74</v>
      </c>
      <c r="B61" s="165"/>
      <c r="C61" s="165"/>
      <c r="D61" s="166"/>
      <c r="E61" s="166"/>
      <c r="F61" s="167"/>
      <c r="G61" s="167"/>
      <c r="H61" s="167"/>
      <c r="I61" s="167"/>
      <c r="J61" s="168"/>
      <c r="K61" s="167">
        <f>K60+K14</f>
        <v>61.65</v>
      </c>
      <c r="L61" s="167">
        <f>L60+L14</f>
        <v>60.6</v>
      </c>
      <c r="M61" s="167"/>
      <c r="N61" s="164">
        <f>N60</f>
        <v>14.03</v>
      </c>
      <c r="O61" s="164">
        <f t="shared" ref="O61" si="42">O60</f>
        <v>14.15</v>
      </c>
      <c r="P61" s="164">
        <f>P60</f>
        <v>9.34</v>
      </c>
      <c r="Q61" s="164">
        <f t="shared" ref="Q61" si="43">Q60</f>
        <v>9.16</v>
      </c>
      <c r="R61" s="164">
        <f>R60</f>
        <v>10.375909090909097</v>
      </c>
      <c r="S61" s="164">
        <v>11</v>
      </c>
      <c r="T61" s="164"/>
      <c r="U61" s="164"/>
      <c r="V61" s="164">
        <v>10.6</v>
      </c>
      <c r="W61" s="164">
        <v>10.25</v>
      </c>
      <c r="X61" s="164">
        <v>10.5</v>
      </c>
      <c r="Y61" s="164">
        <v>10.199999999999999</v>
      </c>
      <c r="Z61" s="164">
        <v>10.199999999999999</v>
      </c>
      <c r="AA61" s="164">
        <v>11.2</v>
      </c>
      <c r="AB61" s="164">
        <v>12</v>
      </c>
      <c r="AC61" s="164">
        <v>12</v>
      </c>
      <c r="AD61" s="312">
        <f>AVERAGE(P61:R61)</f>
        <v>9.6253030303030318</v>
      </c>
      <c r="AE61" s="164">
        <f>AVERAGE(S61:W61)</f>
        <v>10.616666666666667</v>
      </c>
      <c r="AF61" s="164">
        <f>AVERAGE(X61:Z61)</f>
        <v>10.299999999999999</v>
      </c>
      <c r="AG61" s="313">
        <f>AVERAGE(AA61:AC61)</f>
        <v>11.733333333333334</v>
      </c>
      <c r="AH61" s="242">
        <f>AVERAGE(P61:S61,V61:AC61)</f>
        <v>10.568825757575759</v>
      </c>
      <c r="AI61" s="275">
        <v>12.8</v>
      </c>
    </row>
    <row r="62" spans="1:358" ht="21.5" thickBot="1">
      <c r="A62" s="196" t="s">
        <v>41</v>
      </c>
      <c r="B62" s="88"/>
      <c r="C62" s="88"/>
      <c r="D62" s="65"/>
      <c r="E62" s="65"/>
      <c r="F62" s="20"/>
      <c r="G62" s="20"/>
      <c r="H62" s="20"/>
      <c r="I62" s="20"/>
      <c r="J62" s="109"/>
      <c r="K62" s="20"/>
      <c r="L62" s="20"/>
      <c r="M62" s="20"/>
      <c r="N62" s="20"/>
      <c r="O62" s="20"/>
      <c r="P62" s="20"/>
      <c r="Q62" s="20"/>
      <c r="R62" s="23"/>
      <c r="S62" s="24"/>
      <c r="T62" s="67"/>
      <c r="U62" s="67"/>
      <c r="V62" s="24"/>
      <c r="W62" s="24"/>
      <c r="X62" s="24"/>
      <c r="Y62" s="23"/>
      <c r="Z62" s="23"/>
      <c r="AA62" s="23"/>
      <c r="AB62" s="23"/>
      <c r="AC62" s="24"/>
      <c r="AD62" s="314"/>
      <c r="AE62" s="23"/>
      <c r="AF62" s="23"/>
      <c r="AG62" s="303"/>
      <c r="AH62" s="238"/>
      <c r="AI62" s="267"/>
    </row>
    <row r="63" spans="1:358" ht="18.75" hidden="1" customHeight="1" outlineLevel="1">
      <c r="A63" s="25"/>
      <c r="B63" s="26" t="s">
        <v>1</v>
      </c>
      <c r="C63" s="26" t="str">
        <f>C52</f>
        <v>Forecast</v>
      </c>
      <c r="D63" s="27"/>
      <c r="E63" s="673" t="s">
        <v>3</v>
      </c>
      <c r="F63" s="673" t="s">
        <v>4</v>
      </c>
      <c r="G63" s="673" t="s">
        <v>5</v>
      </c>
      <c r="H63" s="673" t="s">
        <v>6</v>
      </c>
      <c r="I63" s="673" t="s">
        <v>7</v>
      </c>
      <c r="J63" s="28" t="s">
        <v>2</v>
      </c>
      <c r="K63" s="673" t="s">
        <v>8</v>
      </c>
      <c r="L63" s="264" t="s">
        <v>9</v>
      </c>
      <c r="M63" s="264" t="s">
        <v>9</v>
      </c>
      <c r="N63" s="673" t="s">
        <v>12</v>
      </c>
      <c r="O63" s="673" t="s">
        <v>13</v>
      </c>
      <c r="P63" s="673" t="s">
        <v>14</v>
      </c>
      <c r="Q63" s="673" t="s">
        <v>15</v>
      </c>
      <c r="R63" s="673" t="s">
        <v>16</v>
      </c>
      <c r="S63" s="673" t="s">
        <v>64</v>
      </c>
      <c r="T63" s="29" t="s">
        <v>10</v>
      </c>
      <c r="U63" s="30" t="s">
        <v>11</v>
      </c>
      <c r="V63" s="673" t="s">
        <v>65</v>
      </c>
      <c r="W63" s="673" t="s">
        <v>66</v>
      </c>
      <c r="X63" s="673" t="s">
        <v>67</v>
      </c>
      <c r="Y63" s="673" t="s">
        <v>68</v>
      </c>
      <c r="Z63" s="673" t="s">
        <v>69</v>
      </c>
      <c r="AA63" s="673" t="s">
        <v>70</v>
      </c>
      <c r="AB63" s="673" t="s">
        <v>77</v>
      </c>
      <c r="AC63" s="697" t="s">
        <v>78</v>
      </c>
      <c r="AD63" s="699" t="s">
        <v>79</v>
      </c>
      <c r="AE63" s="688" t="s">
        <v>80</v>
      </c>
      <c r="AF63" s="688" t="s">
        <v>81</v>
      </c>
      <c r="AG63" s="695" t="s">
        <v>82</v>
      </c>
      <c r="AH63" s="692">
        <v>2016</v>
      </c>
      <c r="AI63" s="267"/>
    </row>
    <row r="64" spans="1:358" ht="18.75" hidden="1" customHeight="1" outlineLevel="1">
      <c r="A64" s="31"/>
      <c r="B64" s="68"/>
      <c r="C64" s="68"/>
      <c r="D64" s="27"/>
      <c r="E64" s="674"/>
      <c r="F64" s="674"/>
      <c r="G64" s="674"/>
      <c r="H64" s="674"/>
      <c r="I64" s="674"/>
      <c r="J64" s="69" t="str">
        <f>$J$6</f>
        <v>(8-12 Jun)</v>
      </c>
      <c r="K64" s="674"/>
      <c r="L64" s="33" t="s">
        <v>20</v>
      </c>
      <c r="M64" s="33" t="s">
        <v>63</v>
      </c>
      <c r="N64" s="674"/>
      <c r="O64" s="674"/>
      <c r="P64" s="674"/>
      <c r="Q64" s="674"/>
      <c r="R64" s="674"/>
      <c r="S64" s="674"/>
      <c r="T64" s="187">
        <f>T6</f>
        <v>42461</v>
      </c>
      <c r="U64" s="188">
        <f>U6</f>
        <v>42491</v>
      </c>
      <c r="V64" s="674"/>
      <c r="W64" s="674"/>
      <c r="X64" s="674"/>
      <c r="Y64" s="674"/>
      <c r="Z64" s="674"/>
      <c r="AA64" s="674"/>
      <c r="AB64" s="674"/>
      <c r="AC64" s="698"/>
      <c r="AD64" s="700"/>
      <c r="AE64" s="689"/>
      <c r="AF64" s="689"/>
      <c r="AG64" s="696"/>
      <c r="AH64" s="686"/>
      <c r="AI64" s="267"/>
    </row>
    <row r="65" spans="1:358" hidden="1" outlineLevel="1">
      <c r="A65" s="89" t="s">
        <v>42</v>
      </c>
      <c r="B65" s="110">
        <v>-1.1100000000000001</v>
      </c>
      <c r="C65" s="110" t="str">
        <f>C54</f>
        <v>Previous WK</v>
      </c>
      <c r="D65" s="98"/>
      <c r="E65" s="99">
        <v>-3.67</v>
      </c>
      <c r="F65" s="35"/>
      <c r="G65" s="35"/>
      <c r="H65" s="35"/>
      <c r="I65" s="35"/>
      <c r="J65" s="72"/>
      <c r="K65" s="35"/>
      <c r="L65" s="37"/>
      <c r="M65" s="37"/>
      <c r="N65" s="35"/>
      <c r="O65" s="35"/>
      <c r="P65" s="35"/>
      <c r="Q65" s="35"/>
      <c r="R65" s="38"/>
      <c r="S65" s="39"/>
      <c r="T65" s="73"/>
      <c r="U65" s="73"/>
      <c r="V65" s="39"/>
      <c r="W65" s="39"/>
      <c r="X65" s="39"/>
      <c r="Y65" s="38"/>
      <c r="Z65" s="38"/>
      <c r="AA65" s="38"/>
      <c r="AB65" s="38"/>
      <c r="AC65" s="39"/>
      <c r="AD65" s="304"/>
      <c r="AE65" s="248"/>
      <c r="AF65" s="248"/>
      <c r="AG65" s="305"/>
      <c r="AH65" s="239"/>
      <c r="AI65" s="267"/>
    </row>
    <row r="66" spans="1:358" s="77" customFormat="1" ht="18.5" hidden="1" outlineLevel="1">
      <c r="A66" s="675"/>
      <c r="B66" s="676"/>
      <c r="C66" s="676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44"/>
      <c r="T66" s="218"/>
      <c r="U66" s="219"/>
      <c r="V66" s="44"/>
      <c r="W66" s="44"/>
      <c r="X66" s="44"/>
      <c r="Y66" s="44"/>
      <c r="Z66" s="44"/>
      <c r="AA66" s="44"/>
      <c r="AB66" s="44"/>
      <c r="AC66" s="235"/>
      <c r="AD66" s="315"/>
      <c r="AE66" s="44"/>
      <c r="AF66" s="44"/>
      <c r="AG66" s="316"/>
      <c r="AH66" s="240"/>
      <c r="AI66" s="268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54.75" hidden="1" customHeight="1" outlineLevel="1">
      <c r="A67" s="47" t="s">
        <v>23</v>
      </c>
      <c r="B67" s="78">
        <f>C67-$B$65</f>
        <v>-0.8899999999999999</v>
      </c>
      <c r="C67" s="55">
        <v>-2</v>
      </c>
      <c r="D67" s="49"/>
      <c r="E67" s="49"/>
      <c r="F67" s="52"/>
      <c r="G67" s="57"/>
      <c r="H67" s="56"/>
      <c r="I67" s="56"/>
      <c r="J67" s="55"/>
      <c r="K67" s="189">
        <v>-7.5</v>
      </c>
      <c r="L67" s="191">
        <v>-7.5</v>
      </c>
      <c r="M67" s="154">
        <v>-8</v>
      </c>
      <c r="N67" s="176">
        <v>-7</v>
      </c>
      <c r="O67" s="176">
        <v>-7</v>
      </c>
      <c r="P67" s="50">
        <v>-3.13</v>
      </c>
      <c r="Q67" s="50">
        <v>-5.08</v>
      </c>
      <c r="R67" s="50">
        <v>-7.3010164638511021</v>
      </c>
      <c r="S67" s="183">
        <v>-6.8</v>
      </c>
      <c r="T67" s="185" t="s">
        <v>154</v>
      </c>
      <c r="U67" s="186" t="s">
        <v>183</v>
      </c>
      <c r="V67" s="189">
        <v>-6.5</v>
      </c>
      <c r="W67" s="189">
        <v>-6.6</v>
      </c>
      <c r="X67" s="189">
        <v>-6.8</v>
      </c>
      <c r="Y67" s="189">
        <v>-7.2</v>
      </c>
      <c r="Z67" s="189">
        <v>-7.2</v>
      </c>
      <c r="AA67" s="189">
        <v>-7</v>
      </c>
      <c r="AB67" s="189">
        <v>-6.9</v>
      </c>
      <c r="AC67" s="297">
        <v>-6.8</v>
      </c>
      <c r="AD67" s="308">
        <f>AVERAGE(P67:R67)</f>
        <v>-5.1703388212837007</v>
      </c>
      <c r="AE67" s="246">
        <f>AVERAGE(S67:W67)</f>
        <v>-6.6333333333333329</v>
      </c>
      <c r="AF67" s="246">
        <f>AVERAGE(X67:Z67)</f>
        <v>-7.0666666666666664</v>
      </c>
      <c r="AG67" s="309">
        <f>AVERAGE(AA67:AC67)</f>
        <v>-6.8999999999999995</v>
      </c>
      <c r="AH67" s="241">
        <f>AVERAGE(P67:AC67)</f>
        <v>-6.4425847053209253</v>
      </c>
      <c r="AI67" s="267"/>
    </row>
    <row r="68" spans="1:358" ht="54.75" hidden="1" customHeight="1" outlineLevel="1">
      <c r="A68" s="47" t="s">
        <v>24</v>
      </c>
      <c r="B68" s="78">
        <f t="shared" ref="B68" si="44">C68-$B$49</f>
        <v>-1.2</v>
      </c>
      <c r="C68" s="111">
        <v>-1.2</v>
      </c>
      <c r="D68" s="49"/>
      <c r="E68" s="49"/>
      <c r="F68" s="56"/>
      <c r="G68" s="57"/>
      <c r="H68" s="56"/>
      <c r="I68" s="56"/>
      <c r="J68" s="111"/>
      <c r="K68" s="189">
        <v>-8.1</v>
      </c>
      <c r="L68" s="191">
        <v>-8.1</v>
      </c>
      <c r="M68" s="154">
        <v>-8.3000000000000007</v>
      </c>
      <c r="N68" s="176">
        <v>-7</v>
      </c>
      <c r="O68" s="191"/>
      <c r="P68" s="50">
        <v>-3.13</v>
      </c>
      <c r="Q68" s="50">
        <v>-5.08</v>
      </c>
      <c r="R68" s="56">
        <v>-7.3010164638511021</v>
      </c>
      <c r="S68" s="189">
        <v>-6.5</v>
      </c>
      <c r="T68" s="185"/>
      <c r="U68" s="186"/>
      <c r="V68" s="189">
        <v>-6.3</v>
      </c>
      <c r="W68" s="189">
        <v>-6.5</v>
      </c>
      <c r="X68" s="189">
        <v>-7</v>
      </c>
      <c r="Y68" s="189">
        <v>-7.2</v>
      </c>
      <c r="Z68" s="189">
        <v>-7.1</v>
      </c>
      <c r="AA68" s="189">
        <v>-7.1</v>
      </c>
      <c r="AB68" s="189">
        <v>-6.9</v>
      </c>
      <c r="AC68" s="297">
        <v>-6.7</v>
      </c>
      <c r="AD68" s="308">
        <f>AVERAGE(P68:R68)</f>
        <v>-5.1703388212837007</v>
      </c>
      <c r="AE68" s="246">
        <f t="shared" ref="AE68:AE70" si="45">AVERAGE(S68:W68)</f>
        <v>-6.4333333333333336</v>
      </c>
      <c r="AF68" s="246">
        <f t="shared" ref="AF68:AF70" si="46">AVERAGE(X68:Z68)</f>
        <v>-7.0999999999999988</v>
      </c>
      <c r="AG68" s="309">
        <f t="shared" ref="AG68:AG70" si="47">AVERAGE(AA68:AC68)</f>
        <v>-6.8999999999999995</v>
      </c>
      <c r="AH68" s="241">
        <f>AVERAGE(P68:AC68)</f>
        <v>-6.4009180386542601</v>
      </c>
      <c r="AI68" s="267"/>
    </row>
    <row r="69" spans="1:358" ht="54.75" hidden="1" customHeight="1" outlineLevel="1">
      <c r="A69" s="47" t="s">
        <v>25</v>
      </c>
      <c r="B69" s="78">
        <f t="shared" ref="B69" si="48">C69-$B$65</f>
        <v>-0.3899999999999999</v>
      </c>
      <c r="C69" s="55">
        <v>-1.5</v>
      </c>
      <c r="D69" s="49"/>
      <c r="E69" s="49"/>
      <c r="F69" s="52"/>
      <c r="G69" s="57"/>
      <c r="H69" s="56"/>
      <c r="I69" s="56"/>
      <c r="J69" s="55"/>
      <c r="K69" s="189">
        <v>-8</v>
      </c>
      <c r="L69" s="191">
        <v>-8</v>
      </c>
      <c r="M69" s="189">
        <v>-8</v>
      </c>
      <c r="N69" s="176">
        <v>-7</v>
      </c>
      <c r="O69" s="176">
        <v>-6.5</v>
      </c>
      <c r="P69" s="50">
        <v>-3.13</v>
      </c>
      <c r="Q69" s="50">
        <v>-5.08</v>
      </c>
      <c r="R69" s="50">
        <v>-7.3010164638511021</v>
      </c>
      <c r="S69" s="183">
        <v>-6</v>
      </c>
      <c r="T69" s="185" t="s">
        <v>43</v>
      </c>
      <c r="U69" s="186" t="s">
        <v>43</v>
      </c>
      <c r="V69" s="189">
        <v>-6.5</v>
      </c>
      <c r="W69" s="189">
        <v>-6.5</v>
      </c>
      <c r="X69" s="189">
        <v>-6.5</v>
      </c>
      <c r="Y69" s="189">
        <v>-6</v>
      </c>
      <c r="Z69" s="189">
        <v>-6</v>
      </c>
      <c r="AA69" s="189">
        <v>-6</v>
      </c>
      <c r="AB69" s="189">
        <v>-6.5</v>
      </c>
      <c r="AC69" s="297">
        <v>-6.5</v>
      </c>
      <c r="AD69" s="308">
        <f>AVERAGE(P69:R69)</f>
        <v>-5.1703388212837007</v>
      </c>
      <c r="AE69" s="246">
        <f t="shared" si="45"/>
        <v>-6.333333333333333</v>
      </c>
      <c r="AF69" s="246">
        <f t="shared" si="46"/>
        <v>-6.166666666666667</v>
      </c>
      <c r="AG69" s="309">
        <f t="shared" si="47"/>
        <v>-6.333333333333333</v>
      </c>
      <c r="AH69" s="241">
        <f>AVERAGE(P69:AC69)</f>
        <v>-6.0009180386542589</v>
      </c>
      <c r="AI69" s="267"/>
    </row>
    <row r="70" spans="1:358" ht="54.75" hidden="1" customHeight="1" outlineLevel="1" thickBot="1">
      <c r="A70" s="47" t="s">
        <v>26</v>
      </c>
      <c r="B70" s="78">
        <f>C70-$B$27</f>
        <v>-1.98</v>
      </c>
      <c r="C70" s="55">
        <v>-1.98</v>
      </c>
      <c r="D70" s="49"/>
      <c r="E70" s="49"/>
      <c r="F70" s="52"/>
      <c r="G70" s="51"/>
      <c r="H70" s="52"/>
      <c r="I70" s="52"/>
      <c r="J70" s="55"/>
      <c r="K70" s="181">
        <v>-9.02</v>
      </c>
      <c r="L70" s="101">
        <v>-9.02</v>
      </c>
      <c r="M70" s="101">
        <v>-9.02</v>
      </c>
      <c r="N70" s="182">
        <v>-6.67</v>
      </c>
      <c r="O70" s="182">
        <v>-6.7</v>
      </c>
      <c r="P70" s="50">
        <v>-3.13</v>
      </c>
      <c r="Q70" s="50">
        <v>-5.08</v>
      </c>
      <c r="R70" s="56">
        <v>-7.3010164638511021</v>
      </c>
      <c r="S70" s="189">
        <v>-7.35</v>
      </c>
      <c r="T70" s="185"/>
      <c r="U70" s="186"/>
      <c r="V70" s="189">
        <v>-7.5</v>
      </c>
      <c r="W70" s="189">
        <v>-7.6</v>
      </c>
      <c r="X70" s="189">
        <v>-8</v>
      </c>
      <c r="Y70" s="189">
        <v>-8</v>
      </c>
      <c r="Z70" s="189">
        <v>-8</v>
      </c>
      <c r="AA70" s="189">
        <v>-8.3000000000000007</v>
      </c>
      <c r="AB70" s="189">
        <v>-8.3000000000000007</v>
      </c>
      <c r="AC70" s="297">
        <v>-8.3000000000000007</v>
      </c>
      <c r="AD70" s="308">
        <f>AVERAGE(P70:R70)</f>
        <v>-5.1703388212837007</v>
      </c>
      <c r="AE70" s="246">
        <f t="shared" si="45"/>
        <v>-7.4833333333333334</v>
      </c>
      <c r="AF70" s="246">
        <f t="shared" si="46"/>
        <v>-8</v>
      </c>
      <c r="AG70" s="309">
        <f t="shared" si="47"/>
        <v>-8.3000000000000007</v>
      </c>
      <c r="AH70" s="241">
        <f>AVERAGE(P70:AC70)</f>
        <v>-7.2384180386542587</v>
      </c>
      <c r="AI70" s="267"/>
    </row>
    <row r="71" spans="1:358" s="62" customFormat="1" ht="19" hidden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/>
      <c r="K71" s="59">
        <f t="shared" ref="K71:AG71" si="49">AVERAGE(K67:K70)</f>
        <v>-8.1550000000000011</v>
      </c>
      <c r="L71" s="59">
        <f t="shared" si="49"/>
        <v>-8.1550000000000011</v>
      </c>
      <c r="M71" s="59">
        <f t="shared" si="49"/>
        <v>-8.33</v>
      </c>
      <c r="N71" s="59">
        <f t="shared" si="49"/>
        <v>-6.9175000000000004</v>
      </c>
      <c r="O71" s="59">
        <f t="shared" si="49"/>
        <v>-6.7333333333333334</v>
      </c>
      <c r="P71" s="59">
        <f>AVERAGE(P67:P70)</f>
        <v>-3.13</v>
      </c>
      <c r="Q71" s="59">
        <f t="shared" si="49"/>
        <v>-5.08</v>
      </c>
      <c r="R71" s="59">
        <f t="shared" si="49"/>
        <v>-7.3010164638511021</v>
      </c>
      <c r="S71" s="59">
        <f t="shared" si="49"/>
        <v>-6.6624999999999996</v>
      </c>
      <c r="T71" s="60"/>
      <c r="U71" s="60"/>
      <c r="V71" s="59">
        <f t="shared" si="49"/>
        <v>-6.7</v>
      </c>
      <c r="W71" s="59">
        <f t="shared" si="49"/>
        <v>-6.8000000000000007</v>
      </c>
      <c r="X71" s="59">
        <f t="shared" si="49"/>
        <v>-7.0750000000000002</v>
      </c>
      <c r="Y71" s="59">
        <f t="shared" si="49"/>
        <v>-7.1</v>
      </c>
      <c r="Z71" s="59">
        <f t="shared" si="49"/>
        <v>-7.0750000000000002</v>
      </c>
      <c r="AA71" s="59">
        <f t="shared" si="49"/>
        <v>-7.1000000000000005</v>
      </c>
      <c r="AB71" s="59">
        <f t="shared" si="49"/>
        <v>-7.15</v>
      </c>
      <c r="AC71" s="234">
        <f t="shared" si="49"/>
        <v>-7.0750000000000002</v>
      </c>
      <c r="AD71" s="310">
        <f t="shared" si="49"/>
        <v>-5.1703388212837007</v>
      </c>
      <c r="AE71" s="59">
        <f t="shared" si="49"/>
        <v>-6.7208333333333332</v>
      </c>
      <c r="AF71" s="59">
        <f t="shared" si="49"/>
        <v>-7.083333333333333</v>
      </c>
      <c r="AG71" s="311">
        <f t="shared" si="49"/>
        <v>-7.1083333333333334</v>
      </c>
      <c r="AH71" s="242">
        <f>AVERAGE(AH67:AH70)</f>
        <v>-6.5207097053209262</v>
      </c>
      <c r="AI71" s="269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19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>
        <f>K14+K71</f>
        <v>40.144999999999996</v>
      </c>
      <c r="L72" s="162">
        <f>L14+L71</f>
        <v>38.695</v>
      </c>
      <c r="M72" s="162"/>
      <c r="N72" s="164">
        <f>N71</f>
        <v>-6.9175000000000004</v>
      </c>
      <c r="O72" s="164">
        <f>O71</f>
        <v>-6.7333333333333334</v>
      </c>
      <c r="P72" s="164">
        <f>P71</f>
        <v>-3.13</v>
      </c>
      <c r="Q72" s="164">
        <f t="shared" ref="Q72" si="50">Q71</f>
        <v>-5.08</v>
      </c>
      <c r="R72" s="164">
        <f>R71</f>
        <v>-7.3010164638511021</v>
      </c>
      <c r="S72" s="164">
        <v>-7</v>
      </c>
      <c r="T72" s="164"/>
      <c r="U72" s="164"/>
      <c r="V72" s="164">
        <v>-7.5</v>
      </c>
      <c r="W72" s="164">
        <v>-7</v>
      </c>
      <c r="X72" s="164">
        <v>-6.5</v>
      </c>
      <c r="Y72" s="164">
        <v>-7.2</v>
      </c>
      <c r="Z72" s="164">
        <v>-7</v>
      </c>
      <c r="AA72" s="164">
        <v>-7</v>
      </c>
      <c r="AB72" s="164">
        <v>-6.5</v>
      </c>
      <c r="AC72" s="229">
        <v>-6.5</v>
      </c>
      <c r="AD72" s="312">
        <f>AVERAGE(P72:R72)</f>
        <v>-5.1703388212837007</v>
      </c>
      <c r="AE72" s="164">
        <f>AVERAGE(S72:W72)</f>
        <v>-7.166666666666667</v>
      </c>
      <c r="AF72" s="164">
        <f>AVERAGE(X72:Z72)</f>
        <v>-6.8999999999999995</v>
      </c>
      <c r="AG72" s="313">
        <f>AVERAGE(AA72:AC72)</f>
        <v>-6.666666666666667</v>
      </c>
      <c r="AH72" s="242">
        <f>AVERAGE(P72:S72,V72:AC72)</f>
        <v>-6.4759180386542594</v>
      </c>
      <c r="AI72" s="275">
        <v>-6.5</v>
      </c>
    </row>
    <row r="73" spans="1:358" ht="21.5" thickBot="1">
      <c r="A73" s="198" t="s">
        <v>45</v>
      </c>
      <c r="B73" s="112"/>
      <c r="C73" s="112"/>
      <c r="D73" s="113"/>
      <c r="E73" s="113"/>
      <c r="F73" s="20"/>
      <c r="G73" s="20"/>
      <c r="H73" s="20"/>
      <c r="I73" s="20"/>
      <c r="J73" s="114"/>
      <c r="K73" s="20"/>
      <c r="L73" s="115"/>
      <c r="M73" s="115"/>
      <c r="N73" s="20"/>
      <c r="O73" s="20"/>
      <c r="P73" s="20"/>
      <c r="Q73" s="20"/>
      <c r="R73" s="23"/>
      <c r="S73" s="24"/>
      <c r="T73" s="67"/>
      <c r="U73" s="67"/>
      <c r="V73" s="24"/>
      <c r="W73" s="24"/>
      <c r="X73" s="24"/>
      <c r="Y73" s="23"/>
      <c r="Z73" s="23"/>
      <c r="AA73" s="23"/>
      <c r="AB73" s="23"/>
      <c r="AC73" s="24"/>
      <c r="AD73" s="314"/>
      <c r="AE73" s="23"/>
      <c r="AF73" s="23"/>
      <c r="AG73" s="303"/>
      <c r="AH73" s="238"/>
      <c r="AI73" s="267"/>
    </row>
    <row r="74" spans="1:358" ht="16.5" hidden="1" customHeight="1" outlineLevel="1">
      <c r="A74" s="25"/>
      <c r="B74" s="26" t="s">
        <v>1</v>
      </c>
      <c r="C74" s="26" t="str">
        <f>C63</f>
        <v>Forecast</v>
      </c>
      <c r="D74" s="27"/>
      <c r="E74" s="673" t="s">
        <v>3</v>
      </c>
      <c r="F74" s="673" t="s">
        <v>4</v>
      </c>
      <c r="G74" s="673" t="s">
        <v>5</v>
      </c>
      <c r="H74" s="673" t="s">
        <v>6</v>
      </c>
      <c r="I74" s="673" t="s">
        <v>7</v>
      </c>
      <c r="J74" s="28" t="s">
        <v>2</v>
      </c>
      <c r="K74" s="673" t="s">
        <v>8</v>
      </c>
      <c r="L74" s="264" t="s">
        <v>9</v>
      </c>
      <c r="M74" s="264" t="s">
        <v>9</v>
      </c>
      <c r="N74" s="673" t="s">
        <v>12</v>
      </c>
      <c r="O74" s="673" t="s">
        <v>13</v>
      </c>
      <c r="P74" s="673" t="s">
        <v>14</v>
      </c>
      <c r="Q74" s="673" t="s">
        <v>15</v>
      </c>
      <c r="R74" s="673" t="s">
        <v>16</v>
      </c>
      <c r="S74" s="673" t="s">
        <v>64</v>
      </c>
      <c r="T74" s="29" t="s">
        <v>10</v>
      </c>
      <c r="U74" s="30" t="s">
        <v>11</v>
      </c>
      <c r="V74" s="673" t="s">
        <v>65</v>
      </c>
      <c r="W74" s="673" t="s">
        <v>66</v>
      </c>
      <c r="X74" s="673" t="s">
        <v>67</v>
      </c>
      <c r="Y74" s="673" t="s">
        <v>68</v>
      </c>
      <c r="Z74" s="673" t="s">
        <v>69</v>
      </c>
      <c r="AA74" s="673" t="s">
        <v>70</v>
      </c>
      <c r="AB74" s="673" t="s">
        <v>77</v>
      </c>
      <c r="AC74" s="697" t="s">
        <v>78</v>
      </c>
      <c r="AD74" s="699" t="s">
        <v>79</v>
      </c>
      <c r="AE74" s="688" t="s">
        <v>80</v>
      </c>
      <c r="AF74" s="688" t="s">
        <v>81</v>
      </c>
      <c r="AG74" s="695" t="s">
        <v>82</v>
      </c>
      <c r="AH74" s="692">
        <v>2016</v>
      </c>
      <c r="AI74" s="267"/>
    </row>
    <row r="75" spans="1:358" ht="21.75" hidden="1" customHeight="1" outlineLevel="1">
      <c r="A75" s="31"/>
      <c r="B75" s="68"/>
      <c r="C75" s="68"/>
      <c r="D75" s="116"/>
      <c r="E75" s="674"/>
      <c r="F75" s="674"/>
      <c r="G75" s="674"/>
      <c r="H75" s="674"/>
      <c r="I75" s="674"/>
      <c r="J75" s="69" t="str">
        <f>$J$6</f>
        <v>(8-12 Jun)</v>
      </c>
      <c r="K75" s="674"/>
      <c r="L75" s="33" t="s">
        <v>20</v>
      </c>
      <c r="M75" s="33" t="s">
        <v>63</v>
      </c>
      <c r="N75" s="674"/>
      <c r="O75" s="674"/>
      <c r="P75" s="674"/>
      <c r="Q75" s="674"/>
      <c r="R75" s="674"/>
      <c r="S75" s="674"/>
      <c r="T75" s="187">
        <f>T6</f>
        <v>42461</v>
      </c>
      <c r="U75" s="188">
        <f>U6</f>
        <v>42491</v>
      </c>
      <c r="V75" s="674"/>
      <c r="W75" s="674"/>
      <c r="X75" s="674"/>
      <c r="Y75" s="674"/>
      <c r="Z75" s="674"/>
      <c r="AA75" s="674"/>
      <c r="AB75" s="674"/>
      <c r="AC75" s="698"/>
      <c r="AD75" s="700"/>
      <c r="AE75" s="689"/>
      <c r="AF75" s="689"/>
      <c r="AG75" s="696"/>
      <c r="AH75" s="686"/>
      <c r="AI75" s="267"/>
    </row>
    <row r="76" spans="1:358" hidden="1" outlineLevel="1">
      <c r="A76" s="117" t="s">
        <v>46</v>
      </c>
      <c r="B76" s="118">
        <v>0.28000000000000003</v>
      </c>
      <c r="C76" s="118" t="str">
        <f>C65</f>
        <v>Previous WK</v>
      </c>
      <c r="D76" s="119"/>
      <c r="E76" s="120">
        <v>1.02</v>
      </c>
      <c r="F76" s="35"/>
      <c r="G76" s="35"/>
      <c r="H76" s="35"/>
      <c r="I76" s="35"/>
      <c r="J76" s="69"/>
      <c r="K76" s="35"/>
      <c r="L76" s="121"/>
      <c r="M76" s="121"/>
      <c r="N76" s="35"/>
      <c r="O76" s="35"/>
      <c r="P76" s="35"/>
      <c r="Q76" s="35"/>
      <c r="R76" s="38"/>
      <c r="S76" s="39"/>
      <c r="T76" s="122"/>
      <c r="U76" s="122"/>
      <c r="V76" s="39"/>
      <c r="W76" s="39"/>
      <c r="X76" s="39"/>
      <c r="Y76" s="38"/>
      <c r="Z76" s="38"/>
      <c r="AA76" s="38"/>
      <c r="AB76" s="38"/>
      <c r="AC76" s="39"/>
      <c r="AD76" s="304"/>
      <c r="AE76" s="248"/>
      <c r="AF76" s="248"/>
      <c r="AG76" s="305"/>
      <c r="AH76" s="239"/>
      <c r="AI76" s="267"/>
    </row>
    <row r="77" spans="1:358" s="77" customFormat="1" ht="21" hidden="1" customHeight="1" outlineLevel="1">
      <c r="A77" s="675"/>
      <c r="B77" s="676"/>
      <c r="C77" s="676"/>
      <c r="D77" s="41"/>
      <c r="E77" s="41"/>
      <c r="F77" s="76"/>
      <c r="G77" s="76"/>
      <c r="H77" s="76"/>
      <c r="I77" s="76"/>
      <c r="J77" s="43"/>
      <c r="K77" s="76"/>
      <c r="L77" s="76"/>
      <c r="M77" s="76"/>
      <c r="N77" s="76"/>
      <c r="O77" s="76"/>
      <c r="P77" s="222"/>
      <c r="Q77" s="76"/>
      <c r="R77" s="44"/>
      <c r="S77" s="44"/>
      <c r="T77" s="216"/>
      <c r="U77" s="217"/>
      <c r="V77" s="44"/>
      <c r="W77" s="44"/>
      <c r="X77" s="44"/>
      <c r="Y77" s="44"/>
      <c r="Z77" s="44"/>
      <c r="AA77" s="44"/>
      <c r="AB77" s="44"/>
      <c r="AC77" s="235"/>
      <c r="AD77" s="315"/>
      <c r="AE77" s="44"/>
      <c r="AF77" s="44"/>
      <c r="AG77" s="316"/>
      <c r="AH77" s="240"/>
      <c r="AI77" s="268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  <c r="KE77" s="45"/>
      <c r="KF77" s="45"/>
      <c r="KG77" s="45"/>
      <c r="KH77" s="45"/>
      <c r="KI77" s="45"/>
      <c r="KJ77" s="45"/>
      <c r="KK77" s="45"/>
      <c r="KL77" s="45"/>
      <c r="KM77" s="45"/>
      <c r="KN77" s="45"/>
      <c r="KO77" s="45"/>
      <c r="KP77" s="45"/>
      <c r="KQ77" s="45"/>
      <c r="KR77" s="45"/>
      <c r="KS77" s="45"/>
      <c r="KT77" s="45"/>
      <c r="KU77" s="45"/>
      <c r="KV77" s="45"/>
      <c r="KW77" s="45"/>
      <c r="KX77" s="45"/>
      <c r="KY77" s="45"/>
      <c r="KZ77" s="45"/>
      <c r="LA77" s="45"/>
      <c r="LB77" s="45"/>
      <c r="LC77" s="45"/>
      <c r="LD77" s="45"/>
      <c r="LE77" s="45"/>
      <c r="LF77" s="45"/>
      <c r="LG77" s="45"/>
      <c r="LH77" s="45"/>
      <c r="LI77" s="45"/>
      <c r="LJ77" s="45"/>
      <c r="LK77" s="45"/>
      <c r="LL77" s="45"/>
      <c r="LM77" s="45"/>
      <c r="LN77" s="45"/>
      <c r="LO77" s="45"/>
      <c r="LP77" s="45"/>
      <c r="LQ77" s="45"/>
      <c r="LR77" s="45"/>
      <c r="LS77" s="45"/>
      <c r="LT77" s="45"/>
      <c r="LU77" s="45"/>
      <c r="LV77" s="45"/>
      <c r="LW77" s="45"/>
      <c r="LX77" s="45"/>
      <c r="LY77" s="45"/>
      <c r="LZ77" s="45"/>
      <c r="MA77" s="45"/>
      <c r="MB77" s="45"/>
      <c r="MC77" s="45"/>
      <c r="MD77" s="45"/>
      <c r="ME77" s="45"/>
      <c r="MF77" s="45"/>
      <c r="MG77" s="45"/>
      <c r="MH77" s="45"/>
      <c r="MI77" s="45"/>
      <c r="MJ77" s="45"/>
      <c r="MK77" s="45"/>
      <c r="ML77" s="45"/>
      <c r="MM77" s="45"/>
      <c r="MN77" s="45"/>
      <c r="MO77" s="45"/>
      <c r="MP77" s="45"/>
      <c r="MQ77" s="45"/>
      <c r="MR77" s="45"/>
      <c r="MS77" s="45"/>
      <c r="MT77" s="45"/>
    </row>
    <row r="78" spans="1:358" ht="42.75" hidden="1" customHeight="1" outlineLevel="1">
      <c r="A78" s="47" t="s">
        <v>23</v>
      </c>
      <c r="B78" s="78">
        <f>C78-$B$76</f>
        <v>0.21999999999999997</v>
      </c>
      <c r="C78" s="123">
        <v>0.5</v>
      </c>
      <c r="D78" s="49"/>
      <c r="E78" s="49"/>
      <c r="F78" s="52"/>
      <c r="G78" s="57"/>
      <c r="H78" s="56"/>
      <c r="I78" s="56"/>
      <c r="J78" s="123"/>
      <c r="K78" s="189">
        <v>1.8</v>
      </c>
      <c r="L78" s="191">
        <v>1.8</v>
      </c>
      <c r="M78" s="191">
        <v>1.9</v>
      </c>
      <c r="N78" s="191">
        <v>2</v>
      </c>
      <c r="O78" s="191">
        <v>2</v>
      </c>
      <c r="P78" s="56">
        <v>3.5</v>
      </c>
      <c r="Q78" s="56">
        <v>3.18</v>
      </c>
      <c r="R78" s="56">
        <v>3.3497727272727289</v>
      </c>
      <c r="S78" s="189">
        <v>3.25</v>
      </c>
      <c r="T78" s="255"/>
      <c r="U78" s="255"/>
      <c r="V78" s="189">
        <v>3.25</v>
      </c>
      <c r="W78" s="189">
        <v>3.25</v>
      </c>
      <c r="X78" s="189">
        <v>3.25</v>
      </c>
      <c r="Y78" s="189">
        <v>3.5</v>
      </c>
      <c r="Z78" s="189">
        <v>3.5</v>
      </c>
      <c r="AA78" s="189">
        <v>3.25</v>
      </c>
      <c r="AB78" s="189">
        <v>3.25</v>
      </c>
      <c r="AC78" s="297">
        <v>3.25</v>
      </c>
      <c r="AD78" s="308">
        <f>AVERAGE(P78:R78)</f>
        <v>3.3432575757575762</v>
      </c>
      <c r="AE78" s="246">
        <f>AVERAGE(S78:W78)</f>
        <v>3.25</v>
      </c>
      <c r="AF78" s="246">
        <f>AVERAGE(X78:Z78)</f>
        <v>3.4166666666666665</v>
      </c>
      <c r="AG78" s="309">
        <f>AVERAGE(AA78:AC78)</f>
        <v>3.25</v>
      </c>
      <c r="AH78" s="241">
        <f>AVERAGE(P78:AC78)</f>
        <v>3.3149810606060606</v>
      </c>
      <c r="AI78" s="267"/>
    </row>
    <row r="79" spans="1:358" ht="42.75" hidden="1" customHeight="1" outlineLevel="1">
      <c r="A79" s="47" t="s">
        <v>24</v>
      </c>
      <c r="B79" s="78">
        <f t="shared" ref="B79" si="51">C79-$B$58</f>
        <v>0.68999999999999984</v>
      </c>
      <c r="C79" s="123">
        <v>0.6</v>
      </c>
      <c r="D79" s="49"/>
      <c r="E79" s="49"/>
      <c r="F79" s="56"/>
      <c r="G79" s="57"/>
      <c r="H79" s="56"/>
      <c r="I79" s="56"/>
      <c r="J79" s="55"/>
      <c r="K79" s="189">
        <v>1.3</v>
      </c>
      <c r="L79" s="191">
        <v>1.3</v>
      </c>
      <c r="M79" s="191">
        <v>1.7</v>
      </c>
      <c r="N79" s="191">
        <v>2</v>
      </c>
      <c r="O79" s="191"/>
      <c r="P79" s="56">
        <v>3.5</v>
      </c>
      <c r="Q79" s="56">
        <v>3.18</v>
      </c>
      <c r="R79" s="56">
        <v>3.3497727272727289</v>
      </c>
      <c r="S79" s="189">
        <v>3.3</v>
      </c>
      <c r="T79" s="255"/>
      <c r="U79" s="255"/>
      <c r="V79" s="189">
        <v>3.1</v>
      </c>
      <c r="W79" s="189">
        <v>3.1</v>
      </c>
      <c r="X79" s="189">
        <v>3</v>
      </c>
      <c r="Y79" s="189">
        <v>2.9</v>
      </c>
      <c r="Z79" s="189">
        <v>2.9</v>
      </c>
      <c r="AA79" s="189">
        <v>2.5</v>
      </c>
      <c r="AB79" s="189">
        <v>2.6</v>
      </c>
      <c r="AC79" s="297">
        <v>2.8</v>
      </c>
      <c r="AD79" s="308">
        <f>AVERAGE(P79:R79)</f>
        <v>3.3432575757575762</v>
      </c>
      <c r="AE79" s="246">
        <f t="shared" ref="AE79:AE81" si="52">AVERAGE(S79:W79)</f>
        <v>3.1666666666666665</v>
      </c>
      <c r="AF79" s="246">
        <f t="shared" ref="AF79:AF81" si="53">AVERAGE(X79:Z79)</f>
        <v>2.9333333333333336</v>
      </c>
      <c r="AG79" s="309">
        <f t="shared" ref="AG79:AG81" si="54">AVERAGE(AA79:AC79)</f>
        <v>2.6333333333333333</v>
      </c>
      <c r="AH79" s="241">
        <f>AVERAGE(P79:AC79)</f>
        <v>3.0191477272727272</v>
      </c>
      <c r="AI79" s="267"/>
    </row>
    <row r="80" spans="1:358" ht="42.75" hidden="1" customHeight="1" outlineLevel="1">
      <c r="A80" s="47" t="s">
        <v>25</v>
      </c>
      <c r="B80" s="78">
        <f t="shared" ref="B80" si="55">C80-$B$76</f>
        <v>0.82000000000000006</v>
      </c>
      <c r="C80" s="123">
        <v>1.1000000000000001</v>
      </c>
      <c r="D80" s="49"/>
      <c r="E80" s="49"/>
      <c r="F80" s="52"/>
      <c r="G80" s="57"/>
      <c r="H80" s="56"/>
      <c r="I80" s="56"/>
      <c r="J80" s="123"/>
      <c r="K80" s="189">
        <v>0.5</v>
      </c>
      <c r="L80" s="191">
        <v>1.7</v>
      </c>
      <c r="M80" s="189">
        <v>1.7</v>
      </c>
      <c r="N80" s="191">
        <v>1.7</v>
      </c>
      <c r="O80" s="191">
        <v>1.7</v>
      </c>
      <c r="P80" s="56">
        <v>3.5</v>
      </c>
      <c r="Q80" s="56">
        <v>3.18</v>
      </c>
      <c r="R80" s="56">
        <v>3.3497727272727289</v>
      </c>
      <c r="S80" s="189">
        <v>3.5</v>
      </c>
      <c r="T80" s="185" t="s">
        <v>124</v>
      </c>
      <c r="U80" s="186" t="s">
        <v>124</v>
      </c>
      <c r="V80" s="189">
        <v>3.5</v>
      </c>
      <c r="W80" s="189">
        <v>3.5</v>
      </c>
      <c r="X80" s="189">
        <v>3.5</v>
      </c>
      <c r="Y80" s="189">
        <v>3.2</v>
      </c>
      <c r="Z80" s="189">
        <v>3.2</v>
      </c>
      <c r="AA80" s="189">
        <v>3.2</v>
      </c>
      <c r="AB80" s="189">
        <v>3.2</v>
      </c>
      <c r="AC80" s="297">
        <v>3.2</v>
      </c>
      <c r="AD80" s="308">
        <f>AVERAGE(P80:R80)</f>
        <v>3.3432575757575762</v>
      </c>
      <c r="AE80" s="246">
        <f t="shared" si="52"/>
        <v>3.5</v>
      </c>
      <c r="AF80" s="246">
        <f t="shared" si="53"/>
        <v>3.3000000000000003</v>
      </c>
      <c r="AG80" s="309">
        <f t="shared" si="54"/>
        <v>3.2000000000000006</v>
      </c>
      <c r="AH80" s="241">
        <f>AVERAGE(P80:AC80)</f>
        <v>3.3358143939393945</v>
      </c>
      <c r="AI80" s="267"/>
    </row>
    <row r="81" spans="1:358" ht="42.75" hidden="1" customHeight="1" outlineLevel="1" thickBot="1">
      <c r="A81" s="47" t="s">
        <v>26</v>
      </c>
      <c r="B81" s="78" t="e">
        <f>C81-#REF!</f>
        <v>#REF!</v>
      </c>
      <c r="C81" s="123">
        <v>1.5</v>
      </c>
      <c r="D81" s="49"/>
      <c r="E81" s="49"/>
      <c r="F81" s="52"/>
      <c r="G81" s="57"/>
      <c r="H81" s="52"/>
      <c r="I81" s="52"/>
      <c r="J81" s="123"/>
      <c r="K81" s="181">
        <v>1.2</v>
      </c>
      <c r="L81" s="182">
        <v>1.2</v>
      </c>
      <c r="M81" s="182">
        <v>1.2</v>
      </c>
      <c r="N81" s="182">
        <v>2</v>
      </c>
      <c r="O81" s="182">
        <v>2.5</v>
      </c>
      <c r="P81" s="56">
        <v>3.5</v>
      </c>
      <c r="Q81" s="56">
        <v>3.18</v>
      </c>
      <c r="R81" s="56">
        <v>3.3497727272727289</v>
      </c>
      <c r="S81" s="189">
        <v>3.6</v>
      </c>
      <c r="T81" s="256"/>
      <c r="U81" s="256"/>
      <c r="V81" s="189">
        <v>3.1</v>
      </c>
      <c r="W81" s="189">
        <v>3.1</v>
      </c>
      <c r="X81" s="189">
        <v>3.1</v>
      </c>
      <c r="Y81" s="189">
        <v>2.7</v>
      </c>
      <c r="Z81" s="189">
        <v>2.7</v>
      </c>
      <c r="AA81" s="189">
        <v>2.7</v>
      </c>
      <c r="AB81" s="189">
        <v>2.7</v>
      </c>
      <c r="AC81" s="297">
        <v>2.7</v>
      </c>
      <c r="AD81" s="308">
        <f>AVERAGE(P81:R81)</f>
        <v>3.3432575757575762</v>
      </c>
      <c r="AE81" s="246">
        <f t="shared" si="52"/>
        <v>3.2666666666666671</v>
      </c>
      <c r="AF81" s="246">
        <f t="shared" si="53"/>
        <v>2.8333333333333335</v>
      </c>
      <c r="AG81" s="309">
        <f t="shared" si="54"/>
        <v>2.7000000000000006</v>
      </c>
      <c r="AH81" s="241">
        <f>AVERAGE(P81:AC81)</f>
        <v>3.0358143939393947</v>
      </c>
      <c r="AI81" s="267"/>
    </row>
    <row r="82" spans="1:358" s="62" customFormat="1" ht="19.5" hidden="1" customHeight="1" outlineLevel="1" thickBot="1">
      <c r="A82" s="245" t="s">
        <v>75</v>
      </c>
      <c r="B82" s="58" t="s">
        <v>27</v>
      </c>
      <c r="C82" s="58" t="s">
        <v>27</v>
      </c>
      <c r="D82" s="87"/>
      <c r="E82" s="58"/>
      <c r="F82" s="59"/>
      <c r="G82" s="59"/>
      <c r="H82" s="59"/>
      <c r="I82" s="59"/>
      <c r="J82" s="59" t="e">
        <f t="shared" ref="J82" si="56">AVERAGE(J78:J81)</f>
        <v>#DIV/0!</v>
      </c>
      <c r="K82" s="59">
        <f>AVERAGE(K78:K81)</f>
        <v>1.2</v>
      </c>
      <c r="L82" s="59">
        <f>AVERAGE(L78:L81)</f>
        <v>1.5</v>
      </c>
      <c r="M82" s="59">
        <f>AVERAGE(M78:M81)</f>
        <v>1.625</v>
      </c>
      <c r="N82" s="59">
        <v>1.6</v>
      </c>
      <c r="O82" s="59">
        <f>AVERAGE(O78:O81)</f>
        <v>2.0666666666666669</v>
      </c>
      <c r="P82" s="59">
        <f>AVERAGE(P78:P81)</f>
        <v>3.5</v>
      </c>
      <c r="Q82" s="59">
        <f>AVERAGE(Q78:Q81)</f>
        <v>3.18</v>
      </c>
      <c r="R82" s="59">
        <f>AVERAGE(R78:R81)</f>
        <v>3.3497727272727289</v>
      </c>
      <c r="S82" s="59">
        <f t="shared" ref="S82:AD82" si="57">AVERAGE(S78:S81)</f>
        <v>3.4125000000000001</v>
      </c>
      <c r="T82" s="60"/>
      <c r="U82" s="60"/>
      <c r="V82" s="59">
        <f t="shared" si="57"/>
        <v>3.2374999999999998</v>
      </c>
      <c r="W82" s="59">
        <f t="shared" si="57"/>
        <v>3.2374999999999998</v>
      </c>
      <c r="X82" s="59">
        <f t="shared" si="57"/>
        <v>3.2124999999999999</v>
      </c>
      <c r="Y82" s="59">
        <f t="shared" si="57"/>
        <v>3.0750000000000002</v>
      </c>
      <c r="Z82" s="59">
        <f t="shared" si="57"/>
        <v>3.0750000000000002</v>
      </c>
      <c r="AA82" s="59">
        <f t="shared" si="57"/>
        <v>2.9124999999999996</v>
      </c>
      <c r="AB82" s="59">
        <f t="shared" si="57"/>
        <v>2.9375</v>
      </c>
      <c r="AC82" s="234">
        <f t="shared" si="57"/>
        <v>2.9874999999999998</v>
      </c>
      <c r="AD82" s="310">
        <f t="shared" si="57"/>
        <v>3.3432575757575762</v>
      </c>
      <c r="AE82" s="59">
        <f>AVERAGE(AE78:AE81)</f>
        <v>3.2958333333333334</v>
      </c>
      <c r="AF82" s="59">
        <f t="shared" ref="AF82:AG82" si="58">AVERAGE(AF78:AF81)</f>
        <v>3.1208333333333336</v>
      </c>
      <c r="AG82" s="311">
        <f t="shared" si="58"/>
        <v>2.9458333333333337</v>
      </c>
      <c r="AH82" s="242">
        <f>AVERAGE(AH78:AH81)</f>
        <v>3.1764393939393942</v>
      </c>
      <c r="AI82" s="269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C82" s="61"/>
      <c r="KD82" s="61"/>
      <c r="KE82" s="61"/>
      <c r="KF82" s="61"/>
      <c r="KG82" s="61"/>
      <c r="KH82" s="61"/>
      <c r="KI82" s="61"/>
      <c r="KJ82" s="61"/>
      <c r="KK82" s="61"/>
      <c r="KL82" s="61"/>
      <c r="KM82" s="61"/>
      <c r="KN82" s="61"/>
      <c r="KO82" s="61"/>
      <c r="KP82" s="61"/>
      <c r="KQ82" s="61"/>
      <c r="KR82" s="61"/>
      <c r="KS82" s="61"/>
      <c r="KT82" s="61"/>
      <c r="KU82" s="61"/>
      <c r="KV82" s="61"/>
      <c r="KW82" s="61"/>
      <c r="KX82" s="61"/>
      <c r="KY82" s="61"/>
      <c r="KZ82" s="61"/>
      <c r="LA82" s="61"/>
      <c r="LB82" s="61"/>
      <c r="LC82" s="61"/>
      <c r="LD82" s="61"/>
      <c r="LE82" s="61"/>
      <c r="LF82" s="61"/>
      <c r="LG82" s="61"/>
      <c r="LH82" s="61"/>
      <c r="LI82" s="61"/>
      <c r="LJ82" s="61"/>
      <c r="LK82" s="61"/>
      <c r="LL82" s="61"/>
      <c r="LM82" s="61"/>
      <c r="LN82" s="61"/>
      <c r="LO82" s="61"/>
      <c r="LP82" s="61"/>
      <c r="LQ82" s="61"/>
      <c r="LR82" s="61"/>
      <c r="LS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D82" s="61"/>
      <c r="ME82" s="61"/>
      <c r="MF82" s="61"/>
      <c r="MG82" s="61"/>
      <c r="MH82" s="61"/>
      <c r="MI82" s="61"/>
      <c r="MJ82" s="61"/>
      <c r="MK82" s="61"/>
      <c r="ML82" s="61"/>
      <c r="MM82" s="61"/>
      <c r="MN82" s="61"/>
      <c r="MO82" s="61"/>
      <c r="MP82" s="61"/>
      <c r="MQ82" s="61"/>
      <c r="MR82" s="61"/>
      <c r="MS82" s="61"/>
      <c r="MT82" s="61"/>
    </row>
    <row r="83" spans="1:358" s="62" customFormat="1" ht="22.5" customHeight="1" collapsed="1" thickBot="1">
      <c r="A83" s="227" t="s">
        <v>74</v>
      </c>
      <c r="B83" s="160"/>
      <c r="C83" s="160"/>
      <c r="D83" s="161"/>
      <c r="E83" s="161"/>
      <c r="F83" s="162"/>
      <c r="G83" s="162"/>
      <c r="H83" s="162"/>
      <c r="I83" s="162"/>
      <c r="J83" s="163"/>
      <c r="K83" s="162"/>
      <c r="L83" s="162"/>
      <c r="M83" s="162"/>
      <c r="N83" s="164">
        <f>N82</f>
        <v>1.6</v>
      </c>
      <c r="O83" s="164">
        <f>O82</f>
        <v>2.0666666666666669</v>
      </c>
      <c r="P83" s="164">
        <f>P82</f>
        <v>3.5</v>
      </c>
      <c r="Q83" s="164">
        <f t="shared" ref="Q83" si="59">Q82</f>
        <v>3.18</v>
      </c>
      <c r="R83" s="164">
        <f>R82</f>
        <v>3.3497727272727289</v>
      </c>
      <c r="S83" s="164">
        <v>3.3</v>
      </c>
      <c r="T83" s="164"/>
      <c r="U83" s="164"/>
      <c r="V83" s="164">
        <v>3.1</v>
      </c>
      <c r="W83" s="164">
        <v>3.2</v>
      </c>
      <c r="X83" s="164">
        <v>3.25</v>
      </c>
      <c r="Y83" s="164">
        <v>3</v>
      </c>
      <c r="Z83" s="164">
        <v>3</v>
      </c>
      <c r="AA83" s="164">
        <v>3</v>
      </c>
      <c r="AB83" s="164">
        <v>3</v>
      </c>
      <c r="AC83" s="229">
        <v>3</v>
      </c>
      <c r="AD83" s="312">
        <f>AVERAGE(P83:R83)</f>
        <v>3.3432575757575762</v>
      </c>
      <c r="AE83" s="164">
        <f>AVERAGE(S83:W83)</f>
        <v>3.2000000000000006</v>
      </c>
      <c r="AF83" s="164">
        <f>AVERAGE(X83:Z83)</f>
        <v>3.0833333333333335</v>
      </c>
      <c r="AG83" s="313">
        <f>AVERAGE(AA83:AC83)</f>
        <v>3</v>
      </c>
      <c r="AH83" s="242">
        <f>AVERAGE(P83:S83,V83:AC83)</f>
        <v>3.1566477272727274</v>
      </c>
      <c r="AI83" s="270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1"/>
      <c r="IX83" s="61"/>
      <c r="IY83" s="61"/>
      <c r="IZ83" s="61"/>
      <c r="JA83" s="61"/>
      <c r="JB83" s="61"/>
      <c r="JC83" s="61"/>
      <c r="JD83" s="61"/>
      <c r="JE83" s="61"/>
      <c r="JF83" s="61"/>
      <c r="JG83" s="61"/>
      <c r="JH83" s="61"/>
      <c r="JI83" s="61"/>
      <c r="JJ83" s="61"/>
      <c r="JK83" s="61"/>
      <c r="JL83" s="61"/>
      <c r="JM83" s="61"/>
      <c r="JN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C83" s="61"/>
      <c r="KD83" s="61"/>
      <c r="KE83" s="61"/>
      <c r="KF83" s="61"/>
      <c r="KG83" s="61"/>
      <c r="KH83" s="61"/>
      <c r="KI83" s="61"/>
      <c r="KJ83" s="61"/>
      <c r="KK83" s="61"/>
      <c r="KL83" s="61"/>
      <c r="KM83" s="61"/>
      <c r="KN83" s="61"/>
      <c r="KO83" s="61"/>
      <c r="KP83" s="61"/>
      <c r="KQ83" s="61"/>
      <c r="KR83" s="61"/>
      <c r="KS83" s="61"/>
      <c r="KT83" s="61"/>
      <c r="KU83" s="61"/>
      <c r="KV83" s="61"/>
      <c r="KW83" s="61"/>
      <c r="KX83" s="61"/>
      <c r="KY83" s="61"/>
      <c r="KZ83" s="61"/>
      <c r="LA83" s="61"/>
      <c r="LB83" s="61"/>
      <c r="LC83" s="61"/>
      <c r="LD83" s="61"/>
      <c r="LE83" s="61"/>
      <c r="LF83" s="61"/>
      <c r="LG83" s="61"/>
      <c r="LH83" s="61"/>
      <c r="LI83" s="61"/>
      <c r="LJ83" s="61"/>
      <c r="LK83" s="61"/>
      <c r="LL83" s="61"/>
      <c r="LM83" s="61"/>
      <c r="LN83" s="61"/>
      <c r="LO83" s="61"/>
      <c r="LP83" s="61"/>
      <c r="LQ83" s="61"/>
      <c r="LR83" s="61"/>
      <c r="LS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D83" s="61"/>
      <c r="ME83" s="61"/>
      <c r="MF83" s="61"/>
      <c r="MG83" s="61"/>
      <c r="MH83" s="61"/>
      <c r="MI83" s="61"/>
      <c r="MJ83" s="61"/>
      <c r="MK83" s="61"/>
      <c r="ML83" s="61"/>
      <c r="MM83" s="61"/>
      <c r="MN83" s="61"/>
      <c r="MO83" s="61"/>
      <c r="MP83" s="61"/>
      <c r="MQ83" s="61"/>
      <c r="MR83" s="61"/>
      <c r="MS83" s="61"/>
      <c r="MT83" s="61"/>
    </row>
    <row r="84" spans="1:358" ht="21.5" thickBot="1">
      <c r="A84" s="252"/>
      <c r="F84" s="1"/>
      <c r="G84" s="1"/>
      <c r="H84" s="1"/>
      <c r="I84" s="125"/>
      <c r="K84" s="125">
        <f>K14+K82</f>
        <v>49.5</v>
      </c>
      <c r="L84" s="125">
        <f>L14+L82</f>
        <v>48.35</v>
      </c>
      <c r="M84" s="125">
        <f>M14+M82</f>
        <v>50.26</v>
      </c>
      <c r="N84" s="125"/>
      <c r="O84" s="125"/>
      <c r="P84" s="1"/>
      <c r="Q84" s="1"/>
      <c r="R84" s="126"/>
      <c r="S84" s="126"/>
      <c r="T84" s="125"/>
      <c r="U84" s="125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7"/>
    </row>
    <row r="85" spans="1:358" ht="21" customHeight="1">
      <c r="A85" s="324"/>
      <c r="B85" s="325"/>
      <c r="C85" s="325"/>
      <c r="D85" s="326"/>
      <c r="E85" s="326"/>
      <c r="F85" s="327" t="s">
        <v>4</v>
      </c>
      <c r="G85" s="327" t="s">
        <v>5</v>
      </c>
      <c r="H85" s="327" t="s">
        <v>6</v>
      </c>
      <c r="I85" s="327" t="s">
        <v>7</v>
      </c>
      <c r="J85" s="328" t="s">
        <v>2</v>
      </c>
      <c r="K85" s="327" t="s">
        <v>71</v>
      </c>
      <c r="L85" s="327" t="s">
        <v>72</v>
      </c>
      <c r="M85" s="327" t="s">
        <v>73</v>
      </c>
      <c r="N85" s="327" t="s">
        <v>12</v>
      </c>
      <c r="O85" s="327" t="s">
        <v>13</v>
      </c>
      <c r="P85" s="329" t="s">
        <v>14</v>
      </c>
      <c r="Q85" s="329" t="s">
        <v>15</v>
      </c>
      <c r="R85" s="329" t="s">
        <v>16</v>
      </c>
      <c r="S85" s="329" t="s">
        <v>64</v>
      </c>
      <c r="T85" s="330"/>
      <c r="U85" s="330"/>
      <c r="V85" s="329" t="s">
        <v>65</v>
      </c>
      <c r="W85" s="329" t="s">
        <v>66</v>
      </c>
      <c r="X85" s="329" t="s">
        <v>67</v>
      </c>
      <c r="Y85" s="329" t="s">
        <v>68</v>
      </c>
      <c r="Z85" s="329" t="s">
        <v>69</v>
      </c>
      <c r="AA85" s="329" t="s">
        <v>70</v>
      </c>
      <c r="AB85" s="329" t="s">
        <v>77</v>
      </c>
      <c r="AC85" s="331" t="s">
        <v>78</v>
      </c>
      <c r="AD85" s="332" t="s">
        <v>79</v>
      </c>
      <c r="AE85" s="329" t="s">
        <v>80</v>
      </c>
      <c r="AF85" s="329" t="s">
        <v>81</v>
      </c>
      <c r="AG85" s="329" t="s">
        <v>82</v>
      </c>
      <c r="AH85" s="331">
        <v>2016</v>
      </c>
    </row>
    <row r="86" spans="1:358" ht="17.25" customHeight="1">
      <c r="A86" s="333" t="s">
        <v>48</v>
      </c>
      <c r="B86" s="129" t="s">
        <v>48</v>
      </c>
      <c r="C86" s="129" t="s">
        <v>48</v>
      </c>
      <c r="D86" s="130"/>
      <c r="E86" s="130"/>
      <c r="F86" s="36"/>
      <c r="G86" s="36">
        <v>56.18</v>
      </c>
      <c r="H86" s="36">
        <v>47.690789473684205</v>
      </c>
      <c r="I86" s="36">
        <v>45.375000000000007</v>
      </c>
      <c r="J86" s="36" t="e">
        <f>J14</f>
        <v>#DIV/0!</v>
      </c>
      <c r="K86" s="36">
        <f>K14</f>
        <v>48.3</v>
      </c>
      <c r="L86" s="36">
        <f>L14</f>
        <v>46.85</v>
      </c>
      <c r="M86" s="36">
        <f>M14</f>
        <v>48.634999999999998</v>
      </c>
      <c r="N86" s="36">
        <f>N14</f>
        <v>46.25</v>
      </c>
      <c r="O86" s="36">
        <f>O15</f>
        <v>0</v>
      </c>
      <c r="P86" s="36">
        <f>P15</f>
        <v>26.81</v>
      </c>
      <c r="Q86" s="36">
        <f t="shared" ref="Q86:AB86" si="60">Q15</f>
        <v>29.38</v>
      </c>
      <c r="R86" s="36">
        <f t="shared" si="60"/>
        <v>35.141818181818174</v>
      </c>
      <c r="S86" s="36">
        <f t="shared" si="60"/>
        <v>35.700000000000003</v>
      </c>
      <c r="T86" s="36"/>
      <c r="U86" s="36"/>
      <c r="V86" s="36">
        <f t="shared" si="60"/>
        <v>36</v>
      </c>
      <c r="W86" s="36">
        <f t="shared" si="60"/>
        <v>36</v>
      </c>
      <c r="X86" s="36">
        <f t="shared" si="60"/>
        <v>37.5</v>
      </c>
      <c r="Y86" s="36">
        <f t="shared" si="60"/>
        <v>38</v>
      </c>
      <c r="Z86" s="36">
        <f t="shared" si="60"/>
        <v>39</v>
      </c>
      <c r="AA86" s="36">
        <f t="shared" si="60"/>
        <v>40</v>
      </c>
      <c r="AB86" s="36">
        <f t="shared" si="60"/>
        <v>42</v>
      </c>
      <c r="AC86" s="322">
        <f>AC15</f>
        <v>42.5</v>
      </c>
      <c r="AD86" s="319">
        <f>AD15</f>
        <v>30.443939393939388</v>
      </c>
      <c r="AE86" s="258">
        <f t="shared" ref="AE86:AF86" si="61">AE15</f>
        <v>35.9</v>
      </c>
      <c r="AF86" s="258">
        <f t="shared" si="61"/>
        <v>38.166666666666664</v>
      </c>
      <c r="AG86" s="258">
        <f>AG15</f>
        <v>41.5</v>
      </c>
      <c r="AH86" s="334">
        <f t="shared" ref="AH86:AH92" si="62">AVERAGE(P86:AC86)</f>
        <v>36.502651515151513</v>
      </c>
    </row>
    <row r="87" spans="1:358" ht="18.5">
      <c r="A87" s="333" t="s">
        <v>49</v>
      </c>
      <c r="B87" s="129" t="s">
        <v>49</v>
      </c>
      <c r="C87" s="129" t="s">
        <v>49</v>
      </c>
      <c r="D87" s="130"/>
      <c r="E87" s="130"/>
      <c r="F87" s="36"/>
      <c r="G87" s="36">
        <v>53.145899999999997</v>
      </c>
      <c r="H87" s="36">
        <v>45.764210526315786</v>
      </c>
      <c r="I87" s="36">
        <v>46.804999999999993</v>
      </c>
      <c r="J87" s="36" t="e">
        <f>J14+#REF!</f>
        <v>#DIV/0!</v>
      </c>
      <c r="K87" s="36" t="e">
        <f>K14+#REF!</f>
        <v>#REF!</v>
      </c>
      <c r="L87" s="36" t="e">
        <f>L14+#REF!</f>
        <v>#REF!</v>
      </c>
      <c r="M87" s="36">
        <f>M14+M25</f>
        <v>50.059999999999995</v>
      </c>
      <c r="N87" s="36">
        <f>N14+N26</f>
        <v>50.125</v>
      </c>
      <c r="O87" s="36">
        <f>O15+O26</f>
        <v>6</v>
      </c>
      <c r="P87" s="36">
        <f>P15+P26</f>
        <v>36.599999999999994</v>
      </c>
      <c r="Q87" s="36">
        <f t="shared" ref="Q87:AC87" si="63">Q15+Q26</f>
        <v>33.942777777777778</v>
      </c>
      <c r="R87" s="36">
        <f t="shared" si="63"/>
        <v>39.004090909090912</v>
      </c>
      <c r="S87" s="36">
        <f t="shared" si="63"/>
        <v>39.700000000000003</v>
      </c>
      <c r="T87" s="36"/>
      <c r="U87" s="36"/>
      <c r="V87" s="36">
        <f t="shared" si="63"/>
        <v>40.5</v>
      </c>
      <c r="W87" s="36">
        <f t="shared" si="63"/>
        <v>41</v>
      </c>
      <c r="X87" s="36">
        <f t="shared" si="63"/>
        <v>41.5</v>
      </c>
      <c r="Y87" s="36">
        <f t="shared" si="63"/>
        <v>41.5</v>
      </c>
      <c r="Z87" s="36">
        <f t="shared" si="63"/>
        <v>42</v>
      </c>
      <c r="AA87" s="36">
        <f t="shared" si="63"/>
        <v>43</v>
      </c>
      <c r="AB87" s="36">
        <f t="shared" si="63"/>
        <v>45.2</v>
      </c>
      <c r="AC87" s="322">
        <f t="shared" si="63"/>
        <v>45.7</v>
      </c>
      <c r="AD87" s="319">
        <f>AD15+AD26</f>
        <v>36.515622895622897</v>
      </c>
      <c r="AE87" s="258">
        <f t="shared" ref="AE87:AF87" si="64">AE15+AE26</f>
        <v>40.4</v>
      </c>
      <c r="AF87" s="258">
        <f t="shared" si="64"/>
        <v>41.666666666666664</v>
      </c>
      <c r="AG87" s="258">
        <f>AG15+AG26</f>
        <v>44.633333333333333</v>
      </c>
      <c r="AH87" s="334">
        <f t="shared" si="62"/>
        <v>40.803905723905721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5">
      <c r="A88" s="333">
        <v>95</v>
      </c>
      <c r="B88" s="129">
        <v>95</v>
      </c>
      <c r="C88" s="129">
        <v>95</v>
      </c>
      <c r="D88" s="130"/>
      <c r="E88" s="130"/>
      <c r="F88" s="36"/>
      <c r="G88" s="36">
        <v>75.946299999999994</v>
      </c>
      <c r="H88" s="36">
        <v>66.004736842105288</v>
      </c>
      <c r="I88" s="36">
        <v>65.236000000000004</v>
      </c>
      <c r="J88" s="36" t="e">
        <f>J36+J14</f>
        <v>#DIV/0!</v>
      </c>
      <c r="K88" s="36">
        <f>K36+K14</f>
        <v>64.782499999999999</v>
      </c>
      <c r="L88" s="36">
        <f>L36+L14</f>
        <v>64.099999999999994</v>
      </c>
      <c r="M88" s="36">
        <f>M36+M14</f>
        <v>65.007499999999993</v>
      </c>
      <c r="N88" s="36">
        <f>N37+N14</f>
        <v>62.0625</v>
      </c>
      <c r="O88" s="36">
        <f>O37+O15</f>
        <v>17.5</v>
      </c>
      <c r="P88" s="36">
        <f>P37+P15</f>
        <v>50.42</v>
      </c>
      <c r="Q88" s="36">
        <f t="shared" ref="Q88:AB88" si="65">Q37+Q15</f>
        <v>44.58</v>
      </c>
      <c r="R88" s="36">
        <f t="shared" si="65"/>
        <v>52.771818181818183</v>
      </c>
      <c r="S88" s="36">
        <f t="shared" si="65"/>
        <v>54.7</v>
      </c>
      <c r="T88" s="36"/>
      <c r="U88" s="36"/>
      <c r="V88" s="36">
        <f t="shared" si="65"/>
        <v>55.7</v>
      </c>
      <c r="W88" s="36">
        <f t="shared" si="65"/>
        <v>56.5</v>
      </c>
      <c r="X88" s="36">
        <f t="shared" si="65"/>
        <v>57.5</v>
      </c>
      <c r="Y88" s="36">
        <f t="shared" si="65"/>
        <v>57</v>
      </c>
      <c r="Z88" s="36">
        <f t="shared" si="65"/>
        <v>56.5</v>
      </c>
      <c r="AA88" s="36">
        <f t="shared" si="65"/>
        <v>56.5</v>
      </c>
      <c r="AB88" s="36">
        <f t="shared" si="65"/>
        <v>57</v>
      </c>
      <c r="AC88" s="322">
        <f>AC37+AC15</f>
        <v>57</v>
      </c>
      <c r="AD88" s="319">
        <f>AD37+AD15</f>
        <v>49.257272727272721</v>
      </c>
      <c r="AE88" s="258">
        <f t="shared" ref="AE88:AF88" si="66">AE37+AE15</f>
        <v>55.633333333333333</v>
      </c>
      <c r="AF88" s="258">
        <f t="shared" si="66"/>
        <v>57</v>
      </c>
      <c r="AG88" s="258">
        <f>AG37+AG15</f>
        <v>56.833333333333336</v>
      </c>
      <c r="AH88" s="334">
        <f t="shared" si="62"/>
        <v>54.680984848484854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8.5">
      <c r="A89" s="333" t="s">
        <v>50</v>
      </c>
      <c r="B89" s="129" t="s">
        <v>50</v>
      </c>
      <c r="C89" s="129" t="s">
        <v>50</v>
      </c>
      <c r="D89" s="133"/>
      <c r="E89" s="133"/>
      <c r="F89" s="36"/>
      <c r="G89" s="36">
        <v>65.808999999999997</v>
      </c>
      <c r="H89" s="36">
        <v>57.075789473684203</v>
      </c>
      <c r="I89" s="36">
        <v>58.993499999999997</v>
      </c>
      <c r="J89" s="36" t="e">
        <f>J47+J14</f>
        <v>#DIV/0!</v>
      </c>
      <c r="K89" s="36">
        <f>K47+K14</f>
        <v>61.41</v>
      </c>
      <c r="L89" s="36">
        <f>L47+L14</f>
        <v>60.285000000000004</v>
      </c>
      <c r="M89" s="36">
        <f>M47+M14</f>
        <v>61.98</v>
      </c>
      <c r="N89" s="36">
        <f>N48+N14</f>
        <v>60.48</v>
      </c>
      <c r="O89" s="36">
        <f>O48+O15</f>
        <v>15.6</v>
      </c>
      <c r="P89" s="36">
        <f>P48+P15</f>
        <v>37.909999999999997</v>
      </c>
      <c r="Q89" s="36">
        <f t="shared" ref="Q89:AC89" si="67">Q48+Q15</f>
        <v>41</v>
      </c>
      <c r="R89" s="36">
        <f t="shared" si="67"/>
        <v>47.38</v>
      </c>
      <c r="S89" s="36">
        <f t="shared" si="67"/>
        <v>47.300000000000004</v>
      </c>
      <c r="T89" s="36"/>
      <c r="U89" s="36"/>
      <c r="V89" s="36">
        <f t="shared" si="67"/>
        <v>47.4</v>
      </c>
      <c r="W89" s="36">
        <f t="shared" si="67"/>
        <v>47.3</v>
      </c>
      <c r="X89" s="36">
        <f t="shared" si="67"/>
        <v>49.15</v>
      </c>
      <c r="Y89" s="36">
        <f t="shared" si="67"/>
        <v>49</v>
      </c>
      <c r="Z89" s="36">
        <f t="shared" si="67"/>
        <v>50.2</v>
      </c>
      <c r="AA89" s="36">
        <f t="shared" si="67"/>
        <v>52.2</v>
      </c>
      <c r="AB89" s="36">
        <f t="shared" si="67"/>
        <v>55.5</v>
      </c>
      <c r="AC89" s="322">
        <f t="shared" si="67"/>
        <v>56</v>
      </c>
      <c r="AD89" s="319">
        <f>AD48+AD15</f>
        <v>42.096666666666664</v>
      </c>
      <c r="AE89" s="258">
        <f t="shared" ref="AE89:AF89" si="68">AE48+AE15</f>
        <v>47.333333333333329</v>
      </c>
      <c r="AF89" s="258">
        <f t="shared" si="68"/>
        <v>49.449999999999996</v>
      </c>
      <c r="AG89" s="258">
        <f>AG48+AG15</f>
        <v>54.56666666666667</v>
      </c>
      <c r="AH89" s="334">
        <f t="shared" si="62"/>
        <v>48.361666666666657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18.5">
      <c r="A90" s="333" t="s">
        <v>51</v>
      </c>
      <c r="B90" s="129" t="s">
        <v>51</v>
      </c>
      <c r="C90" s="129" t="s">
        <v>51</v>
      </c>
      <c r="D90" s="130"/>
      <c r="E90" s="130"/>
      <c r="F90" s="36"/>
      <c r="G90" s="36">
        <v>65.069999999999993</v>
      </c>
      <c r="H90" s="36">
        <v>57.116315789473688</v>
      </c>
      <c r="I90" s="36">
        <v>59.478000000000009</v>
      </c>
      <c r="J90" s="36" t="e">
        <f>J60+J14</f>
        <v>#DIV/0!</v>
      </c>
      <c r="K90" s="36">
        <f>K60+K14</f>
        <v>61.65</v>
      </c>
      <c r="L90" s="36">
        <f>L60+L14</f>
        <v>60.6</v>
      </c>
      <c r="M90" s="36">
        <f>M60+M14</f>
        <v>61.704999999999998</v>
      </c>
      <c r="N90" s="36">
        <f>N61+N14</f>
        <v>60.28</v>
      </c>
      <c r="O90" s="36">
        <f>O61+O15</f>
        <v>14.15</v>
      </c>
      <c r="P90" s="36">
        <f>P61+P15</f>
        <v>36.15</v>
      </c>
      <c r="Q90" s="36">
        <f t="shared" ref="Q90:AC90" si="69">Q61+Q15</f>
        <v>38.54</v>
      </c>
      <c r="R90" s="36">
        <f t="shared" si="69"/>
        <v>45.517727272727271</v>
      </c>
      <c r="S90" s="36">
        <f t="shared" si="69"/>
        <v>46.7</v>
      </c>
      <c r="T90" s="36"/>
      <c r="U90" s="36"/>
      <c r="V90" s="36">
        <f t="shared" si="69"/>
        <v>46.6</v>
      </c>
      <c r="W90" s="36">
        <f t="shared" si="69"/>
        <v>46.25</v>
      </c>
      <c r="X90" s="36">
        <f t="shared" si="69"/>
        <v>48</v>
      </c>
      <c r="Y90" s="36">
        <f t="shared" si="69"/>
        <v>48.2</v>
      </c>
      <c r="Z90" s="36">
        <f t="shared" si="69"/>
        <v>49.2</v>
      </c>
      <c r="AA90" s="36">
        <f t="shared" si="69"/>
        <v>51.2</v>
      </c>
      <c r="AB90" s="36">
        <f t="shared" si="69"/>
        <v>54</v>
      </c>
      <c r="AC90" s="322">
        <f t="shared" si="69"/>
        <v>54.5</v>
      </c>
      <c r="AD90" s="319">
        <f>AD61+AD15</f>
        <v>40.069242424242418</v>
      </c>
      <c r="AE90" s="258">
        <f t="shared" ref="AE90:AF90" si="70">AE61+AE15</f>
        <v>46.516666666666666</v>
      </c>
      <c r="AF90" s="258">
        <f t="shared" si="70"/>
        <v>48.466666666666661</v>
      </c>
      <c r="AG90" s="258">
        <f>AG61+AG15</f>
        <v>53.233333333333334</v>
      </c>
      <c r="AH90" s="334">
        <f t="shared" si="62"/>
        <v>47.071477272727272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8.5">
      <c r="A91" s="333" t="s">
        <v>52</v>
      </c>
      <c r="B91" s="129" t="s">
        <v>52</v>
      </c>
      <c r="C91" s="129" t="s">
        <v>52</v>
      </c>
      <c r="D91" s="130"/>
      <c r="E91" s="130"/>
      <c r="F91" s="134"/>
      <c r="G91" s="134">
        <v>48.747959921259849</v>
      </c>
      <c r="H91" s="134">
        <v>38.740489017820138</v>
      </c>
      <c r="I91" s="134">
        <v>37.475669291338583</v>
      </c>
      <c r="J91" s="134" t="e">
        <f>(J71+J14)*6.35</f>
        <v>#DIV/0!</v>
      </c>
      <c r="K91" s="134">
        <f>(K71+K14)*6.35</f>
        <v>254.92074999999997</v>
      </c>
      <c r="L91" s="134">
        <f>(L71+L14)*6.35</f>
        <v>245.71324999999999</v>
      </c>
      <c r="M91" s="134">
        <f>(M71+M14)*6.35</f>
        <v>255.93674999999999</v>
      </c>
      <c r="N91" s="134">
        <f>(N72+N14)*6.35</f>
        <v>249.76137499999996</v>
      </c>
      <c r="O91" s="134">
        <f>(O72+O15)*6.35</f>
        <v>-42.756666666666668</v>
      </c>
      <c r="P91" s="134">
        <f>(P72+P15)*6.35</f>
        <v>150.36799999999999</v>
      </c>
      <c r="Q91" s="134">
        <f t="shared" ref="Q91:AC91" si="71">(Q72+Q15)*6.35</f>
        <v>154.30499999999998</v>
      </c>
      <c r="R91" s="134">
        <f t="shared" si="71"/>
        <v>176.7890909090909</v>
      </c>
      <c r="S91" s="134">
        <f t="shared" si="71"/>
        <v>182.245</v>
      </c>
      <c r="T91" s="134"/>
      <c r="U91" s="134"/>
      <c r="V91" s="134">
        <f t="shared" si="71"/>
        <v>180.97499999999999</v>
      </c>
      <c r="W91" s="134">
        <f t="shared" si="71"/>
        <v>184.14999999999998</v>
      </c>
      <c r="X91" s="134">
        <f t="shared" si="71"/>
        <v>196.85</v>
      </c>
      <c r="Y91" s="134">
        <f t="shared" si="71"/>
        <v>195.57999999999998</v>
      </c>
      <c r="Z91" s="134">
        <f t="shared" si="71"/>
        <v>203.2</v>
      </c>
      <c r="AA91" s="134">
        <f t="shared" si="71"/>
        <v>209.54999999999998</v>
      </c>
      <c r="AB91" s="134">
        <f t="shared" si="71"/>
        <v>225.42499999999998</v>
      </c>
      <c r="AC91" s="323">
        <f t="shared" si="71"/>
        <v>228.6</v>
      </c>
      <c r="AD91" s="320">
        <f>(AD72+AD15)*6.35</f>
        <v>160.48736363636363</v>
      </c>
      <c r="AE91" s="259">
        <f t="shared" ref="AE91:AF91" si="72">(AE72+AE15)*6.35</f>
        <v>182.45666666666665</v>
      </c>
      <c r="AF91" s="259">
        <f t="shared" si="72"/>
        <v>198.54333333333332</v>
      </c>
      <c r="AG91" s="259">
        <f>(AG72+AG15)*6.35</f>
        <v>221.19166666666666</v>
      </c>
      <c r="AH91" s="334">
        <f t="shared" si="62"/>
        <v>190.66975757575756</v>
      </c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9" thickBot="1">
      <c r="A92" s="335" t="s">
        <v>53</v>
      </c>
      <c r="B92" s="336" t="s">
        <v>53</v>
      </c>
      <c r="C92" s="336" t="s">
        <v>53</v>
      </c>
      <c r="D92" s="337"/>
      <c r="E92" s="337"/>
      <c r="F92" s="338"/>
      <c r="G92" s="338"/>
      <c r="H92" s="338"/>
      <c r="I92" s="338"/>
      <c r="J92" s="338" t="e">
        <f>J82</f>
        <v>#DIV/0!</v>
      </c>
      <c r="K92" s="338">
        <f t="shared" ref="K92:L92" si="73">K82</f>
        <v>1.2</v>
      </c>
      <c r="L92" s="338">
        <f t="shared" si="73"/>
        <v>1.5</v>
      </c>
      <c r="M92" s="338">
        <f>M82</f>
        <v>1.625</v>
      </c>
      <c r="N92" s="338">
        <f>N83+N15</f>
        <v>47.85</v>
      </c>
      <c r="O92" s="338">
        <f>O83+O15</f>
        <v>2.0666666666666669</v>
      </c>
      <c r="P92" s="338">
        <f>P83+P15</f>
        <v>30.31</v>
      </c>
      <c r="Q92" s="338">
        <f t="shared" ref="Q92:AB92" si="74">Q83+Q15</f>
        <v>32.56</v>
      </c>
      <c r="R92" s="338">
        <f t="shared" si="74"/>
        <v>38.491590909090903</v>
      </c>
      <c r="S92" s="338">
        <f t="shared" si="74"/>
        <v>39</v>
      </c>
      <c r="T92" s="338"/>
      <c r="U92" s="338"/>
      <c r="V92" s="338">
        <f t="shared" si="74"/>
        <v>39.1</v>
      </c>
      <c r="W92" s="338">
        <f t="shared" si="74"/>
        <v>39.200000000000003</v>
      </c>
      <c r="X92" s="338">
        <f t="shared" si="74"/>
        <v>40.75</v>
      </c>
      <c r="Y92" s="338">
        <f t="shared" si="74"/>
        <v>41</v>
      </c>
      <c r="Z92" s="338">
        <f t="shared" si="74"/>
        <v>42</v>
      </c>
      <c r="AA92" s="338">
        <f t="shared" si="74"/>
        <v>43</v>
      </c>
      <c r="AB92" s="338">
        <f t="shared" si="74"/>
        <v>45</v>
      </c>
      <c r="AC92" s="339">
        <f>AC83+AC15</f>
        <v>45.5</v>
      </c>
      <c r="AD92" s="340">
        <f>AD83+AD15</f>
        <v>33.787196969696964</v>
      </c>
      <c r="AE92" s="341">
        <f t="shared" ref="AE92" si="75">AE83+AE15</f>
        <v>39.1</v>
      </c>
      <c r="AF92" s="341">
        <f>AF83+AF15</f>
        <v>41.25</v>
      </c>
      <c r="AG92" s="341">
        <f>AG83+AG15</f>
        <v>44.5</v>
      </c>
      <c r="AH92" s="342">
        <f t="shared" si="62"/>
        <v>39.659299242424247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t="21.5" thickBot="1">
      <c r="A93" s="199"/>
      <c r="F93" s="135"/>
      <c r="G93" s="135"/>
      <c r="H93" s="135"/>
      <c r="I93" s="135"/>
      <c r="K93" s="135"/>
      <c r="L93" s="135"/>
      <c r="M93" s="135"/>
      <c r="N93" s="135"/>
      <c r="O93" s="135"/>
      <c r="P93" s="135"/>
      <c r="Q93" s="135"/>
      <c r="R93" s="137"/>
      <c r="S93" s="137"/>
      <c r="T93" s="136"/>
      <c r="U93" s="136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7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t="18.5">
      <c r="A94" s="332" t="s">
        <v>54</v>
      </c>
      <c r="B94" s="343" t="s">
        <v>54</v>
      </c>
      <c r="C94" s="343" t="s">
        <v>54</v>
      </c>
      <c r="D94" s="344"/>
      <c r="E94" s="344"/>
      <c r="F94" s="329" t="s">
        <v>4</v>
      </c>
      <c r="G94" s="329" t="s">
        <v>5</v>
      </c>
      <c r="H94" s="329" t="s">
        <v>6</v>
      </c>
      <c r="I94" s="329" t="s">
        <v>7</v>
      </c>
      <c r="J94" s="328" t="s">
        <v>2</v>
      </c>
      <c r="K94" s="329" t="s">
        <v>9</v>
      </c>
      <c r="L94" s="329" t="s">
        <v>9</v>
      </c>
      <c r="M94" s="329" t="s">
        <v>9</v>
      </c>
      <c r="N94" s="329" t="s">
        <v>12</v>
      </c>
      <c r="O94" s="329" t="s">
        <v>13</v>
      </c>
      <c r="P94" s="329" t="s">
        <v>14</v>
      </c>
      <c r="Q94" s="329" t="s">
        <v>15</v>
      </c>
      <c r="R94" s="329" t="s">
        <v>16</v>
      </c>
      <c r="S94" s="329" t="s">
        <v>64</v>
      </c>
      <c r="T94" s="330"/>
      <c r="U94" s="330"/>
      <c r="V94" s="329" t="s">
        <v>65</v>
      </c>
      <c r="W94" s="329" t="s">
        <v>66</v>
      </c>
      <c r="X94" s="329" t="s">
        <v>67</v>
      </c>
      <c r="Y94" s="329" t="s">
        <v>68</v>
      </c>
      <c r="Z94" s="329" t="s">
        <v>69</v>
      </c>
      <c r="AA94" s="329" t="s">
        <v>70</v>
      </c>
      <c r="AB94" s="329" t="s">
        <v>77</v>
      </c>
      <c r="AC94" s="331" t="s">
        <v>78</v>
      </c>
      <c r="AD94" s="332" t="s">
        <v>79</v>
      </c>
      <c r="AE94" s="329" t="s">
        <v>80</v>
      </c>
      <c r="AF94" s="329" t="s">
        <v>81</v>
      </c>
      <c r="AG94" s="329" t="s">
        <v>82</v>
      </c>
      <c r="AH94" s="331">
        <v>2016</v>
      </c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t="18.5">
      <c r="A95" s="345" t="s">
        <v>56</v>
      </c>
      <c r="B95" s="138" t="s">
        <v>56</v>
      </c>
      <c r="C95" s="138" t="s">
        <v>56</v>
      </c>
      <c r="D95" s="142"/>
      <c r="E95" s="142"/>
      <c r="F95" s="143">
        <f t="shared" ref="F95" si="76">F86</f>
        <v>0</v>
      </c>
      <c r="G95" s="143">
        <f>G86</f>
        <v>56.18</v>
      </c>
      <c r="H95" s="143">
        <f t="shared" ref="H95" si="77">H86</f>
        <v>47.690789473684205</v>
      </c>
      <c r="I95" s="143">
        <f>I86</f>
        <v>45.375000000000007</v>
      </c>
      <c r="J95" s="143" t="e">
        <f>J86</f>
        <v>#DIV/0!</v>
      </c>
      <c r="K95" s="143">
        <f t="shared" ref="K95:L95" si="78">K86</f>
        <v>48.3</v>
      </c>
      <c r="L95" s="143">
        <f t="shared" si="78"/>
        <v>46.85</v>
      </c>
      <c r="M95" s="143">
        <f>M86</f>
        <v>48.634999999999998</v>
      </c>
      <c r="N95" s="143">
        <f>N86</f>
        <v>46.25</v>
      </c>
      <c r="O95" s="143">
        <f>O86</f>
        <v>0</v>
      </c>
      <c r="P95" s="143">
        <f>P86</f>
        <v>26.81</v>
      </c>
      <c r="Q95" s="143">
        <f>Q86</f>
        <v>29.38</v>
      </c>
      <c r="R95" s="143">
        <f t="shared" ref="R95:AG95" si="79">R86</f>
        <v>35.141818181818174</v>
      </c>
      <c r="S95" s="143">
        <f t="shared" si="79"/>
        <v>35.700000000000003</v>
      </c>
      <c r="T95" s="144"/>
      <c r="U95" s="144"/>
      <c r="V95" s="143">
        <f t="shared" si="79"/>
        <v>36</v>
      </c>
      <c r="W95" s="143">
        <f t="shared" si="79"/>
        <v>36</v>
      </c>
      <c r="X95" s="143">
        <f t="shared" si="79"/>
        <v>37.5</v>
      </c>
      <c r="Y95" s="143">
        <f t="shared" si="79"/>
        <v>38</v>
      </c>
      <c r="Z95" s="143">
        <f t="shared" si="79"/>
        <v>39</v>
      </c>
      <c r="AA95" s="143">
        <f t="shared" si="79"/>
        <v>40</v>
      </c>
      <c r="AB95" s="143">
        <f t="shared" si="79"/>
        <v>42</v>
      </c>
      <c r="AC95" s="353">
        <f t="shared" si="79"/>
        <v>42.5</v>
      </c>
      <c r="AD95" s="321">
        <f t="shared" si="79"/>
        <v>30.443939393939388</v>
      </c>
      <c r="AE95" s="260">
        <f t="shared" si="79"/>
        <v>35.9</v>
      </c>
      <c r="AF95" s="260">
        <f t="shared" si="79"/>
        <v>38.166666666666664</v>
      </c>
      <c r="AG95" s="260">
        <f t="shared" si="79"/>
        <v>41.5</v>
      </c>
      <c r="AH95" s="334">
        <f t="shared" ref="AH95:AH101" si="80">AVERAGE(P95:AC95)</f>
        <v>36.502651515151513</v>
      </c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t="18.5">
      <c r="A96" s="345" t="s">
        <v>57</v>
      </c>
      <c r="B96" s="138" t="s">
        <v>57</v>
      </c>
      <c r="C96" s="138" t="s">
        <v>57</v>
      </c>
      <c r="D96" s="142"/>
      <c r="E96" s="142"/>
      <c r="F96" s="143">
        <f t="shared" ref="F96" si="81">F87-F86</f>
        <v>0</v>
      </c>
      <c r="G96" s="143">
        <f>G87-G86</f>
        <v>-3.0341000000000022</v>
      </c>
      <c r="H96" s="143">
        <f t="shared" ref="H96" si="82">H87-H86</f>
        <v>-1.9265789473684194</v>
      </c>
      <c r="I96" s="143">
        <f>I87-I86</f>
        <v>1.4299999999999855</v>
      </c>
      <c r="J96" s="143" t="e">
        <f>J87-J86</f>
        <v>#DIV/0!</v>
      </c>
      <c r="K96" s="143" t="e">
        <f t="shared" ref="K96:L96" si="83">K87-K86</f>
        <v>#REF!</v>
      </c>
      <c r="L96" s="143" t="e">
        <f t="shared" si="83"/>
        <v>#REF!</v>
      </c>
      <c r="M96" s="143">
        <f>M87-M86</f>
        <v>1.4249999999999972</v>
      </c>
      <c r="N96" s="143">
        <f>N87-N86</f>
        <v>3.875</v>
      </c>
      <c r="O96" s="143">
        <f>O87-O86</f>
        <v>6</v>
      </c>
      <c r="P96" s="143">
        <f>P87-P86</f>
        <v>9.7899999999999956</v>
      </c>
      <c r="Q96" s="143">
        <f>Q87-Q86</f>
        <v>4.5627777777777787</v>
      </c>
      <c r="R96" s="143">
        <f t="shared" ref="R96:AG96" si="84">R87-R86</f>
        <v>3.8622727272727388</v>
      </c>
      <c r="S96" s="143">
        <f t="shared" si="84"/>
        <v>4</v>
      </c>
      <c r="T96" s="144"/>
      <c r="U96" s="144"/>
      <c r="V96" s="143">
        <f t="shared" si="84"/>
        <v>4.5</v>
      </c>
      <c r="W96" s="143">
        <f t="shared" si="84"/>
        <v>5</v>
      </c>
      <c r="X96" s="143">
        <f t="shared" si="84"/>
        <v>4</v>
      </c>
      <c r="Y96" s="143">
        <f t="shared" si="84"/>
        <v>3.5</v>
      </c>
      <c r="Z96" s="143">
        <f t="shared" si="84"/>
        <v>3</v>
      </c>
      <c r="AA96" s="143">
        <f t="shared" si="84"/>
        <v>3</v>
      </c>
      <c r="AB96" s="143">
        <f t="shared" si="84"/>
        <v>3.2000000000000028</v>
      </c>
      <c r="AC96" s="353">
        <f t="shared" si="84"/>
        <v>3.2000000000000028</v>
      </c>
      <c r="AD96" s="321">
        <f t="shared" si="84"/>
        <v>6.0716835016835091</v>
      </c>
      <c r="AE96" s="260">
        <f t="shared" si="84"/>
        <v>4.5</v>
      </c>
      <c r="AF96" s="260">
        <f t="shared" si="84"/>
        <v>3.5</v>
      </c>
      <c r="AG96" s="260">
        <f t="shared" si="84"/>
        <v>3.1333333333333329</v>
      </c>
      <c r="AH96" s="334">
        <f t="shared" si="80"/>
        <v>4.3012542087542096</v>
      </c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t="18.5">
      <c r="A97" s="345" t="s">
        <v>58</v>
      </c>
      <c r="B97" s="138" t="s">
        <v>58</v>
      </c>
      <c r="C97" s="138" t="s">
        <v>58</v>
      </c>
      <c r="D97" s="142"/>
      <c r="E97" s="142"/>
      <c r="F97" s="143">
        <f t="shared" ref="F97" si="85">F88-F86</f>
        <v>0</v>
      </c>
      <c r="G97" s="143">
        <f>G88-G86</f>
        <v>19.766299999999994</v>
      </c>
      <c r="H97" s="143">
        <f t="shared" ref="H97" si="86">H88-H86</f>
        <v>18.313947368421083</v>
      </c>
      <c r="I97" s="143">
        <f>I88-I86</f>
        <v>19.860999999999997</v>
      </c>
      <c r="J97" s="143" t="e">
        <f>J88-J86</f>
        <v>#DIV/0!</v>
      </c>
      <c r="K97" s="143">
        <f t="shared" ref="K97:M97" si="87">K88-K86</f>
        <v>16.482500000000002</v>
      </c>
      <c r="L97" s="143">
        <f t="shared" si="87"/>
        <v>17.249999999999993</v>
      </c>
      <c r="M97" s="143">
        <f t="shared" si="87"/>
        <v>16.372499999999995</v>
      </c>
      <c r="N97" s="143">
        <f>N88-N86</f>
        <v>15.8125</v>
      </c>
      <c r="O97" s="143">
        <f>O88-O86</f>
        <v>17.5</v>
      </c>
      <c r="P97" s="143">
        <f>P88-P86</f>
        <v>23.610000000000003</v>
      </c>
      <c r="Q97" s="143">
        <f t="shared" ref="Q97" si="88">Q88-Q86</f>
        <v>15.2</v>
      </c>
      <c r="R97" s="143">
        <f>R88-R86</f>
        <v>17.63000000000001</v>
      </c>
      <c r="S97" s="143">
        <f t="shared" ref="S97:AG97" si="89">S88-S86</f>
        <v>19</v>
      </c>
      <c r="T97" s="144"/>
      <c r="U97" s="144"/>
      <c r="V97" s="143">
        <f t="shared" si="89"/>
        <v>19.700000000000003</v>
      </c>
      <c r="W97" s="143">
        <f t="shared" si="89"/>
        <v>20.5</v>
      </c>
      <c r="X97" s="143">
        <f t="shared" si="89"/>
        <v>20</v>
      </c>
      <c r="Y97" s="143">
        <f t="shared" si="89"/>
        <v>19</v>
      </c>
      <c r="Z97" s="143">
        <f t="shared" si="89"/>
        <v>17.5</v>
      </c>
      <c r="AA97" s="143">
        <f t="shared" si="89"/>
        <v>16.5</v>
      </c>
      <c r="AB97" s="143">
        <f t="shared" si="89"/>
        <v>15</v>
      </c>
      <c r="AC97" s="353">
        <f t="shared" si="89"/>
        <v>14.5</v>
      </c>
      <c r="AD97" s="321">
        <f t="shared" si="89"/>
        <v>18.813333333333333</v>
      </c>
      <c r="AE97" s="260">
        <f t="shared" si="89"/>
        <v>19.733333333333334</v>
      </c>
      <c r="AF97" s="260">
        <f t="shared" si="89"/>
        <v>18.833333333333336</v>
      </c>
      <c r="AG97" s="260">
        <f t="shared" si="89"/>
        <v>15.333333333333336</v>
      </c>
      <c r="AH97" s="334">
        <f t="shared" si="80"/>
        <v>18.178333333333335</v>
      </c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t="18.5">
      <c r="A98" s="345" t="s">
        <v>59</v>
      </c>
      <c r="B98" s="138" t="s">
        <v>59</v>
      </c>
      <c r="C98" s="138" t="s">
        <v>59</v>
      </c>
      <c r="D98" s="142"/>
      <c r="E98" s="142"/>
      <c r="F98" s="143">
        <f t="shared" ref="F98" si="90">F89-F86</f>
        <v>0</v>
      </c>
      <c r="G98" s="143">
        <f>G89-G86</f>
        <v>9.6289999999999978</v>
      </c>
      <c r="H98" s="143">
        <f t="shared" ref="H98" si="91">H89-H86</f>
        <v>9.384999999999998</v>
      </c>
      <c r="I98" s="143">
        <f>I89-I86</f>
        <v>13.61849999999999</v>
      </c>
      <c r="J98" s="143" t="e">
        <f>J89-J86</f>
        <v>#DIV/0!</v>
      </c>
      <c r="K98" s="143">
        <f t="shared" ref="K98:M98" si="92">K89-K86</f>
        <v>13.11</v>
      </c>
      <c r="L98" s="143">
        <f t="shared" si="92"/>
        <v>13.435000000000002</v>
      </c>
      <c r="M98" s="143">
        <f t="shared" si="92"/>
        <v>13.344999999999999</v>
      </c>
      <c r="N98" s="143">
        <f>N89-N86</f>
        <v>14.229999999999997</v>
      </c>
      <c r="O98" s="143">
        <f>O89-O86</f>
        <v>15.6</v>
      </c>
      <c r="P98" s="143">
        <f>P89-P86</f>
        <v>11.099999999999998</v>
      </c>
      <c r="Q98" s="143">
        <f>Q89-Q86</f>
        <v>11.620000000000001</v>
      </c>
      <c r="R98" s="143">
        <f t="shared" ref="R98:AG98" si="93">R89-R86</f>
        <v>12.238181818181829</v>
      </c>
      <c r="S98" s="143">
        <f t="shared" si="93"/>
        <v>11.600000000000001</v>
      </c>
      <c r="T98" s="144"/>
      <c r="U98" s="144"/>
      <c r="V98" s="143">
        <f t="shared" si="93"/>
        <v>11.399999999999999</v>
      </c>
      <c r="W98" s="143">
        <f t="shared" si="93"/>
        <v>11.299999999999997</v>
      </c>
      <c r="X98" s="143">
        <f t="shared" si="93"/>
        <v>11.649999999999999</v>
      </c>
      <c r="Y98" s="143">
        <f t="shared" si="93"/>
        <v>11</v>
      </c>
      <c r="Z98" s="143">
        <f t="shared" si="93"/>
        <v>11.200000000000003</v>
      </c>
      <c r="AA98" s="143">
        <f t="shared" si="93"/>
        <v>12.200000000000003</v>
      </c>
      <c r="AB98" s="143">
        <f t="shared" si="93"/>
        <v>13.5</v>
      </c>
      <c r="AC98" s="353">
        <f t="shared" si="93"/>
        <v>13.5</v>
      </c>
      <c r="AD98" s="321">
        <f t="shared" si="93"/>
        <v>11.652727272727276</v>
      </c>
      <c r="AE98" s="260">
        <f t="shared" si="93"/>
        <v>11.43333333333333</v>
      </c>
      <c r="AF98" s="260">
        <f t="shared" si="93"/>
        <v>11.283333333333331</v>
      </c>
      <c r="AG98" s="260">
        <f t="shared" si="93"/>
        <v>13.06666666666667</v>
      </c>
      <c r="AH98" s="334">
        <f t="shared" si="80"/>
        <v>11.859015151515152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t="18.5">
      <c r="A99" s="345" t="s">
        <v>60</v>
      </c>
      <c r="B99" s="138" t="s">
        <v>60</v>
      </c>
      <c r="C99" s="138" t="s">
        <v>60</v>
      </c>
      <c r="D99" s="142"/>
      <c r="E99" s="142"/>
      <c r="F99" s="143">
        <f t="shared" ref="F99" si="94">F90-F86</f>
        <v>0</v>
      </c>
      <c r="G99" s="143">
        <f>G90-G86</f>
        <v>8.8899999999999935</v>
      </c>
      <c r="H99" s="143">
        <f t="shared" ref="H99" si="95">H90-H86</f>
        <v>9.4255263157894831</v>
      </c>
      <c r="I99" s="143">
        <f>I90-I86</f>
        <v>14.103000000000002</v>
      </c>
      <c r="J99" s="143" t="e">
        <f>J90-J86</f>
        <v>#DIV/0!</v>
      </c>
      <c r="K99" s="143">
        <f t="shared" ref="K99:M99" si="96">K90-K86</f>
        <v>13.350000000000001</v>
      </c>
      <c r="L99" s="143">
        <f t="shared" si="96"/>
        <v>13.75</v>
      </c>
      <c r="M99" s="143">
        <f t="shared" si="96"/>
        <v>13.07</v>
      </c>
      <c r="N99" s="143">
        <f>N90-N86</f>
        <v>14.030000000000001</v>
      </c>
      <c r="O99" s="143">
        <f>O90-O86</f>
        <v>14.15</v>
      </c>
      <c r="P99" s="143">
        <f>P90-P86</f>
        <v>9.34</v>
      </c>
      <c r="Q99" s="143">
        <f>Q90-Q86</f>
        <v>9.16</v>
      </c>
      <c r="R99" s="143">
        <f t="shared" ref="R99:AG99" si="97">R90-R86</f>
        <v>10.375909090909097</v>
      </c>
      <c r="S99" s="143">
        <f t="shared" si="97"/>
        <v>11</v>
      </c>
      <c r="T99" s="144"/>
      <c r="U99" s="144"/>
      <c r="V99" s="143">
        <f t="shared" si="97"/>
        <v>10.600000000000001</v>
      </c>
      <c r="W99" s="143">
        <f t="shared" si="97"/>
        <v>10.25</v>
      </c>
      <c r="X99" s="143">
        <f t="shared" si="97"/>
        <v>10.5</v>
      </c>
      <c r="Y99" s="143">
        <f t="shared" si="97"/>
        <v>10.200000000000003</v>
      </c>
      <c r="Z99" s="143">
        <f t="shared" si="97"/>
        <v>10.200000000000003</v>
      </c>
      <c r="AA99" s="143">
        <f t="shared" si="97"/>
        <v>11.200000000000003</v>
      </c>
      <c r="AB99" s="143">
        <f t="shared" si="97"/>
        <v>12</v>
      </c>
      <c r="AC99" s="353">
        <f t="shared" si="97"/>
        <v>12</v>
      </c>
      <c r="AD99" s="321">
        <f t="shared" si="97"/>
        <v>9.62530303030303</v>
      </c>
      <c r="AE99" s="260">
        <f t="shared" si="97"/>
        <v>10.616666666666667</v>
      </c>
      <c r="AF99" s="260">
        <f t="shared" si="97"/>
        <v>10.299999999999997</v>
      </c>
      <c r="AG99" s="260">
        <f t="shared" si="97"/>
        <v>11.733333333333334</v>
      </c>
      <c r="AH99" s="334">
        <f t="shared" si="80"/>
        <v>10.568825757575759</v>
      </c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t="18.5">
      <c r="A100" s="345" t="s">
        <v>61</v>
      </c>
      <c r="B100" s="138" t="s">
        <v>61</v>
      </c>
      <c r="C100" s="138" t="s">
        <v>61</v>
      </c>
      <c r="D100" s="142"/>
      <c r="E100" s="142"/>
      <c r="F100" s="143">
        <f>F71</f>
        <v>0</v>
      </c>
      <c r="G100" s="143">
        <f>G91-G86</f>
        <v>-7.432040078740151</v>
      </c>
      <c r="H100" s="143">
        <f t="shared" ref="H100:I100" si="98">H91-H86</f>
        <v>-8.9503004558640669</v>
      </c>
      <c r="I100" s="143">
        <f t="shared" si="98"/>
        <v>-7.8993307086614237</v>
      </c>
      <c r="J100" s="143">
        <f t="shared" ref="J100" si="99">J71</f>
        <v>0</v>
      </c>
      <c r="K100" s="143">
        <f>K71</f>
        <v>-8.1550000000000011</v>
      </c>
      <c r="L100" s="143">
        <f>L71</f>
        <v>-8.1550000000000011</v>
      </c>
      <c r="M100" s="143">
        <f>M71</f>
        <v>-8.33</v>
      </c>
      <c r="N100" s="143">
        <f>N71</f>
        <v>-6.9175000000000004</v>
      </c>
      <c r="O100" s="143">
        <f>O72</f>
        <v>-6.7333333333333334</v>
      </c>
      <c r="P100" s="143">
        <f>P72</f>
        <v>-3.13</v>
      </c>
      <c r="Q100" s="143">
        <f t="shared" ref="Q100:AC100" si="100">Q72</f>
        <v>-5.08</v>
      </c>
      <c r="R100" s="143">
        <f t="shared" si="100"/>
        <v>-7.3010164638511021</v>
      </c>
      <c r="S100" s="143">
        <f t="shared" si="100"/>
        <v>-7</v>
      </c>
      <c r="T100" s="143"/>
      <c r="U100" s="143"/>
      <c r="V100" s="143">
        <f t="shared" si="100"/>
        <v>-7.5</v>
      </c>
      <c r="W100" s="143">
        <f t="shared" si="100"/>
        <v>-7</v>
      </c>
      <c r="X100" s="143">
        <f t="shared" si="100"/>
        <v>-6.5</v>
      </c>
      <c r="Y100" s="143">
        <f t="shared" si="100"/>
        <v>-7.2</v>
      </c>
      <c r="Z100" s="143">
        <f t="shared" si="100"/>
        <v>-7</v>
      </c>
      <c r="AA100" s="143">
        <f t="shared" si="100"/>
        <v>-7</v>
      </c>
      <c r="AB100" s="143">
        <f t="shared" si="100"/>
        <v>-6.5</v>
      </c>
      <c r="AC100" s="143">
        <f t="shared" si="100"/>
        <v>-6.5</v>
      </c>
      <c r="AD100" s="321">
        <f t="shared" ref="AD100:AG100" si="101">AD71</f>
        <v>-5.1703388212837007</v>
      </c>
      <c r="AE100" s="260">
        <f t="shared" si="101"/>
        <v>-6.7208333333333332</v>
      </c>
      <c r="AF100" s="260">
        <f t="shared" si="101"/>
        <v>-7.083333333333333</v>
      </c>
      <c r="AG100" s="358">
        <f t="shared" si="101"/>
        <v>-7.1083333333333334</v>
      </c>
      <c r="AH100" s="359">
        <f t="shared" si="80"/>
        <v>-6.4759180386542594</v>
      </c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t="36.75" customHeight="1" thickBot="1">
      <c r="A101" s="346" t="s">
        <v>62</v>
      </c>
      <c r="B101" s="347" t="s">
        <v>62</v>
      </c>
      <c r="C101" s="347" t="s">
        <v>62</v>
      </c>
      <c r="D101" s="348"/>
      <c r="E101" s="348"/>
      <c r="F101" s="349">
        <f t="shared" ref="F101" si="102">F82</f>
        <v>0</v>
      </c>
      <c r="G101" s="349">
        <f>G82</f>
        <v>0</v>
      </c>
      <c r="H101" s="349">
        <f t="shared" ref="H101" si="103">H82</f>
        <v>0</v>
      </c>
      <c r="I101" s="349">
        <f>I82</f>
        <v>0</v>
      </c>
      <c r="J101" s="349" t="e">
        <f>J82</f>
        <v>#DIV/0!</v>
      </c>
      <c r="K101" s="349">
        <f t="shared" ref="K101:M101" si="104">K82</f>
        <v>1.2</v>
      </c>
      <c r="L101" s="349">
        <f t="shared" si="104"/>
        <v>1.5</v>
      </c>
      <c r="M101" s="349">
        <f t="shared" si="104"/>
        <v>1.625</v>
      </c>
      <c r="N101" s="349">
        <f>N92-N86</f>
        <v>1.6000000000000014</v>
      </c>
      <c r="O101" s="349">
        <f>O92-O86</f>
        <v>2.0666666666666669</v>
      </c>
      <c r="P101" s="349">
        <f>P92-P86</f>
        <v>3.5</v>
      </c>
      <c r="Q101" s="349">
        <f>Q92-Q86</f>
        <v>3.1800000000000033</v>
      </c>
      <c r="R101" s="349">
        <f t="shared" ref="R101:AG101" si="105">R92-R86</f>
        <v>3.3497727272727289</v>
      </c>
      <c r="S101" s="349">
        <f t="shared" si="105"/>
        <v>3.2999999999999972</v>
      </c>
      <c r="T101" s="350"/>
      <c r="U101" s="350"/>
      <c r="V101" s="349">
        <f t="shared" si="105"/>
        <v>3.1000000000000014</v>
      </c>
      <c r="W101" s="349">
        <f t="shared" si="105"/>
        <v>3.2000000000000028</v>
      </c>
      <c r="X101" s="349">
        <f t="shared" si="105"/>
        <v>3.25</v>
      </c>
      <c r="Y101" s="349">
        <f t="shared" si="105"/>
        <v>3</v>
      </c>
      <c r="Z101" s="349">
        <f t="shared" si="105"/>
        <v>3</v>
      </c>
      <c r="AA101" s="349">
        <f t="shared" si="105"/>
        <v>3</v>
      </c>
      <c r="AB101" s="349">
        <f t="shared" si="105"/>
        <v>3</v>
      </c>
      <c r="AC101" s="354">
        <f t="shared" si="105"/>
        <v>3</v>
      </c>
      <c r="AD101" s="351">
        <f>AD92-AD86</f>
        <v>3.3432575757575762</v>
      </c>
      <c r="AE101" s="352">
        <f>AE92-AE86</f>
        <v>3.2000000000000028</v>
      </c>
      <c r="AF101" s="352">
        <f>AF92-AF86</f>
        <v>3.0833333333333357</v>
      </c>
      <c r="AG101" s="352">
        <f t="shared" si="105"/>
        <v>3</v>
      </c>
      <c r="AH101" s="342">
        <f t="shared" si="80"/>
        <v>3.1566477272727282</v>
      </c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65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9"/>
      <c r="S102" s="279"/>
      <c r="T102" s="280"/>
      <c r="U102" s="280"/>
      <c r="V102" s="279"/>
      <c r="W102" s="279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 hidden="1">
      <c r="A103" s="265"/>
      <c r="B103" s="281"/>
      <c r="C103" s="281"/>
      <c r="D103" s="282"/>
      <c r="E103" s="282"/>
      <c r="F103" s="283" t="s">
        <v>4</v>
      </c>
      <c r="G103" s="283" t="s">
        <v>5</v>
      </c>
      <c r="H103" s="283" t="s">
        <v>6</v>
      </c>
      <c r="I103" s="283" t="s">
        <v>7</v>
      </c>
      <c r="J103" s="284"/>
      <c r="K103" s="283" t="s">
        <v>9</v>
      </c>
      <c r="L103" s="283" t="s">
        <v>9</v>
      </c>
      <c r="M103" s="283" t="s">
        <v>70</v>
      </c>
      <c r="N103" s="283" t="s">
        <v>12</v>
      </c>
      <c r="O103" s="283" t="s">
        <v>13</v>
      </c>
      <c r="P103" s="283" t="s">
        <v>13</v>
      </c>
      <c r="Q103" s="283" t="s">
        <v>13</v>
      </c>
      <c r="R103" s="283"/>
      <c r="S103" s="283"/>
      <c r="T103" s="285"/>
      <c r="U103" s="285"/>
      <c r="V103" s="283"/>
      <c r="W103" s="283"/>
      <c r="X103" s="283" t="s">
        <v>17</v>
      </c>
      <c r="Y103" s="286"/>
      <c r="Z103" s="286"/>
      <c r="AA103" s="286"/>
      <c r="AB103" s="286"/>
      <c r="AC103" s="286"/>
      <c r="AD103" s="283" t="s">
        <v>55</v>
      </c>
      <c r="AE103" s="283" t="s">
        <v>55</v>
      </c>
      <c r="AF103" s="283"/>
      <c r="AG103" s="283" t="s">
        <v>55</v>
      </c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 hidden="1">
      <c r="A104" s="265"/>
      <c r="B104" s="287">
        <v>0.03</v>
      </c>
      <c r="C104" s="287">
        <v>0.03</v>
      </c>
      <c r="D104" s="288"/>
      <c r="E104" s="288"/>
      <c r="F104" s="289">
        <f>$B$104*$J$104</f>
        <v>-0.6</v>
      </c>
      <c r="G104" s="289">
        <f>$B$104*$J$104</f>
        <v>-0.6</v>
      </c>
      <c r="H104" s="289">
        <f>$B$104*$J$104</f>
        <v>-0.6</v>
      </c>
      <c r="I104" s="289">
        <f>$B$104*$J$104</f>
        <v>-0.6</v>
      </c>
      <c r="J104" s="290">
        <v>-20</v>
      </c>
      <c r="K104" s="289">
        <f t="shared" ref="K104:P104" si="106">$B$104*$J$104</f>
        <v>-0.6</v>
      </c>
      <c r="L104" s="289">
        <f t="shared" si="106"/>
        <v>-0.6</v>
      </c>
      <c r="M104" s="289">
        <f t="shared" si="106"/>
        <v>-0.6</v>
      </c>
      <c r="N104" s="289">
        <f t="shared" si="106"/>
        <v>-0.6</v>
      </c>
      <c r="O104" s="289">
        <f t="shared" si="106"/>
        <v>-0.6</v>
      </c>
      <c r="P104" s="289">
        <f t="shared" si="106"/>
        <v>-0.6</v>
      </c>
      <c r="Q104" s="289">
        <f>$B$104*$J$104</f>
        <v>-0.6</v>
      </c>
      <c r="R104" s="291"/>
      <c r="S104" s="291"/>
      <c r="T104" s="292"/>
      <c r="U104" s="292"/>
      <c r="V104" s="291"/>
      <c r="W104" s="291"/>
      <c r="X104" s="291">
        <v>0.94499999999999995</v>
      </c>
      <c r="Y104" s="291"/>
      <c r="Z104" s="291"/>
      <c r="AA104" s="291"/>
      <c r="AB104" s="291"/>
      <c r="AC104" s="291"/>
      <c r="AD104" s="289">
        <f>$B$104*$J$104</f>
        <v>-0.6</v>
      </c>
      <c r="AE104" s="289">
        <f>$B$104*$J$104</f>
        <v>-0.6</v>
      </c>
      <c r="AF104" s="289"/>
      <c r="AG104" s="289">
        <f>$B$104*$J$104</f>
        <v>-0.6</v>
      </c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 hidden="1">
      <c r="A105" s="265"/>
      <c r="B105" s="287">
        <v>0.03</v>
      </c>
      <c r="C105" s="287">
        <v>0.03</v>
      </c>
      <c r="D105" s="288"/>
      <c r="E105" s="288"/>
      <c r="F105" s="289">
        <f t="shared" ref="F105:I108" si="107">$B105*(F87-F$86-1.7)</f>
        <v>-5.0999999999999997E-2</v>
      </c>
      <c r="G105" s="289">
        <f t="shared" si="107"/>
        <v>-0.14202300000000007</v>
      </c>
      <c r="H105" s="289">
        <f t="shared" si="107"/>
        <v>-0.10879736842105259</v>
      </c>
      <c r="I105" s="289">
        <f t="shared" si="107"/>
        <v>-8.1000000000004332E-3</v>
      </c>
      <c r="J105" s="290"/>
      <c r="K105" s="289" t="e">
        <f t="shared" ref="K105:P108" si="108">$B105*(K87-K$86-1.7)</f>
        <v>#REF!</v>
      </c>
      <c r="L105" s="289" t="e">
        <f t="shared" si="108"/>
        <v>#REF!</v>
      </c>
      <c r="M105" s="289">
        <f t="shared" si="108"/>
        <v>-8.2500000000000837E-3</v>
      </c>
      <c r="N105" s="289">
        <f t="shared" si="108"/>
        <v>6.5249999999999989E-2</v>
      </c>
      <c r="O105" s="289">
        <f t="shared" si="108"/>
        <v>0.129</v>
      </c>
      <c r="P105" s="289">
        <f t="shared" si="108"/>
        <v>0.24269999999999989</v>
      </c>
      <c r="Q105" s="289">
        <f>$B105*(Q87-Q$86-1.7)</f>
        <v>8.5883333333333353E-2</v>
      </c>
      <c r="R105" s="291"/>
      <c r="S105" s="291"/>
      <c r="T105" s="292"/>
      <c r="U105" s="292"/>
      <c r="V105" s="291"/>
      <c r="W105" s="291"/>
      <c r="X105" s="291" t="e">
        <v>#REF!</v>
      </c>
      <c r="Y105" s="291"/>
      <c r="Z105" s="291"/>
      <c r="AA105" s="291"/>
      <c r="AB105" s="291"/>
      <c r="AC105" s="291"/>
      <c r="AD105" s="289">
        <f t="shared" ref="AD105:AG108" si="109">$B105*(AD87-AD$86-1.7)</f>
        <v>0.13115050505050527</v>
      </c>
      <c r="AE105" s="289">
        <f t="shared" si="109"/>
        <v>8.3999999999999991E-2</v>
      </c>
      <c r="AF105" s="289"/>
      <c r="AG105" s="289">
        <f t="shared" si="109"/>
        <v>4.2999999999999983E-2</v>
      </c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 hidden="1">
      <c r="A106" s="265"/>
      <c r="B106" s="287">
        <v>0.16</v>
      </c>
      <c r="C106" s="287">
        <v>0.16</v>
      </c>
      <c r="D106" s="288"/>
      <c r="E106" s="288"/>
      <c r="F106" s="289">
        <f t="shared" si="107"/>
        <v>-0.27200000000000002</v>
      </c>
      <c r="G106" s="289">
        <f t="shared" si="107"/>
        <v>2.8906079999999994</v>
      </c>
      <c r="H106" s="289">
        <f t="shared" si="107"/>
        <v>2.6582315789473734</v>
      </c>
      <c r="I106" s="289">
        <f t="shared" si="107"/>
        <v>2.9057599999999999</v>
      </c>
      <c r="J106" s="290"/>
      <c r="K106" s="289">
        <f t="shared" si="108"/>
        <v>2.3652000000000006</v>
      </c>
      <c r="L106" s="289">
        <f t="shared" si="108"/>
        <v>2.4879999999999991</v>
      </c>
      <c r="M106" s="289">
        <f t="shared" si="108"/>
        <v>2.3475999999999995</v>
      </c>
      <c r="N106" s="289">
        <f t="shared" si="108"/>
        <v>2.258</v>
      </c>
      <c r="O106" s="289">
        <f t="shared" si="108"/>
        <v>2.528</v>
      </c>
      <c r="P106" s="289">
        <f t="shared" si="108"/>
        <v>3.5056000000000007</v>
      </c>
      <c r="Q106" s="289">
        <f>$B106*(Q88-Q$86-1.7)</f>
        <v>2.16</v>
      </c>
      <c r="R106" s="291"/>
      <c r="S106" s="291"/>
      <c r="T106" s="292"/>
      <c r="U106" s="292"/>
      <c r="V106" s="291"/>
      <c r="W106" s="291"/>
      <c r="X106" s="291" t="e">
        <v>#REF!</v>
      </c>
      <c r="Y106" s="291"/>
      <c r="Z106" s="291"/>
      <c r="AA106" s="291"/>
      <c r="AB106" s="291"/>
      <c r="AC106" s="291"/>
      <c r="AD106" s="289">
        <f t="shared" si="109"/>
        <v>2.7381333333333333</v>
      </c>
      <c r="AE106" s="289">
        <f t="shared" si="109"/>
        <v>2.8853333333333335</v>
      </c>
      <c r="AF106" s="289"/>
      <c r="AG106" s="289">
        <f t="shared" si="109"/>
        <v>2.1813333333333338</v>
      </c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 hidden="1">
      <c r="A107" s="252"/>
      <c r="B107" s="287">
        <v>0.15</v>
      </c>
      <c r="C107" s="287">
        <v>0.15</v>
      </c>
      <c r="D107" s="288"/>
      <c r="E107" s="288"/>
      <c r="F107" s="289">
        <f t="shared" si="107"/>
        <v>-0.255</v>
      </c>
      <c r="G107" s="289">
        <f t="shared" si="107"/>
        <v>1.1893499999999997</v>
      </c>
      <c r="H107" s="289">
        <f t="shared" si="107"/>
        <v>1.1527499999999997</v>
      </c>
      <c r="I107" s="289">
        <f t="shared" si="107"/>
        <v>1.7877749999999986</v>
      </c>
      <c r="J107" s="290"/>
      <c r="K107" s="289">
        <f t="shared" si="108"/>
        <v>1.7115</v>
      </c>
      <c r="L107" s="289">
        <f t="shared" si="108"/>
        <v>1.7602500000000003</v>
      </c>
      <c r="M107" s="289">
        <f t="shared" si="108"/>
        <v>1.7467499999999998</v>
      </c>
      <c r="N107" s="289">
        <f t="shared" si="108"/>
        <v>1.8794999999999995</v>
      </c>
      <c r="O107" s="289">
        <f t="shared" si="108"/>
        <v>2.085</v>
      </c>
      <c r="P107" s="289">
        <f t="shared" si="108"/>
        <v>1.4099999999999997</v>
      </c>
      <c r="Q107" s="289">
        <f>$B107*(Q89-Q$86-1.7)</f>
        <v>1.4880000000000002</v>
      </c>
      <c r="R107" s="291"/>
      <c r="S107" s="291"/>
      <c r="T107" s="292"/>
      <c r="U107" s="292"/>
      <c r="V107" s="291"/>
      <c r="W107" s="291"/>
      <c r="X107" s="291" t="e">
        <v>#REF!</v>
      </c>
      <c r="Y107" s="291"/>
      <c r="Z107" s="291"/>
      <c r="AA107" s="291"/>
      <c r="AB107" s="291"/>
      <c r="AC107" s="291"/>
      <c r="AD107" s="289">
        <f t="shared" si="109"/>
        <v>1.4929090909090914</v>
      </c>
      <c r="AE107" s="289">
        <f t="shared" si="109"/>
        <v>1.4599999999999995</v>
      </c>
      <c r="AF107" s="289"/>
      <c r="AG107" s="289">
        <f t="shared" si="109"/>
        <v>1.7050000000000005</v>
      </c>
      <c r="AH107" s="7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 hidden="1">
      <c r="A108" s="252"/>
      <c r="B108" s="287">
        <v>0.39</v>
      </c>
      <c r="C108" s="287">
        <v>0.39</v>
      </c>
      <c r="D108" s="288"/>
      <c r="E108" s="288"/>
      <c r="F108" s="289">
        <f t="shared" si="107"/>
        <v>-0.66300000000000003</v>
      </c>
      <c r="G108" s="289">
        <f t="shared" si="107"/>
        <v>2.8040999999999974</v>
      </c>
      <c r="H108" s="289">
        <f t="shared" si="107"/>
        <v>3.0129552631578984</v>
      </c>
      <c r="I108" s="289">
        <f t="shared" si="107"/>
        <v>4.8371700000000013</v>
      </c>
      <c r="J108" s="290"/>
      <c r="K108" s="289">
        <f t="shared" si="108"/>
        <v>4.5435000000000008</v>
      </c>
      <c r="L108" s="289">
        <f t="shared" si="108"/>
        <v>4.6995000000000005</v>
      </c>
      <c r="M108" s="289">
        <f t="shared" si="108"/>
        <v>4.4343000000000004</v>
      </c>
      <c r="N108" s="289">
        <f t="shared" si="108"/>
        <v>4.8087000000000009</v>
      </c>
      <c r="O108" s="289">
        <f t="shared" si="108"/>
        <v>4.8555000000000001</v>
      </c>
      <c r="P108" s="289">
        <f t="shared" si="108"/>
        <v>2.9796</v>
      </c>
      <c r="Q108" s="289">
        <f>$B108*(Q90-Q$86-1.7)</f>
        <v>2.9094000000000002</v>
      </c>
      <c r="R108" s="291"/>
      <c r="S108" s="291"/>
      <c r="T108" s="292"/>
      <c r="U108" s="292"/>
      <c r="V108" s="291"/>
      <c r="W108" s="291"/>
      <c r="X108" s="291" t="e">
        <v>#REF!</v>
      </c>
      <c r="Y108" s="291"/>
      <c r="Z108" s="291"/>
      <c r="AA108" s="291"/>
      <c r="AB108" s="291"/>
      <c r="AC108" s="291"/>
      <c r="AD108" s="289">
        <f t="shared" si="109"/>
        <v>3.0908681818181818</v>
      </c>
      <c r="AE108" s="289">
        <f t="shared" si="109"/>
        <v>3.4775000000000005</v>
      </c>
      <c r="AF108" s="289"/>
      <c r="AG108" s="289">
        <f t="shared" si="109"/>
        <v>3.9130000000000007</v>
      </c>
      <c r="AH108" s="7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</row>
    <row r="109" spans="1:358" hidden="1">
      <c r="A109" s="252"/>
      <c r="B109" s="287">
        <v>0.12</v>
      </c>
      <c r="C109" s="287">
        <v>0.12</v>
      </c>
      <c r="D109" s="288"/>
      <c r="E109" s="288"/>
      <c r="F109" s="289">
        <f>$B$109*((F91/6.5)-(F$86-1.7))</f>
        <v>0.20399999999999999</v>
      </c>
      <c r="G109" s="289">
        <f>$B$109*((G91/6.5)-(G$86-1.7))</f>
        <v>-5.637637662992125</v>
      </c>
      <c r="H109" s="289">
        <f>$B$109*((H91/6.5)-(H$86-1.7))</f>
        <v>-4.8036857088208089</v>
      </c>
      <c r="I109" s="289">
        <f>$B$109*((I91/6.5)-(I$86-1.7))</f>
        <v>-4.5491414900060576</v>
      </c>
      <c r="J109" s="290"/>
      <c r="K109" s="289">
        <f t="shared" ref="K109:M109" si="110">$B$109*((K91/6.5)-(K$86-1.7))</f>
        <v>-0.88577076923076925</v>
      </c>
      <c r="L109" s="289">
        <f t="shared" si="110"/>
        <v>-0.88175538461538472</v>
      </c>
      <c r="M109" s="289">
        <f t="shared" si="110"/>
        <v>-0.90721384615384548</v>
      </c>
      <c r="N109" s="289">
        <f>$B$109*((N91/6.5)-(N$86-1.7))</f>
        <v>-0.73502076923076998</v>
      </c>
      <c r="O109" s="289">
        <f>$B$109*((O91/6.5)-(O$86-1.7))</f>
        <v>-0.58535384615384611</v>
      </c>
      <c r="P109" s="289">
        <f>$B$109*((P91/6.5)-(P$86-1.7))</f>
        <v>-0.23717538461538468</v>
      </c>
      <c r="Q109" s="289">
        <f>$B$109*((Q91/6.5)-(Q$86-1.7))</f>
        <v>-0.47289230769230811</v>
      </c>
      <c r="R109" s="291"/>
      <c r="S109" s="291"/>
      <c r="T109" s="292"/>
      <c r="U109" s="292"/>
      <c r="V109" s="291"/>
      <c r="W109" s="291"/>
      <c r="X109" s="291" t="e">
        <v>#REF!</v>
      </c>
      <c r="Y109" s="291"/>
      <c r="Z109" s="291"/>
      <c r="AA109" s="291"/>
      <c r="AB109" s="291"/>
      <c r="AC109" s="291"/>
      <c r="AD109" s="289">
        <f t="shared" ref="AD109:AG109" si="111">$B$109*((AD91/6.5)-(AD$86-1.7))</f>
        <v>-0.48642909090909042</v>
      </c>
      <c r="AE109" s="289">
        <f t="shared" si="111"/>
        <v>-0.73556923076923042</v>
      </c>
      <c r="AF109" s="289"/>
      <c r="AG109" s="289">
        <f t="shared" si="111"/>
        <v>-0.69246153846153846</v>
      </c>
      <c r="AH109" s="7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</row>
    <row r="110" spans="1:358" hidden="1">
      <c r="A110" s="252"/>
      <c r="B110" s="287">
        <v>0.03</v>
      </c>
      <c r="C110" s="287">
        <v>0.03</v>
      </c>
      <c r="D110" s="288"/>
      <c r="E110" s="288"/>
      <c r="F110" s="289">
        <f>$B110*(F93-F$86-1.7)</f>
        <v>-5.0999999999999997E-2</v>
      </c>
      <c r="G110" s="289">
        <f>$B110*(G93-G$86-1.7)</f>
        <v>-1.7363999999999999</v>
      </c>
      <c r="H110" s="289">
        <f>$B110*(H93-H$86-1.7)</f>
        <v>-1.4817236842105261</v>
      </c>
      <c r="I110" s="289">
        <f>$B110*(I93-I$86-1.7)</f>
        <v>-1.4122500000000002</v>
      </c>
      <c r="J110" s="290"/>
      <c r="K110" s="289">
        <f t="shared" ref="K110:M110" si="112">$B110*(K93-K$86-1.7)</f>
        <v>-1.5</v>
      </c>
      <c r="L110" s="289">
        <f t="shared" si="112"/>
        <v>-1.4565000000000001</v>
      </c>
      <c r="M110" s="289">
        <f t="shared" si="112"/>
        <v>-1.5100499999999999</v>
      </c>
      <c r="N110" s="289">
        <f>$B110*(N93-N$86-1.7)</f>
        <v>-1.4385000000000001</v>
      </c>
      <c r="O110" s="289">
        <f>$B110*(O93-O$86-1.7)</f>
        <v>-5.0999999999999997E-2</v>
      </c>
      <c r="P110" s="289">
        <f>$B110*(P93-P$86-1.7)</f>
        <v>-0.85529999999999995</v>
      </c>
      <c r="Q110" s="289">
        <f>$B110*(Q93-Q$86-1.7)</f>
        <v>-0.9323999999999999</v>
      </c>
      <c r="R110" s="291"/>
      <c r="S110" s="291"/>
      <c r="T110" s="292"/>
      <c r="U110" s="292"/>
      <c r="V110" s="291"/>
      <c r="W110" s="291"/>
      <c r="X110" s="291" t="e">
        <v>#REF!</v>
      </c>
      <c r="Y110" s="291"/>
      <c r="Z110" s="291"/>
      <c r="AA110" s="291"/>
      <c r="AB110" s="291"/>
      <c r="AC110" s="291"/>
      <c r="AD110" s="289">
        <f t="shared" ref="AD110:AG110" si="113">$B110*(AD93-AD$86-1.7)</f>
        <v>-0.96431818181818174</v>
      </c>
      <c r="AE110" s="289">
        <f t="shared" si="113"/>
        <v>-1.1279999999999999</v>
      </c>
      <c r="AF110" s="289"/>
      <c r="AG110" s="289">
        <f t="shared" si="113"/>
        <v>-1.296</v>
      </c>
      <c r="AH110" s="7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</row>
    <row r="111" spans="1:358" hidden="1">
      <c r="A111" s="252"/>
      <c r="B111" s="287">
        <v>0.09</v>
      </c>
      <c r="C111" s="287">
        <v>0.09</v>
      </c>
      <c r="D111" s="288"/>
      <c r="E111" s="288"/>
      <c r="F111" s="289"/>
      <c r="G111" s="289"/>
      <c r="H111" s="289"/>
      <c r="I111" s="289"/>
      <c r="J111" s="290"/>
      <c r="K111" s="289"/>
      <c r="L111" s="289"/>
      <c r="M111" s="289"/>
      <c r="N111" s="289"/>
      <c r="O111" s="289"/>
      <c r="P111" s="289"/>
      <c r="Q111" s="289"/>
      <c r="R111" s="291"/>
      <c r="S111" s="291"/>
      <c r="T111" s="292"/>
      <c r="U111" s="292"/>
      <c r="V111" s="291"/>
      <c r="W111" s="291"/>
      <c r="X111" s="291"/>
      <c r="Y111" s="291"/>
      <c r="Z111" s="291"/>
      <c r="AA111" s="291"/>
      <c r="AB111" s="291"/>
      <c r="AC111" s="291"/>
      <c r="AD111" s="289"/>
      <c r="AE111" s="289"/>
      <c r="AF111" s="289"/>
      <c r="AG111" s="289"/>
      <c r="AH111" s="7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</row>
    <row r="112" spans="1:358" hidden="1">
      <c r="A112" s="252"/>
      <c r="B112" s="293"/>
      <c r="C112" s="293"/>
      <c r="D112" s="294"/>
      <c r="E112" s="294"/>
      <c r="F112" s="289">
        <f>SUM(F104:F110)</f>
        <v>-1.6879999999999999</v>
      </c>
      <c r="G112" s="289">
        <f>SUM(G104:G110)</f>
        <v>-1.2320026629921286</v>
      </c>
      <c r="H112" s="289">
        <f t="shared" ref="H112" si="114">SUM(H104:H110)</f>
        <v>-0.17026991934711599</v>
      </c>
      <c r="I112" s="289">
        <f>SUM(I104:I110)</f>
        <v>2.9612135099939429</v>
      </c>
      <c r="J112" s="290"/>
      <c r="K112" s="289" t="e">
        <f t="shared" ref="K112:M112" si="115">SUM(K104:K110)</f>
        <v>#REF!</v>
      </c>
      <c r="L112" s="289" t="e">
        <f t="shared" si="115"/>
        <v>#REF!</v>
      </c>
      <c r="M112" s="289">
        <f t="shared" si="115"/>
        <v>5.503136153846155</v>
      </c>
      <c r="N112" s="289">
        <f>SUM(N104:N110)</f>
        <v>6.2379292307692298</v>
      </c>
      <c r="O112" s="289">
        <f>SUM(O104:O110)</f>
        <v>8.3611461538461516</v>
      </c>
      <c r="P112" s="289">
        <f>SUM(P104:P110)</f>
        <v>6.4454246153846162</v>
      </c>
      <c r="Q112" s="289">
        <f t="shared" ref="Q112" si="116">SUM(Q104:Q110)</f>
        <v>4.6379910256410248</v>
      </c>
      <c r="R112" s="291"/>
      <c r="S112" s="291"/>
      <c r="T112" s="292"/>
      <c r="U112" s="292"/>
      <c r="V112" s="291"/>
      <c r="W112" s="291"/>
      <c r="X112" s="291" t="e">
        <v>#REF!</v>
      </c>
      <c r="Y112" s="291"/>
      <c r="Z112" s="291"/>
      <c r="AA112" s="291"/>
      <c r="AB112" s="291"/>
      <c r="AC112" s="291"/>
      <c r="AD112" s="289">
        <f t="shared" ref="AD112:AG112" si="117">SUM(AD104:AD110)</f>
        <v>5.4023138383838401</v>
      </c>
      <c r="AE112" s="289">
        <f t="shared" si="117"/>
        <v>5.4432641025641031</v>
      </c>
      <c r="AF112" s="289"/>
      <c r="AG112" s="289">
        <f t="shared" si="117"/>
        <v>5.2538717948717961</v>
      </c>
      <c r="AH112" s="7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</row>
    <row r="113" spans="1:358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80"/>
      <c r="U113" s="280"/>
      <c r="V113" s="277"/>
      <c r="W113" s="277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7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</row>
    <row r="114" spans="1:358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80"/>
      <c r="U114" s="280"/>
      <c r="V114" s="277"/>
      <c r="W114" s="277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7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</row>
    <row r="115" spans="1:358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80"/>
      <c r="U115" s="280"/>
      <c r="V115" s="277"/>
      <c r="W115" s="277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7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</row>
    <row r="116" spans="1:358">
      <c r="A116" s="295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80"/>
      <c r="U116" s="280"/>
      <c r="V116" s="277"/>
      <c r="W116" s="277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7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</row>
    <row r="117" spans="1:358">
      <c r="A117" s="295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80"/>
      <c r="U117" s="280"/>
      <c r="V117" s="277"/>
      <c r="W117" s="277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7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</row>
    <row r="118" spans="1:358">
      <c r="A118" s="295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80"/>
      <c r="U118" s="280"/>
      <c r="V118" s="277"/>
      <c r="W118" s="277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7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</row>
    <row r="119" spans="1:358">
      <c r="A119" s="295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80"/>
      <c r="U119" s="280"/>
      <c r="V119" s="277"/>
      <c r="W119" s="277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7"/>
    </row>
    <row r="120" spans="1:358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80"/>
      <c r="U120" s="280"/>
      <c r="V120" s="277"/>
      <c r="W120" s="277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7"/>
    </row>
    <row r="121" spans="1:358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80"/>
      <c r="U121" s="280"/>
      <c r="V121" s="277"/>
      <c r="W121" s="277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7"/>
    </row>
    <row r="122" spans="1:358">
      <c r="A122" s="265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80"/>
      <c r="U122" s="280"/>
      <c r="V122" s="277"/>
      <c r="W122" s="277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7"/>
    </row>
    <row r="123" spans="1:358">
      <c r="A123" s="265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80"/>
      <c r="U123" s="280"/>
      <c r="V123" s="277"/>
      <c r="W123" s="277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7"/>
    </row>
    <row r="124" spans="1:358" s="1" customFormat="1">
      <c r="A124" s="252"/>
      <c r="B124" s="276"/>
      <c r="C124" s="276"/>
      <c r="D124" s="152"/>
      <c r="E124" s="152"/>
      <c r="F124" s="277"/>
      <c r="G124" s="277"/>
      <c r="H124" s="277"/>
      <c r="I124" s="277"/>
      <c r="J124" s="278"/>
      <c r="K124" s="277"/>
      <c r="L124" s="277"/>
      <c r="M124" s="277"/>
      <c r="N124" s="277"/>
      <c r="O124" s="277"/>
      <c r="P124" s="277"/>
      <c r="Q124" s="277"/>
      <c r="R124" s="277"/>
      <c r="S124" s="277"/>
      <c r="T124" s="280"/>
      <c r="U124" s="280"/>
      <c r="V124" s="277"/>
      <c r="W124" s="277"/>
      <c r="X124" s="279"/>
      <c r="Y124" s="279"/>
      <c r="Z124" s="279"/>
      <c r="AA124" s="279"/>
      <c r="AB124" s="279"/>
      <c r="AC124" s="279"/>
      <c r="AD124" s="279"/>
      <c r="AE124" s="279"/>
      <c r="AF124" s="279"/>
      <c r="AG124" s="279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252"/>
      <c r="B125" s="276"/>
      <c r="C125" s="276"/>
      <c r="D125" s="152"/>
      <c r="E125" s="152"/>
      <c r="F125" s="277"/>
      <c r="G125" s="277"/>
      <c r="H125" s="277"/>
      <c r="I125" s="277"/>
      <c r="J125" s="278"/>
      <c r="K125" s="277"/>
      <c r="L125" s="277"/>
      <c r="M125" s="277"/>
      <c r="N125" s="277"/>
      <c r="O125" s="277"/>
      <c r="P125" s="277"/>
      <c r="Q125" s="277"/>
      <c r="R125" s="277"/>
      <c r="S125" s="277"/>
      <c r="T125" s="280"/>
      <c r="U125" s="280"/>
      <c r="V125" s="277"/>
      <c r="W125" s="277"/>
      <c r="X125" s="279"/>
      <c r="Y125" s="279"/>
      <c r="Z125" s="279"/>
      <c r="AA125" s="279"/>
      <c r="AB125" s="279"/>
      <c r="AC125" s="279"/>
      <c r="AD125" s="279"/>
      <c r="AE125" s="279"/>
      <c r="AF125" s="279"/>
      <c r="AG125" s="279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  <row r="126" spans="1:358" s="1" customFormat="1">
      <c r="A126" s="252"/>
      <c r="B126" s="276"/>
      <c r="C126" s="276"/>
      <c r="D126" s="152"/>
      <c r="E126" s="152"/>
      <c r="F126" s="277"/>
      <c r="G126" s="277"/>
      <c r="H126" s="277"/>
      <c r="I126" s="277"/>
      <c r="J126" s="278"/>
      <c r="K126" s="277"/>
      <c r="L126" s="277"/>
      <c r="M126" s="277"/>
      <c r="N126" s="277"/>
      <c r="O126" s="277"/>
      <c r="P126" s="277"/>
      <c r="Q126" s="277"/>
      <c r="R126" s="277"/>
      <c r="S126" s="277"/>
      <c r="T126" s="280"/>
      <c r="U126" s="280"/>
      <c r="V126" s="277"/>
      <c r="W126" s="277"/>
      <c r="X126" s="279"/>
      <c r="Y126" s="279"/>
      <c r="Z126" s="279"/>
      <c r="AA126" s="279"/>
      <c r="AB126" s="279"/>
      <c r="AC126" s="279"/>
      <c r="AD126" s="279"/>
      <c r="AE126" s="279"/>
      <c r="AF126" s="279"/>
      <c r="AG126" s="279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52"/>
      <c r="AX126" s="152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  <c r="BK126" s="152"/>
      <c r="BL126" s="152"/>
      <c r="BM126" s="152"/>
      <c r="BN126" s="152"/>
      <c r="BO126" s="152"/>
      <c r="BP126" s="152"/>
      <c r="BQ126" s="152"/>
      <c r="BR126" s="152"/>
      <c r="BS126" s="152"/>
      <c r="BT126" s="152"/>
      <c r="BU126" s="152"/>
      <c r="BV126" s="152"/>
      <c r="BW126" s="152"/>
      <c r="BX126" s="152"/>
      <c r="BY126" s="152"/>
      <c r="BZ126" s="152"/>
      <c r="CA126" s="152"/>
      <c r="CB126" s="152"/>
      <c r="CC126" s="152"/>
      <c r="CD126" s="152"/>
      <c r="CE126" s="152"/>
      <c r="CF126" s="152"/>
      <c r="CG126" s="152"/>
      <c r="CH126" s="152"/>
      <c r="CI126" s="152"/>
      <c r="CJ126" s="152"/>
      <c r="CK126" s="152"/>
      <c r="CL126" s="152"/>
      <c r="CM126" s="152"/>
      <c r="CN126" s="152"/>
      <c r="CO126" s="152"/>
      <c r="CP126" s="152"/>
      <c r="CQ126" s="152"/>
      <c r="CR126" s="152"/>
      <c r="CS126" s="152"/>
      <c r="CT126" s="152"/>
      <c r="CU126" s="152"/>
      <c r="CV126" s="152"/>
      <c r="CW126" s="152"/>
      <c r="CX126" s="152"/>
      <c r="CY126" s="152"/>
      <c r="CZ126" s="152"/>
      <c r="DA126" s="152"/>
      <c r="DB126" s="152"/>
      <c r="DC126" s="152"/>
      <c r="DD126" s="152"/>
      <c r="DE126" s="152"/>
      <c r="DF126" s="152"/>
      <c r="DG126" s="152"/>
      <c r="DH126" s="152"/>
      <c r="DI126" s="152"/>
      <c r="DJ126" s="152"/>
      <c r="DK126" s="152"/>
      <c r="DL126" s="152"/>
      <c r="DM126" s="152"/>
      <c r="DN126" s="152"/>
      <c r="DO126" s="152"/>
      <c r="DP126" s="152"/>
      <c r="DQ126" s="152"/>
      <c r="DR126" s="152"/>
      <c r="DS126" s="152"/>
      <c r="DT126" s="152"/>
      <c r="DU126" s="152"/>
      <c r="DV126" s="152"/>
      <c r="DW126" s="152"/>
      <c r="DX126" s="152"/>
      <c r="DY126" s="152"/>
      <c r="DZ126" s="152"/>
      <c r="EA126" s="152"/>
      <c r="EB126" s="152"/>
      <c r="EC126" s="152"/>
      <c r="ED126" s="152"/>
      <c r="EE126" s="152"/>
      <c r="EF126" s="152"/>
      <c r="EG126" s="152"/>
      <c r="EH126" s="152"/>
      <c r="EI126" s="152"/>
      <c r="EJ126" s="152"/>
      <c r="EK126" s="152"/>
      <c r="EL126" s="152"/>
      <c r="EM126" s="152"/>
      <c r="EN126" s="152"/>
      <c r="EO126" s="152"/>
      <c r="EP126" s="152"/>
      <c r="EQ126" s="152"/>
      <c r="ER126" s="152"/>
      <c r="ES126" s="152"/>
      <c r="ET126" s="152"/>
      <c r="EU126" s="152"/>
      <c r="EV126" s="152"/>
      <c r="EW126" s="152"/>
      <c r="EX126" s="152"/>
      <c r="EY126" s="152"/>
      <c r="EZ126" s="152"/>
      <c r="FA126" s="152"/>
      <c r="FB126" s="152"/>
      <c r="FC126" s="152"/>
      <c r="FD126" s="152"/>
      <c r="FE126" s="152"/>
      <c r="FF126" s="152"/>
      <c r="FG126" s="152"/>
      <c r="FH126" s="152"/>
      <c r="FI126" s="152"/>
      <c r="FJ126" s="152"/>
      <c r="FK126" s="152"/>
      <c r="FL126" s="152"/>
      <c r="FM126" s="152"/>
      <c r="FN126" s="152"/>
      <c r="FO126" s="152"/>
      <c r="FP126" s="152"/>
      <c r="FQ126" s="152"/>
      <c r="FR126" s="152"/>
      <c r="FS126" s="152"/>
      <c r="FT126" s="152"/>
      <c r="FU126" s="152"/>
      <c r="FV126" s="152"/>
      <c r="FW126" s="152"/>
      <c r="FX126" s="152"/>
      <c r="FY126" s="152"/>
      <c r="FZ126" s="152"/>
      <c r="GA126" s="152"/>
      <c r="GB126" s="152"/>
      <c r="GC126" s="152"/>
      <c r="GD126" s="152"/>
      <c r="GE126" s="152"/>
      <c r="GF126" s="152"/>
      <c r="GG126" s="152"/>
      <c r="GH126" s="152"/>
      <c r="GI126" s="152"/>
      <c r="GJ126" s="152"/>
      <c r="GK126" s="152"/>
      <c r="GL126" s="152"/>
      <c r="GM126" s="152"/>
      <c r="GN126" s="152"/>
      <c r="GO126" s="152"/>
      <c r="GP126" s="152"/>
      <c r="GQ126" s="152"/>
      <c r="GR126" s="152"/>
      <c r="GS126" s="152"/>
      <c r="GT126" s="152"/>
      <c r="GU126" s="152"/>
      <c r="GV126" s="152"/>
      <c r="GW126" s="152"/>
      <c r="GX126" s="152"/>
      <c r="GY126" s="152"/>
      <c r="GZ126" s="152"/>
      <c r="HA126" s="152"/>
      <c r="HB126" s="152"/>
      <c r="HC126" s="152"/>
      <c r="HD126" s="152"/>
      <c r="HE126" s="152"/>
      <c r="HF126" s="152"/>
      <c r="HG126" s="152"/>
      <c r="HH126" s="152"/>
      <c r="HI126" s="152"/>
      <c r="HJ126" s="152"/>
      <c r="HK126" s="152"/>
      <c r="HL126" s="152"/>
      <c r="HM126" s="152"/>
      <c r="HN126" s="152"/>
      <c r="HO126" s="152"/>
      <c r="HP126" s="152"/>
      <c r="HQ126" s="152"/>
      <c r="HR126" s="152"/>
      <c r="HS126" s="152"/>
      <c r="HT126" s="152"/>
      <c r="HU126" s="152"/>
      <c r="HV126" s="152"/>
      <c r="HW126" s="152"/>
      <c r="HX126" s="152"/>
      <c r="HY126" s="152"/>
      <c r="HZ126" s="152"/>
      <c r="IA126" s="152"/>
      <c r="IB126" s="152"/>
      <c r="IC126" s="152"/>
      <c r="ID126" s="152"/>
      <c r="IE126" s="152"/>
      <c r="IF126" s="152"/>
      <c r="IG126" s="152"/>
      <c r="IH126" s="152"/>
      <c r="II126" s="152"/>
      <c r="IJ126" s="152"/>
      <c r="IK126" s="152"/>
      <c r="IL126" s="152"/>
      <c r="IM126" s="152"/>
      <c r="IN126" s="152"/>
      <c r="IO126" s="152"/>
      <c r="IP126" s="152"/>
      <c r="IQ126" s="152"/>
      <c r="IR126" s="152"/>
      <c r="IS126" s="152"/>
      <c r="IT126" s="152"/>
      <c r="IU126" s="152"/>
      <c r="IV126" s="152"/>
      <c r="IW126" s="152"/>
      <c r="IX126" s="152"/>
      <c r="IY126" s="152"/>
      <c r="IZ126" s="152"/>
      <c r="JA126" s="152"/>
      <c r="JB126" s="152"/>
      <c r="JC126" s="152"/>
      <c r="JD126" s="152"/>
      <c r="JE126" s="152"/>
      <c r="JF126" s="152"/>
      <c r="JG126" s="152"/>
      <c r="JH126" s="152"/>
      <c r="JI126" s="152"/>
      <c r="JJ126" s="152"/>
      <c r="JK126" s="152"/>
      <c r="JL126" s="152"/>
      <c r="JM126" s="152"/>
      <c r="JN126" s="152"/>
      <c r="JO126" s="152"/>
      <c r="JP126" s="152"/>
      <c r="JQ126" s="152"/>
      <c r="JR126" s="152"/>
      <c r="JS126" s="152"/>
      <c r="JT126" s="152"/>
      <c r="JU126" s="152"/>
      <c r="JV126" s="152"/>
      <c r="JW126" s="152"/>
      <c r="JX126" s="152"/>
      <c r="JY126" s="152"/>
      <c r="JZ126" s="152"/>
      <c r="KA126" s="152"/>
      <c r="KB126" s="152"/>
      <c r="KC126" s="152"/>
      <c r="KD126" s="152"/>
      <c r="KE126" s="152"/>
      <c r="KF126" s="152"/>
      <c r="KG126" s="152"/>
      <c r="KH126" s="152"/>
      <c r="KI126" s="152"/>
      <c r="KJ126" s="152"/>
      <c r="KK126" s="152"/>
      <c r="KL126" s="152"/>
      <c r="KM126" s="152"/>
      <c r="KN126" s="152"/>
      <c r="KO126" s="152"/>
      <c r="KP126" s="152"/>
      <c r="KQ126" s="152"/>
      <c r="KR126" s="152"/>
      <c r="KS126" s="152"/>
      <c r="KT126" s="152"/>
      <c r="KU126" s="152"/>
      <c r="KV126" s="152"/>
      <c r="KW126" s="152"/>
      <c r="KX126" s="152"/>
      <c r="KY126" s="152"/>
      <c r="KZ126" s="152"/>
      <c r="LA126" s="152"/>
      <c r="LB126" s="152"/>
      <c r="LC126" s="152"/>
      <c r="LD126" s="152"/>
      <c r="LE126" s="152"/>
      <c r="LF126" s="152"/>
      <c r="LG126" s="152"/>
      <c r="LH126" s="152"/>
      <c r="LI126" s="152"/>
      <c r="LJ126" s="152"/>
      <c r="LK126" s="152"/>
      <c r="LL126" s="152"/>
      <c r="LM126" s="152"/>
      <c r="LN126" s="152"/>
      <c r="LO126" s="152"/>
      <c r="LP126" s="152"/>
      <c r="LQ126" s="152"/>
      <c r="LR126" s="152"/>
      <c r="LS126" s="152"/>
      <c r="LT126" s="152"/>
      <c r="LU126" s="152"/>
      <c r="LV126" s="152"/>
      <c r="LW126" s="152"/>
      <c r="LX126" s="152"/>
      <c r="LY126" s="152"/>
      <c r="LZ126" s="152"/>
      <c r="MA126" s="152"/>
      <c r="MB126" s="152"/>
      <c r="MC126" s="152"/>
      <c r="MD126" s="152"/>
      <c r="ME126" s="152"/>
      <c r="MF126" s="152"/>
      <c r="MG126" s="152"/>
      <c r="MH126" s="152"/>
      <c r="MI126" s="152"/>
      <c r="MJ126" s="152"/>
      <c r="MK126" s="152"/>
      <c r="ML126" s="152"/>
      <c r="MM126" s="152"/>
      <c r="MN126" s="152"/>
      <c r="MO126" s="152"/>
      <c r="MP126" s="152"/>
      <c r="MQ126" s="152"/>
      <c r="MR126" s="152"/>
      <c r="MS126" s="152"/>
      <c r="MT126" s="152"/>
    </row>
    <row r="127" spans="1:358" s="1" customFormat="1">
      <c r="A127" s="252"/>
      <c r="B127" s="276"/>
      <c r="C127" s="276"/>
      <c r="D127" s="152"/>
      <c r="E127" s="152"/>
      <c r="F127" s="277"/>
      <c r="G127" s="277"/>
      <c r="H127" s="277"/>
      <c r="I127" s="277"/>
      <c r="J127" s="278"/>
      <c r="K127" s="277"/>
      <c r="L127" s="277"/>
      <c r="M127" s="277"/>
      <c r="N127" s="277"/>
      <c r="O127" s="277"/>
      <c r="P127" s="277"/>
      <c r="Q127" s="277"/>
      <c r="R127" s="277"/>
      <c r="S127" s="277"/>
      <c r="T127" s="280"/>
      <c r="U127" s="280"/>
      <c r="V127" s="277"/>
      <c r="W127" s="277"/>
      <c r="X127" s="279"/>
      <c r="Y127" s="279"/>
      <c r="Z127" s="279"/>
      <c r="AA127" s="279"/>
      <c r="AB127" s="279"/>
      <c r="AC127" s="279"/>
      <c r="AD127" s="279"/>
      <c r="AE127" s="279"/>
      <c r="AF127" s="279"/>
      <c r="AG127" s="279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52"/>
      <c r="AX127" s="152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  <c r="BK127" s="152"/>
      <c r="BL127" s="152"/>
      <c r="BM127" s="152"/>
      <c r="BN127" s="152"/>
      <c r="BO127" s="152"/>
      <c r="BP127" s="152"/>
      <c r="BQ127" s="152"/>
      <c r="BR127" s="152"/>
      <c r="BS127" s="152"/>
      <c r="BT127" s="152"/>
      <c r="BU127" s="152"/>
      <c r="BV127" s="152"/>
      <c r="BW127" s="152"/>
      <c r="BX127" s="152"/>
      <c r="BY127" s="152"/>
      <c r="BZ127" s="152"/>
      <c r="CA127" s="152"/>
      <c r="CB127" s="152"/>
      <c r="CC127" s="152"/>
      <c r="CD127" s="152"/>
      <c r="CE127" s="152"/>
      <c r="CF127" s="152"/>
      <c r="CG127" s="152"/>
      <c r="CH127" s="152"/>
      <c r="CI127" s="152"/>
      <c r="CJ127" s="152"/>
      <c r="CK127" s="152"/>
      <c r="CL127" s="152"/>
      <c r="CM127" s="152"/>
      <c r="CN127" s="152"/>
      <c r="CO127" s="152"/>
      <c r="CP127" s="152"/>
      <c r="CQ127" s="152"/>
      <c r="CR127" s="152"/>
      <c r="CS127" s="152"/>
      <c r="CT127" s="152"/>
      <c r="CU127" s="152"/>
      <c r="CV127" s="152"/>
      <c r="CW127" s="152"/>
      <c r="CX127" s="152"/>
      <c r="CY127" s="152"/>
      <c r="CZ127" s="152"/>
      <c r="DA127" s="152"/>
      <c r="DB127" s="152"/>
      <c r="DC127" s="152"/>
      <c r="DD127" s="152"/>
      <c r="DE127" s="152"/>
      <c r="DF127" s="152"/>
      <c r="DG127" s="152"/>
      <c r="DH127" s="152"/>
      <c r="DI127" s="152"/>
      <c r="DJ127" s="152"/>
      <c r="DK127" s="152"/>
      <c r="DL127" s="152"/>
      <c r="DM127" s="152"/>
      <c r="DN127" s="152"/>
      <c r="DO127" s="152"/>
      <c r="DP127" s="152"/>
      <c r="DQ127" s="152"/>
      <c r="DR127" s="152"/>
      <c r="DS127" s="152"/>
      <c r="DT127" s="152"/>
      <c r="DU127" s="152"/>
      <c r="DV127" s="152"/>
      <c r="DW127" s="152"/>
      <c r="DX127" s="152"/>
      <c r="DY127" s="152"/>
      <c r="DZ127" s="152"/>
      <c r="EA127" s="152"/>
      <c r="EB127" s="152"/>
      <c r="EC127" s="152"/>
      <c r="ED127" s="152"/>
      <c r="EE127" s="152"/>
      <c r="EF127" s="152"/>
      <c r="EG127" s="152"/>
      <c r="EH127" s="152"/>
      <c r="EI127" s="152"/>
      <c r="EJ127" s="152"/>
      <c r="EK127" s="152"/>
      <c r="EL127" s="152"/>
      <c r="EM127" s="152"/>
      <c r="EN127" s="152"/>
      <c r="EO127" s="152"/>
      <c r="EP127" s="152"/>
      <c r="EQ127" s="152"/>
      <c r="ER127" s="152"/>
      <c r="ES127" s="152"/>
      <c r="ET127" s="152"/>
      <c r="EU127" s="152"/>
      <c r="EV127" s="152"/>
      <c r="EW127" s="152"/>
      <c r="EX127" s="152"/>
      <c r="EY127" s="152"/>
      <c r="EZ127" s="152"/>
      <c r="FA127" s="152"/>
      <c r="FB127" s="152"/>
      <c r="FC127" s="152"/>
      <c r="FD127" s="152"/>
      <c r="FE127" s="152"/>
      <c r="FF127" s="152"/>
      <c r="FG127" s="152"/>
      <c r="FH127" s="152"/>
      <c r="FI127" s="152"/>
      <c r="FJ127" s="152"/>
      <c r="FK127" s="152"/>
      <c r="FL127" s="152"/>
      <c r="FM127" s="152"/>
      <c r="FN127" s="152"/>
      <c r="FO127" s="152"/>
      <c r="FP127" s="152"/>
      <c r="FQ127" s="152"/>
      <c r="FR127" s="152"/>
      <c r="FS127" s="152"/>
      <c r="FT127" s="152"/>
      <c r="FU127" s="152"/>
      <c r="FV127" s="152"/>
      <c r="FW127" s="152"/>
      <c r="FX127" s="152"/>
      <c r="FY127" s="152"/>
      <c r="FZ127" s="152"/>
      <c r="GA127" s="152"/>
      <c r="GB127" s="152"/>
      <c r="GC127" s="152"/>
      <c r="GD127" s="152"/>
      <c r="GE127" s="152"/>
      <c r="GF127" s="152"/>
      <c r="GG127" s="152"/>
      <c r="GH127" s="152"/>
      <c r="GI127" s="152"/>
      <c r="GJ127" s="152"/>
      <c r="GK127" s="152"/>
      <c r="GL127" s="152"/>
      <c r="GM127" s="152"/>
      <c r="GN127" s="152"/>
      <c r="GO127" s="152"/>
      <c r="GP127" s="152"/>
      <c r="GQ127" s="152"/>
      <c r="GR127" s="152"/>
      <c r="GS127" s="152"/>
      <c r="GT127" s="152"/>
      <c r="GU127" s="152"/>
      <c r="GV127" s="152"/>
      <c r="GW127" s="152"/>
      <c r="GX127" s="152"/>
      <c r="GY127" s="152"/>
      <c r="GZ127" s="152"/>
      <c r="HA127" s="152"/>
      <c r="HB127" s="152"/>
      <c r="HC127" s="152"/>
      <c r="HD127" s="152"/>
      <c r="HE127" s="152"/>
      <c r="HF127" s="152"/>
      <c r="HG127" s="152"/>
      <c r="HH127" s="152"/>
      <c r="HI127" s="152"/>
      <c r="HJ127" s="152"/>
      <c r="HK127" s="152"/>
      <c r="HL127" s="152"/>
      <c r="HM127" s="152"/>
      <c r="HN127" s="152"/>
      <c r="HO127" s="152"/>
      <c r="HP127" s="152"/>
      <c r="HQ127" s="152"/>
      <c r="HR127" s="152"/>
      <c r="HS127" s="152"/>
      <c r="HT127" s="152"/>
      <c r="HU127" s="152"/>
      <c r="HV127" s="152"/>
      <c r="HW127" s="152"/>
      <c r="HX127" s="152"/>
      <c r="HY127" s="152"/>
      <c r="HZ127" s="152"/>
      <c r="IA127" s="152"/>
      <c r="IB127" s="152"/>
      <c r="IC127" s="152"/>
      <c r="ID127" s="152"/>
      <c r="IE127" s="152"/>
      <c r="IF127" s="152"/>
      <c r="IG127" s="152"/>
      <c r="IH127" s="152"/>
      <c r="II127" s="152"/>
      <c r="IJ127" s="152"/>
      <c r="IK127" s="152"/>
      <c r="IL127" s="152"/>
      <c r="IM127" s="152"/>
      <c r="IN127" s="152"/>
      <c r="IO127" s="152"/>
      <c r="IP127" s="152"/>
      <c r="IQ127" s="152"/>
      <c r="IR127" s="152"/>
      <c r="IS127" s="152"/>
      <c r="IT127" s="152"/>
      <c r="IU127" s="152"/>
      <c r="IV127" s="152"/>
      <c r="IW127" s="152"/>
      <c r="IX127" s="152"/>
      <c r="IY127" s="152"/>
      <c r="IZ127" s="152"/>
      <c r="JA127" s="152"/>
      <c r="JB127" s="152"/>
      <c r="JC127" s="152"/>
      <c r="JD127" s="152"/>
      <c r="JE127" s="152"/>
      <c r="JF127" s="152"/>
      <c r="JG127" s="152"/>
      <c r="JH127" s="152"/>
      <c r="JI127" s="152"/>
      <c r="JJ127" s="152"/>
      <c r="JK127" s="152"/>
      <c r="JL127" s="152"/>
      <c r="JM127" s="152"/>
      <c r="JN127" s="152"/>
      <c r="JO127" s="152"/>
      <c r="JP127" s="152"/>
      <c r="JQ127" s="152"/>
      <c r="JR127" s="152"/>
      <c r="JS127" s="152"/>
      <c r="JT127" s="152"/>
      <c r="JU127" s="152"/>
      <c r="JV127" s="152"/>
      <c r="JW127" s="152"/>
      <c r="JX127" s="152"/>
      <c r="JY127" s="152"/>
      <c r="JZ127" s="152"/>
      <c r="KA127" s="152"/>
      <c r="KB127" s="152"/>
      <c r="KC127" s="152"/>
      <c r="KD127" s="152"/>
      <c r="KE127" s="152"/>
      <c r="KF127" s="152"/>
      <c r="KG127" s="152"/>
      <c r="KH127" s="152"/>
      <c r="KI127" s="152"/>
      <c r="KJ127" s="152"/>
      <c r="KK127" s="152"/>
      <c r="KL127" s="152"/>
      <c r="KM127" s="152"/>
      <c r="KN127" s="152"/>
      <c r="KO127" s="152"/>
      <c r="KP127" s="152"/>
      <c r="KQ127" s="152"/>
      <c r="KR127" s="152"/>
      <c r="KS127" s="152"/>
      <c r="KT127" s="152"/>
      <c r="KU127" s="152"/>
      <c r="KV127" s="152"/>
      <c r="KW127" s="152"/>
      <c r="KX127" s="152"/>
      <c r="KY127" s="152"/>
      <c r="KZ127" s="152"/>
      <c r="LA127" s="152"/>
      <c r="LB127" s="152"/>
      <c r="LC127" s="152"/>
      <c r="LD127" s="152"/>
      <c r="LE127" s="152"/>
      <c r="LF127" s="152"/>
      <c r="LG127" s="152"/>
      <c r="LH127" s="152"/>
      <c r="LI127" s="152"/>
      <c r="LJ127" s="152"/>
      <c r="LK127" s="152"/>
      <c r="LL127" s="152"/>
      <c r="LM127" s="152"/>
      <c r="LN127" s="152"/>
      <c r="LO127" s="152"/>
      <c r="LP127" s="152"/>
      <c r="LQ127" s="152"/>
      <c r="LR127" s="152"/>
      <c r="LS127" s="152"/>
      <c r="LT127" s="152"/>
      <c r="LU127" s="152"/>
      <c r="LV127" s="152"/>
      <c r="LW127" s="152"/>
      <c r="LX127" s="152"/>
      <c r="LY127" s="152"/>
      <c r="LZ127" s="152"/>
      <c r="MA127" s="152"/>
      <c r="MB127" s="152"/>
      <c r="MC127" s="152"/>
      <c r="MD127" s="152"/>
      <c r="ME127" s="152"/>
      <c r="MF127" s="152"/>
      <c r="MG127" s="152"/>
      <c r="MH127" s="152"/>
      <c r="MI127" s="152"/>
      <c r="MJ127" s="152"/>
      <c r="MK127" s="152"/>
      <c r="ML127" s="152"/>
      <c r="MM127" s="152"/>
      <c r="MN127" s="152"/>
      <c r="MO127" s="152"/>
      <c r="MP127" s="152"/>
      <c r="MQ127" s="152"/>
      <c r="MR127" s="152"/>
      <c r="MS127" s="152"/>
      <c r="MT127" s="152"/>
    </row>
    <row r="128" spans="1:358" s="1" customFormat="1">
      <c r="A128" s="252"/>
      <c r="B128" s="276"/>
      <c r="C128" s="276"/>
      <c r="D128" s="152"/>
      <c r="E128" s="152"/>
      <c r="F128" s="277"/>
      <c r="G128" s="277"/>
      <c r="H128" s="277"/>
      <c r="I128" s="277"/>
      <c r="J128" s="278"/>
      <c r="K128" s="277"/>
      <c r="L128" s="277"/>
      <c r="M128" s="277"/>
      <c r="N128" s="277"/>
      <c r="O128" s="277"/>
      <c r="P128" s="277"/>
      <c r="Q128" s="277"/>
      <c r="R128" s="277"/>
      <c r="S128" s="277"/>
      <c r="T128" s="280"/>
      <c r="U128" s="280"/>
      <c r="V128" s="277"/>
      <c r="W128" s="277"/>
      <c r="X128" s="279"/>
      <c r="Y128" s="279"/>
      <c r="Z128" s="279"/>
      <c r="AA128" s="279"/>
      <c r="AB128" s="279"/>
      <c r="AC128" s="279"/>
      <c r="AD128" s="279"/>
      <c r="AE128" s="279"/>
      <c r="AF128" s="279"/>
      <c r="AG128" s="279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52"/>
      <c r="AX128" s="152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  <c r="BK128" s="152"/>
      <c r="BL128" s="152"/>
      <c r="BM128" s="152"/>
      <c r="BN128" s="152"/>
      <c r="BO128" s="152"/>
      <c r="BP128" s="152"/>
      <c r="BQ128" s="152"/>
      <c r="BR128" s="152"/>
      <c r="BS128" s="152"/>
      <c r="BT128" s="152"/>
      <c r="BU128" s="152"/>
      <c r="BV128" s="152"/>
      <c r="BW128" s="152"/>
      <c r="BX128" s="152"/>
      <c r="BY128" s="152"/>
      <c r="BZ128" s="152"/>
      <c r="CA128" s="152"/>
      <c r="CB128" s="152"/>
      <c r="CC128" s="152"/>
      <c r="CD128" s="152"/>
      <c r="CE128" s="152"/>
      <c r="CF128" s="152"/>
      <c r="CG128" s="152"/>
      <c r="CH128" s="152"/>
      <c r="CI128" s="152"/>
      <c r="CJ128" s="152"/>
      <c r="CK128" s="152"/>
      <c r="CL128" s="152"/>
      <c r="CM128" s="152"/>
      <c r="CN128" s="152"/>
      <c r="CO128" s="152"/>
      <c r="CP128" s="152"/>
      <c r="CQ128" s="152"/>
      <c r="CR128" s="152"/>
      <c r="CS128" s="152"/>
      <c r="CT128" s="152"/>
      <c r="CU128" s="152"/>
      <c r="CV128" s="152"/>
      <c r="CW128" s="152"/>
      <c r="CX128" s="152"/>
      <c r="CY128" s="152"/>
      <c r="CZ128" s="152"/>
      <c r="DA128" s="152"/>
      <c r="DB128" s="152"/>
      <c r="DC128" s="152"/>
      <c r="DD128" s="152"/>
      <c r="DE128" s="152"/>
      <c r="DF128" s="152"/>
      <c r="DG128" s="152"/>
      <c r="DH128" s="152"/>
      <c r="DI128" s="152"/>
      <c r="DJ128" s="152"/>
      <c r="DK128" s="152"/>
      <c r="DL128" s="152"/>
      <c r="DM128" s="152"/>
      <c r="DN128" s="152"/>
      <c r="DO128" s="152"/>
      <c r="DP128" s="152"/>
      <c r="DQ128" s="152"/>
      <c r="DR128" s="152"/>
      <c r="DS128" s="152"/>
      <c r="DT128" s="152"/>
      <c r="DU128" s="152"/>
      <c r="DV128" s="152"/>
      <c r="DW128" s="152"/>
      <c r="DX128" s="152"/>
      <c r="DY128" s="152"/>
      <c r="DZ128" s="152"/>
      <c r="EA128" s="152"/>
      <c r="EB128" s="152"/>
      <c r="EC128" s="152"/>
      <c r="ED128" s="152"/>
      <c r="EE128" s="152"/>
      <c r="EF128" s="152"/>
      <c r="EG128" s="152"/>
      <c r="EH128" s="152"/>
      <c r="EI128" s="152"/>
      <c r="EJ128" s="152"/>
      <c r="EK128" s="152"/>
      <c r="EL128" s="152"/>
      <c r="EM128" s="152"/>
      <c r="EN128" s="152"/>
      <c r="EO128" s="152"/>
      <c r="EP128" s="152"/>
      <c r="EQ128" s="152"/>
      <c r="ER128" s="152"/>
      <c r="ES128" s="152"/>
      <c r="ET128" s="152"/>
      <c r="EU128" s="152"/>
      <c r="EV128" s="152"/>
      <c r="EW128" s="152"/>
      <c r="EX128" s="152"/>
      <c r="EY128" s="152"/>
      <c r="EZ128" s="152"/>
      <c r="FA128" s="152"/>
      <c r="FB128" s="152"/>
      <c r="FC128" s="152"/>
      <c r="FD128" s="152"/>
      <c r="FE128" s="152"/>
      <c r="FF128" s="152"/>
      <c r="FG128" s="152"/>
      <c r="FH128" s="152"/>
      <c r="FI128" s="152"/>
      <c r="FJ128" s="152"/>
      <c r="FK128" s="152"/>
      <c r="FL128" s="152"/>
      <c r="FM128" s="152"/>
      <c r="FN128" s="152"/>
      <c r="FO128" s="152"/>
      <c r="FP128" s="152"/>
      <c r="FQ128" s="152"/>
      <c r="FR128" s="152"/>
      <c r="FS128" s="152"/>
      <c r="FT128" s="152"/>
      <c r="FU128" s="152"/>
      <c r="FV128" s="152"/>
      <c r="FW128" s="152"/>
      <c r="FX128" s="152"/>
      <c r="FY128" s="152"/>
      <c r="FZ128" s="152"/>
      <c r="GA128" s="152"/>
      <c r="GB128" s="152"/>
      <c r="GC128" s="152"/>
      <c r="GD128" s="152"/>
      <c r="GE128" s="152"/>
      <c r="GF128" s="152"/>
      <c r="GG128" s="152"/>
      <c r="GH128" s="152"/>
      <c r="GI128" s="152"/>
      <c r="GJ128" s="152"/>
      <c r="GK128" s="152"/>
      <c r="GL128" s="152"/>
      <c r="GM128" s="152"/>
      <c r="GN128" s="152"/>
      <c r="GO128" s="152"/>
      <c r="GP128" s="152"/>
      <c r="GQ128" s="152"/>
      <c r="GR128" s="152"/>
      <c r="GS128" s="152"/>
      <c r="GT128" s="152"/>
      <c r="GU128" s="152"/>
      <c r="GV128" s="152"/>
      <c r="GW128" s="152"/>
      <c r="GX128" s="152"/>
      <c r="GY128" s="152"/>
      <c r="GZ128" s="152"/>
      <c r="HA128" s="152"/>
      <c r="HB128" s="152"/>
      <c r="HC128" s="152"/>
      <c r="HD128" s="152"/>
      <c r="HE128" s="152"/>
      <c r="HF128" s="152"/>
      <c r="HG128" s="152"/>
      <c r="HH128" s="152"/>
      <c r="HI128" s="152"/>
      <c r="HJ128" s="152"/>
      <c r="HK128" s="152"/>
      <c r="HL128" s="152"/>
      <c r="HM128" s="152"/>
      <c r="HN128" s="152"/>
      <c r="HO128" s="152"/>
      <c r="HP128" s="152"/>
      <c r="HQ128" s="152"/>
      <c r="HR128" s="152"/>
      <c r="HS128" s="152"/>
      <c r="HT128" s="152"/>
      <c r="HU128" s="152"/>
      <c r="HV128" s="152"/>
      <c r="HW128" s="152"/>
      <c r="HX128" s="152"/>
      <c r="HY128" s="152"/>
      <c r="HZ128" s="152"/>
      <c r="IA128" s="152"/>
      <c r="IB128" s="152"/>
      <c r="IC128" s="152"/>
      <c r="ID128" s="152"/>
      <c r="IE128" s="152"/>
      <c r="IF128" s="152"/>
      <c r="IG128" s="152"/>
      <c r="IH128" s="152"/>
      <c r="II128" s="152"/>
      <c r="IJ128" s="152"/>
      <c r="IK128" s="152"/>
      <c r="IL128" s="152"/>
      <c r="IM128" s="152"/>
      <c r="IN128" s="152"/>
      <c r="IO128" s="152"/>
      <c r="IP128" s="152"/>
      <c r="IQ128" s="152"/>
      <c r="IR128" s="152"/>
      <c r="IS128" s="152"/>
      <c r="IT128" s="152"/>
      <c r="IU128" s="152"/>
      <c r="IV128" s="152"/>
      <c r="IW128" s="152"/>
      <c r="IX128" s="152"/>
      <c r="IY128" s="152"/>
      <c r="IZ128" s="152"/>
      <c r="JA128" s="152"/>
      <c r="JB128" s="152"/>
      <c r="JC128" s="152"/>
      <c r="JD128" s="152"/>
      <c r="JE128" s="152"/>
      <c r="JF128" s="152"/>
      <c r="JG128" s="152"/>
      <c r="JH128" s="152"/>
      <c r="JI128" s="152"/>
      <c r="JJ128" s="152"/>
      <c r="JK128" s="152"/>
      <c r="JL128" s="152"/>
      <c r="JM128" s="152"/>
      <c r="JN128" s="152"/>
      <c r="JO128" s="152"/>
      <c r="JP128" s="152"/>
      <c r="JQ128" s="152"/>
      <c r="JR128" s="152"/>
      <c r="JS128" s="152"/>
      <c r="JT128" s="152"/>
      <c r="JU128" s="152"/>
      <c r="JV128" s="152"/>
      <c r="JW128" s="152"/>
      <c r="JX128" s="152"/>
      <c r="JY128" s="152"/>
      <c r="JZ128" s="152"/>
      <c r="KA128" s="152"/>
      <c r="KB128" s="152"/>
      <c r="KC128" s="152"/>
      <c r="KD128" s="152"/>
      <c r="KE128" s="152"/>
      <c r="KF128" s="152"/>
      <c r="KG128" s="152"/>
      <c r="KH128" s="152"/>
      <c r="KI128" s="152"/>
      <c r="KJ128" s="152"/>
      <c r="KK128" s="152"/>
      <c r="KL128" s="152"/>
      <c r="KM128" s="152"/>
      <c r="KN128" s="152"/>
      <c r="KO128" s="152"/>
      <c r="KP128" s="152"/>
      <c r="KQ128" s="152"/>
      <c r="KR128" s="152"/>
      <c r="KS128" s="152"/>
      <c r="KT128" s="152"/>
      <c r="KU128" s="152"/>
      <c r="KV128" s="152"/>
      <c r="KW128" s="152"/>
      <c r="KX128" s="152"/>
      <c r="KY128" s="152"/>
      <c r="KZ128" s="152"/>
      <c r="LA128" s="152"/>
      <c r="LB128" s="152"/>
      <c r="LC128" s="152"/>
      <c r="LD128" s="152"/>
      <c r="LE128" s="152"/>
      <c r="LF128" s="152"/>
      <c r="LG128" s="152"/>
      <c r="LH128" s="152"/>
      <c r="LI128" s="152"/>
      <c r="LJ128" s="152"/>
      <c r="LK128" s="152"/>
      <c r="LL128" s="152"/>
      <c r="LM128" s="152"/>
      <c r="LN128" s="152"/>
      <c r="LO128" s="152"/>
      <c r="LP128" s="152"/>
      <c r="LQ128" s="152"/>
      <c r="LR128" s="152"/>
      <c r="LS128" s="152"/>
      <c r="LT128" s="152"/>
      <c r="LU128" s="152"/>
      <c r="LV128" s="152"/>
      <c r="LW128" s="152"/>
      <c r="LX128" s="152"/>
      <c r="LY128" s="152"/>
      <c r="LZ128" s="152"/>
      <c r="MA128" s="152"/>
      <c r="MB128" s="152"/>
      <c r="MC128" s="152"/>
      <c r="MD128" s="152"/>
      <c r="ME128" s="152"/>
      <c r="MF128" s="152"/>
      <c r="MG128" s="152"/>
      <c r="MH128" s="152"/>
      <c r="MI128" s="152"/>
      <c r="MJ128" s="152"/>
      <c r="MK128" s="152"/>
      <c r="ML128" s="152"/>
      <c r="MM128" s="152"/>
      <c r="MN128" s="152"/>
      <c r="MO128" s="152"/>
      <c r="MP128" s="152"/>
      <c r="MQ128" s="152"/>
      <c r="MR128" s="152"/>
      <c r="MS128" s="152"/>
      <c r="MT128" s="152"/>
    </row>
    <row r="129" spans="1:358" s="1" customFormat="1">
      <c r="A129" s="252"/>
      <c r="B129" s="276"/>
      <c r="C129" s="276"/>
      <c r="D129" s="152"/>
      <c r="E129" s="152"/>
      <c r="F129" s="277"/>
      <c r="G129" s="277"/>
      <c r="H129" s="277"/>
      <c r="I129" s="277"/>
      <c r="J129" s="278"/>
      <c r="K129" s="277"/>
      <c r="L129" s="277"/>
      <c r="M129" s="277"/>
      <c r="N129" s="277"/>
      <c r="O129" s="277"/>
      <c r="P129" s="277"/>
      <c r="Q129" s="277"/>
      <c r="R129" s="277"/>
      <c r="S129" s="277"/>
      <c r="T129" s="280"/>
      <c r="U129" s="280"/>
      <c r="V129" s="277"/>
      <c r="W129" s="277"/>
      <c r="X129" s="279"/>
      <c r="Y129" s="279"/>
      <c r="Z129" s="279"/>
      <c r="AA129" s="279"/>
      <c r="AB129" s="279"/>
      <c r="AC129" s="279"/>
      <c r="AD129" s="279"/>
      <c r="AE129" s="279"/>
      <c r="AF129" s="279"/>
      <c r="AG129" s="279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  <c r="BK129" s="152"/>
      <c r="BL129" s="152"/>
      <c r="BM129" s="152"/>
      <c r="BN129" s="152"/>
      <c r="BO129" s="152"/>
      <c r="BP129" s="152"/>
      <c r="BQ129" s="152"/>
      <c r="BR129" s="152"/>
      <c r="BS129" s="152"/>
      <c r="BT129" s="152"/>
      <c r="BU129" s="152"/>
      <c r="BV129" s="152"/>
      <c r="BW129" s="152"/>
      <c r="BX129" s="152"/>
      <c r="BY129" s="152"/>
      <c r="BZ129" s="152"/>
      <c r="CA129" s="152"/>
      <c r="CB129" s="152"/>
      <c r="CC129" s="152"/>
      <c r="CD129" s="152"/>
      <c r="CE129" s="152"/>
      <c r="CF129" s="152"/>
      <c r="CG129" s="152"/>
      <c r="CH129" s="152"/>
      <c r="CI129" s="152"/>
      <c r="CJ129" s="152"/>
      <c r="CK129" s="152"/>
      <c r="CL129" s="152"/>
      <c r="CM129" s="152"/>
      <c r="CN129" s="152"/>
      <c r="CO129" s="152"/>
      <c r="CP129" s="152"/>
      <c r="CQ129" s="152"/>
      <c r="CR129" s="152"/>
      <c r="CS129" s="152"/>
      <c r="CT129" s="152"/>
      <c r="CU129" s="152"/>
      <c r="CV129" s="152"/>
      <c r="CW129" s="152"/>
      <c r="CX129" s="152"/>
      <c r="CY129" s="152"/>
      <c r="CZ129" s="152"/>
      <c r="DA129" s="152"/>
      <c r="DB129" s="152"/>
      <c r="DC129" s="152"/>
      <c r="DD129" s="152"/>
      <c r="DE129" s="152"/>
      <c r="DF129" s="152"/>
      <c r="DG129" s="152"/>
      <c r="DH129" s="152"/>
      <c r="DI129" s="152"/>
      <c r="DJ129" s="152"/>
      <c r="DK129" s="152"/>
      <c r="DL129" s="152"/>
      <c r="DM129" s="152"/>
      <c r="DN129" s="152"/>
      <c r="DO129" s="152"/>
      <c r="DP129" s="152"/>
      <c r="DQ129" s="152"/>
      <c r="DR129" s="152"/>
      <c r="DS129" s="152"/>
      <c r="DT129" s="152"/>
      <c r="DU129" s="152"/>
      <c r="DV129" s="152"/>
      <c r="DW129" s="152"/>
      <c r="DX129" s="152"/>
      <c r="DY129" s="152"/>
      <c r="DZ129" s="152"/>
      <c r="EA129" s="152"/>
      <c r="EB129" s="152"/>
      <c r="EC129" s="152"/>
      <c r="ED129" s="152"/>
      <c r="EE129" s="152"/>
      <c r="EF129" s="152"/>
      <c r="EG129" s="152"/>
      <c r="EH129" s="152"/>
      <c r="EI129" s="152"/>
      <c r="EJ129" s="152"/>
      <c r="EK129" s="152"/>
      <c r="EL129" s="152"/>
      <c r="EM129" s="152"/>
      <c r="EN129" s="152"/>
      <c r="EO129" s="152"/>
      <c r="EP129" s="152"/>
      <c r="EQ129" s="152"/>
      <c r="ER129" s="152"/>
      <c r="ES129" s="152"/>
      <c r="ET129" s="152"/>
      <c r="EU129" s="152"/>
      <c r="EV129" s="152"/>
      <c r="EW129" s="152"/>
      <c r="EX129" s="152"/>
      <c r="EY129" s="152"/>
      <c r="EZ129" s="152"/>
      <c r="FA129" s="152"/>
      <c r="FB129" s="152"/>
      <c r="FC129" s="152"/>
      <c r="FD129" s="152"/>
      <c r="FE129" s="152"/>
      <c r="FF129" s="152"/>
      <c r="FG129" s="152"/>
      <c r="FH129" s="152"/>
      <c r="FI129" s="152"/>
      <c r="FJ129" s="152"/>
      <c r="FK129" s="152"/>
      <c r="FL129" s="152"/>
      <c r="FM129" s="152"/>
      <c r="FN129" s="152"/>
      <c r="FO129" s="152"/>
      <c r="FP129" s="152"/>
      <c r="FQ129" s="152"/>
      <c r="FR129" s="152"/>
      <c r="FS129" s="152"/>
      <c r="FT129" s="152"/>
      <c r="FU129" s="152"/>
      <c r="FV129" s="152"/>
      <c r="FW129" s="152"/>
      <c r="FX129" s="152"/>
      <c r="FY129" s="152"/>
      <c r="FZ129" s="152"/>
      <c r="GA129" s="152"/>
      <c r="GB129" s="152"/>
      <c r="GC129" s="152"/>
      <c r="GD129" s="152"/>
      <c r="GE129" s="152"/>
      <c r="GF129" s="152"/>
      <c r="GG129" s="152"/>
      <c r="GH129" s="152"/>
      <c r="GI129" s="152"/>
      <c r="GJ129" s="152"/>
      <c r="GK129" s="152"/>
      <c r="GL129" s="152"/>
      <c r="GM129" s="152"/>
      <c r="GN129" s="152"/>
      <c r="GO129" s="152"/>
      <c r="GP129" s="152"/>
      <c r="GQ129" s="152"/>
      <c r="GR129" s="152"/>
      <c r="GS129" s="152"/>
      <c r="GT129" s="152"/>
      <c r="GU129" s="152"/>
      <c r="GV129" s="152"/>
      <c r="GW129" s="152"/>
      <c r="GX129" s="152"/>
      <c r="GY129" s="152"/>
      <c r="GZ129" s="152"/>
      <c r="HA129" s="152"/>
      <c r="HB129" s="152"/>
      <c r="HC129" s="152"/>
      <c r="HD129" s="152"/>
      <c r="HE129" s="152"/>
      <c r="HF129" s="152"/>
      <c r="HG129" s="152"/>
      <c r="HH129" s="152"/>
      <c r="HI129" s="152"/>
      <c r="HJ129" s="152"/>
      <c r="HK129" s="152"/>
      <c r="HL129" s="152"/>
      <c r="HM129" s="152"/>
      <c r="HN129" s="152"/>
      <c r="HO129" s="152"/>
      <c r="HP129" s="152"/>
      <c r="HQ129" s="152"/>
      <c r="HR129" s="152"/>
      <c r="HS129" s="152"/>
      <c r="HT129" s="152"/>
      <c r="HU129" s="152"/>
      <c r="HV129" s="152"/>
      <c r="HW129" s="152"/>
      <c r="HX129" s="152"/>
      <c r="HY129" s="152"/>
      <c r="HZ129" s="152"/>
      <c r="IA129" s="152"/>
      <c r="IB129" s="152"/>
      <c r="IC129" s="152"/>
      <c r="ID129" s="152"/>
      <c r="IE129" s="152"/>
      <c r="IF129" s="152"/>
      <c r="IG129" s="152"/>
      <c r="IH129" s="152"/>
      <c r="II129" s="152"/>
      <c r="IJ129" s="152"/>
      <c r="IK129" s="152"/>
      <c r="IL129" s="152"/>
      <c r="IM129" s="152"/>
      <c r="IN129" s="152"/>
      <c r="IO129" s="152"/>
      <c r="IP129" s="152"/>
      <c r="IQ129" s="152"/>
      <c r="IR129" s="152"/>
      <c r="IS129" s="152"/>
      <c r="IT129" s="152"/>
      <c r="IU129" s="152"/>
      <c r="IV129" s="152"/>
      <c r="IW129" s="152"/>
      <c r="IX129" s="152"/>
      <c r="IY129" s="152"/>
      <c r="IZ129" s="152"/>
      <c r="JA129" s="152"/>
      <c r="JB129" s="152"/>
      <c r="JC129" s="152"/>
      <c r="JD129" s="152"/>
      <c r="JE129" s="152"/>
      <c r="JF129" s="152"/>
      <c r="JG129" s="152"/>
      <c r="JH129" s="152"/>
      <c r="JI129" s="152"/>
      <c r="JJ129" s="152"/>
      <c r="JK129" s="152"/>
      <c r="JL129" s="152"/>
      <c r="JM129" s="152"/>
      <c r="JN129" s="152"/>
      <c r="JO129" s="152"/>
      <c r="JP129" s="152"/>
      <c r="JQ129" s="152"/>
      <c r="JR129" s="152"/>
      <c r="JS129" s="152"/>
      <c r="JT129" s="152"/>
      <c r="JU129" s="152"/>
      <c r="JV129" s="152"/>
      <c r="JW129" s="152"/>
      <c r="JX129" s="152"/>
      <c r="JY129" s="152"/>
      <c r="JZ129" s="152"/>
      <c r="KA129" s="152"/>
      <c r="KB129" s="152"/>
      <c r="KC129" s="152"/>
      <c r="KD129" s="152"/>
      <c r="KE129" s="152"/>
      <c r="KF129" s="152"/>
      <c r="KG129" s="152"/>
      <c r="KH129" s="152"/>
      <c r="KI129" s="152"/>
      <c r="KJ129" s="152"/>
      <c r="KK129" s="152"/>
      <c r="KL129" s="152"/>
      <c r="KM129" s="152"/>
      <c r="KN129" s="152"/>
      <c r="KO129" s="152"/>
      <c r="KP129" s="152"/>
      <c r="KQ129" s="152"/>
      <c r="KR129" s="152"/>
      <c r="KS129" s="152"/>
      <c r="KT129" s="152"/>
      <c r="KU129" s="152"/>
      <c r="KV129" s="152"/>
      <c r="KW129" s="152"/>
      <c r="KX129" s="152"/>
      <c r="KY129" s="152"/>
      <c r="KZ129" s="152"/>
      <c r="LA129" s="152"/>
      <c r="LB129" s="152"/>
      <c r="LC129" s="152"/>
      <c r="LD129" s="152"/>
      <c r="LE129" s="152"/>
      <c r="LF129" s="152"/>
      <c r="LG129" s="152"/>
      <c r="LH129" s="152"/>
      <c r="LI129" s="152"/>
      <c r="LJ129" s="152"/>
      <c r="LK129" s="152"/>
      <c r="LL129" s="152"/>
      <c r="LM129" s="152"/>
      <c r="LN129" s="152"/>
      <c r="LO129" s="152"/>
      <c r="LP129" s="152"/>
      <c r="LQ129" s="152"/>
      <c r="LR129" s="152"/>
      <c r="LS129" s="152"/>
      <c r="LT129" s="152"/>
      <c r="LU129" s="152"/>
      <c r="LV129" s="152"/>
      <c r="LW129" s="152"/>
      <c r="LX129" s="152"/>
      <c r="LY129" s="152"/>
      <c r="LZ129" s="152"/>
      <c r="MA129" s="152"/>
      <c r="MB129" s="152"/>
      <c r="MC129" s="152"/>
      <c r="MD129" s="152"/>
      <c r="ME129" s="152"/>
      <c r="MF129" s="152"/>
      <c r="MG129" s="152"/>
      <c r="MH129" s="152"/>
      <c r="MI129" s="152"/>
      <c r="MJ129" s="152"/>
      <c r="MK129" s="152"/>
      <c r="ML129" s="152"/>
      <c r="MM129" s="152"/>
      <c r="MN129" s="152"/>
      <c r="MO129" s="152"/>
      <c r="MP129" s="152"/>
      <c r="MQ129" s="152"/>
      <c r="MR129" s="152"/>
      <c r="MS129" s="152"/>
      <c r="MT129" s="152"/>
    </row>
    <row r="130" spans="1:358" s="1" customFormat="1">
      <c r="A130" s="252"/>
      <c r="B130" s="276"/>
      <c r="C130" s="276"/>
      <c r="D130" s="152"/>
      <c r="E130" s="152"/>
      <c r="F130" s="277"/>
      <c r="G130" s="277"/>
      <c r="H130" s="277"/>
      <c r="I130" s="277"/>
      <c r="J130" s="278"/>
      <c r="K130" s="277"/>
      <c r="L130" s="277"/>
      <c r="M130" s="277"/>
      <c r="N130" s="277"/>
      <c r="O130" s="277"/>
      <c r="P130" s="277"/>
      <c r="Q130" s="277"/>
      <c r="R130" s="277"/>
      <c r="S130" s="277"/>
      <c r="T130" s="280"/>
      <c r="U130" s="280"/>
      <c r="V130" s="277"/>
      <c r="W130" s="277"/>
      <c r="X130" s="279"/>
      <c r="Y130" s="279"/>
      <c r="Z130" s="279"/>
      <c r="AA130" s="279"/>
      <c r="AB130" s="279"/>
      <c r="AC130" s="279"/>
      <c r="AD130" s="279"/>
      <c r="AE130" s="279"/>
      <c r="AF130" s="279"/>
      <c r="AG130" s="279"/>
      <c r="AH130" s="152"/>
      <c r="AI130" s="152"/>
      <c r="AJ130" s="152"/>
      <c r="AK130" s="152"/>
      <c r="AL130" s="152"/>
      <c r="AM130" s="152"/>
      <c r="AN130" s="152"/>
      <c r="AO130" s="152"/>
      <c r="AP130" s="152"/>
      <c r="AQ130" s="152"/>
      <c r="AR130" s="152"/>
      <c r="AS130" s="152"/>
      <c r="AT130" s="152"/>
      <c r="AU130" s="152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  <c r="BK130" s="152"/>
      <c r="BL130" s="152"/>
      <c r="BM130" s="152"/>
      <c r="BN130" s="152"/>
      <c r="BO130" s="152"/>
      <c r="BP130" s="152"/>
      <c r="BQ130" s="152"/>
      <c r="BR130" s="152"/>
      <c r="BS130" s="152"/>
      <c r="BT130" s="152"/>
      <c r="BU130" s="152"/>
      <c r="BV130" s="152"/>
      <c r="BW130" s="152"/>
      <c r="BX130" s="152"/>
      <c r="BY130" s="152"/>
      <c r="BZ130" s="152"/>
      <c r="CA130" s="152"/>
      <c r="CB130" s="152"/>
      <c r="CC130" s="152"/>
      <c r="CD130" s="152"/>
      <c r="CE130" s="152"/>
      <c r="CF130" s="152"/>
      <c r="CG130" s="152"/>
      <c r="CH130" s="152"/>
      <c r="CI130" s="152"/>
      <c r="CJ130" s="152"/>
      <c r="CK130" s="152"/>
      <c r="CL130" s="152"/>
      <c r="CM130" s="152"/>
      <c r="CN130" s="152"/>
      <c r="CO130" s="152"/>
      <c r="CP130" s="152"/>
      <c r="CQ130" s="152"/>
      <c r="CR130" s="152"/>
      <c r="CS130" s="152"/>
      <c r="CT130" s="152"/>
      <c r="CU130" s="152"/>
      <c r="CV130" s="152"/>
      <c r="CW130" s="152"/>
      <c r="CX130" s="152"/>
      <c r="CY130" s="152"/>
      <c r="CZ130" s="152"/>
      <c r="DA130" s="152"/>
      <c r="DB130" s="152"/>
      <c r="DC130" s="152"/>
      <c r="DD130" s="152"/>
      <c r="DE130" s="152"/>
      <c r="DF130" s="152"/>
      <c r="DG130" s="152"/>
      <c r="DH130" s="152"/>
      <c r="DI130" s="152"/>
      <c r="DJ130" s="152"/>
      <c r="DK130" s="152"/>
      <c r="DL130" s="152"/>
      <c r="DM130" s="152"/>
      <c r="DN130" s="152"/>
      <c r="DO130" s="152"/>
      <c r="DP130" s="152"/>
      <c r="DQ130" s="152"/>
      <c r="DR130" s="152"/>
      <c r="DS130" s="152"/>
      <c r="DT130" s="152"/>
      <c r="DU130" s="152"/>
      <c r="DV130" s="152"/>
      <c r="DW130" s="152"/>
      <c r="DX130" s="152"/>
      <c r="DY130" s="152"/>
      <c r="DZ130" s="152"/>
      <c r="EA130" s="152"/>
      <c r="EB130" s="152"/>
      <c r="EC130" s="152"/>
      <c r="ED130" s="152"/>
      <c r="EE130" s="152"/>
      <c r="EF130" s="152"/>
      <c r="EG130" s="152"/>
      <c r="EH130" s="152"/>
      <c r="EI130" s="152"/>
      <c r="EJ130" s="152"/>
      <c r="EK130" s="152"/>
      <c r="EL130" s="152"/>
      <c r="EM130" s="152"/>
      <c r="EN130" s="152"/>
      <c r="EO130" s="152"/>
      <c r="EP130" s="152"/>
      <c r="EQ130" s="152"/>
      <c r="ER130" s="152"/>
      <c r="ES130" s="152"/>
      <c r="ET130" s="152"/>
      <c r="EU130" s="152"/>
      <c r="EV130" s="152"/>
      <c r="EW130" s="152"/>
      <c r="EX130" s="152"/>
      <c r="EY130" s="152"/>
      <c r="EZ130" s="152"/>
      <c r="FA130" s="152"/>
      <c r="FB130" s="152"/>
      <c r="FC130" s="152"/>
      <c r="FD130" s="152"/>
      <c r="FE130" s="152"/>
      <c r="FF130" s="152"/>
      <c r="FG130" s="152"/>
      <c r="FH130" s="152"/>
      <c r="FI130" s="152"/>
      <c r="FJ130" s="152"/>
      <c r="FK130" s="152"/>
      <c r="FL130" s="152"/>
      <c r="FM130" s="152"/>
      <c r="FN130" s="152"/>
      <c r="FO130" s="152"/>
      <c r="FP130" s="152"/>
      <c r="FQ130" s="152"/>
      <c r="FR130" s="152"/>
      <c r="FS130" s="152"/>
      <c r="FT130" s="152"/>
      <c r="FU130" s="152"/>
      <c r="FV130" s="152"/>
      <c r="FW130" s="152"/>
      <c r="FX130" s="152"/>
      <c r="FY130" s="152"/>
      <c r="FZ130" s="152"/>
      <c r="GA130" s="152"/>
      <c r="GB130" s="152"/>
      <c r="GC130" s="152"/>
      <c r="GD130" s="152"/>
      <c r="GE130" s="152"/>
      <c r="GF130" s="152"/>
      <c r="GG130" s="152"/>
      <c r="GH130" s="152"/>
      <c r="GI130" s="152"/>
      <c r="GJ130" s="152"/>
      <c r="GK130" s="152"/>
      <c r="GL130" s="152"/>
      <c r="GM130" s="152"/>
      <c r="GN130" s="152"/>
      <c r="GO130" s="152"/>
      <c r="GP130" s="152"/>
      <c r="GQ130" s="152"/>
      <c r="GR130" s="152"/>
      <c r="GS130" s="152"/>
      <c r="GT130" s="152"/>
      <c r="GU130" s="152"/>
      <c r="GV130" s="152"/>
      <c r="GW130" s="152"/>
      <c r="GX130" s="152"/>
      <c r="GY130" s="152"/>
      <c r="GZ130" s="152"/>
      <c r="HA130" s="152"/>
      <c r="HB130" s="152"/>
      <c r="HC130" s="152"/>
      <c r="HD130" s="152"/>
      <c r="HE130" s="152"/>
      <c r="HF130" s="152"/>
      <c r="HG130" s="152"/>
      <c r="HH130" s="152"/>
      <c r="HI130" s="152"/>
      <c r="HJ130" s="152"/>
      <c r="HK130" s="152"/>
      <c r="HL130" s="152"/>
      <c r="HM130" s="152"/>
      <c r="HN130" s="152"/>
      <c r="HO130" s="152"/>
      <c r="HP130" s="152"/>
      <c r="HQ130" s="152"/>
      <c r="HR130" s="152"/>
      <c r="HS130" s="152"/>
      <c r="HT130" s="152"/>
      <c r="HU130" s="152"/>
      <c r="HV130" s="152"/>
      <c r="HW130" s="152"/>
      <c r="HX130" s="152"/>
      <c r="HY130" s="152"/>
      <c r="HZ130" s="152"/>
      <c r="IA130" s="152"/>
      <c r="IB130" s="152"/>
      <c r="IC130" s="152"/>
      <c r="ID130" s="152"/>
      <c r="IE130" s="152"/>
      <c r="IF130" s="152"/>
      <c r="IG130" s="152"/>
      <c r="IH130" s="152"/>
      <c r="II130" s="152"/>
      <c r="IJ130" s="152"/>
      <c r="IK130" s="152"/>
      <c r="IL130" s="152"/>
      <c r="IM130" s="152"/>
      <c r="IN130" s="152"/>
      <c r="IO130" s="152"/>
      <c r="IP130" s="152"/>
      <c r="IQ130" s="152"/>
      <c r="IR130" s="152"/>
      <c r="IS130" s="152"/>
      <c r="IT130" s="152"/>
      <c r="IU130" s="152"/>
      <c r="IV130" s="152"/>
      <c r="IW130" s="152"/>
      <c r="IX130" s="152"/>
      <c r="IY130" s="152"/>
      <c r="IZ130" s="152"/>
      <c r="JA130" s="152"/>
      <c r="JB130" s="152"/>
      <c r="JC130" s="152"/>
      <c r="JD130" s="152"/>
      <c r="JE130" s="152"/>
      <c r="JF130" s="152"/>
      <c r="JG130" s="152"/>
      <c r="JH130" s="152"/>
      <c r="JI130" s="152"/>
      <c r="JJ130" s="152"/>
      <c r="JK130" s="152"/>
      <c r="JL130" s="152"/>
      <c r="JM130" s="152"/>
      <c r="JN130" s="152"/>
      <c r="JO130" s="152"/>
      <c r="JP130" s="152"/>
      <c r="JQ130" s="152"/>
      <c r="JR130" s="152"/>
      <c r="JS130" s="152"/>
      <c r="JT130" s="152"/>
      <c r="JU130" s="152"/>
      <c r="JV130" s="152"/>
      <c r="JW130" s="152"/>
      <c r="JX130" s="152"/>
      <c r="JY130" s="152"/>
      <c r="JZ130" s="152"/>
      <c r="KA130" s="152"/>
      <c r="KB130" s="152"/>
      <c r="KC130" s="152"/>
      <c r="KD130" s="152"/>
      <c r="KE130" s="152"/>
      <c r="KF130" s="152"/>
      <c r="KG130" s="152"/>
      <c r="KH130" s="152"/>
      <c r="KI130" s="152"/>
      <c r="KJ130" s="152"/>
      <c r="KK130" s="152"/>
      <c r="KL130" s="152"/>
      <c r="KM130" s="152"/>
      <c r="KN130" s="152"/>
      <c r="KO130" s="152"/>
      <c r="KP130" s="152"/>
      <c r="KQ130" s="152"/>
      <c r="KR130" s="152"/>
      <c r="KS130" s="152"/>
      <c r="KT130" s="152"/>
      <c r="KU130" s="152"/>
      <c r="KV130" s="152"/>
      <c r="KW130" s="152"/>
      <c r="KX130" s="152"/>
      <c r="KY130" s="152"/>
      <c r="KZ130" s="152"/>
      <c r="LA130" s="152"/>
      <c r="LB130" s="152"/>
      <c r="LC130" s="152"/>
      <c r="LD130" s="152"/>
      <c r="LE130" s="152"/>
      <c r="LF130" s="152"/>
      <c r="LG130" s="152"/>
      <c r="LH130" s="152"/>
      <c r="LI130" s="152"/>
      <c r="LJ130" s="152"/>
      <c r="LK130" s="152"/>
      <c r="LL130" s="152"/>
      <c r="LM130" s="152"/>
      <c r="LN130" s="152"/>
      <c r="LO130" s="152"/>
      <c r="LP130" s="152"/>
      <c r="LQ130" s="152"/>
      <c r="LR130" s="152"/>
      <c r="LS130" s="152"/>
      <c r="LT130" s="152"/>
      <c r="LU130" s="152"/>
      <c r="LV130" s="152"/>
      <c r="LW130" s="152"/>
      <c r="LX130" s="152"/>
      <c r="LY130" s="152"/>
      <c r="LZ130" s="152"/>
      <c r="MA130" s="152"/>
      <c r="MB130" s="152"/>
      <c r="MC130" s="152"/>
      <c r="MD130" s="152"/>
      <c r="ME130" s="152"/>
      <c r="MF130" s="152"/>
      <c r="MG130" s="152"/>
      <c r="MH130" s="152"/>
      <c r="MI130" s="152"/>
      <c r="MJ130" s="152"/>
      <c r="MK130" s="152"/>
      <c r="ML130" s="152"/>
      <c r="MM130" s="152"/>
      <c r="MN130" s="152"/>
      <c r="MO130" s="152"/>
      <c r="MP130" s="152"/>
      <c r="MQ130" s="152"/>
      <c r="MR130" s="152"/>
      <c r="MS130" s="152"/>
      <c r="MT130" s="152"/>
    </row>
    <row r="131" spans="1:358" s="1" customFormat="1">
      <c r="A131" s="252"/>
      <c r="B131" s="276"/>
      <c r="C131" s="276"/>
      <c r="D131" s="152"/>
      <c r="E131" s="152"/>
      <c r="F131" s="277"/>
      <c r="G131" s="277"/>
      <c r="H131" s="277"/>
      <c r="I131" s="277"/>
      <c r="J131" s="278"/>
      <c r="K131" s="277"/>
      <c r="L131" s="277"/>
      <c r="M131" s="277"/>
      <c r="N131" s="277"/>
      <c r="O131" s="277"/>
      <c r="P131" s="277"/>
      <c r="Q131" s="277"/>
      <c r="R131" s="277"/>
      <c r="S131" s="277"/>
      <c r="T131" s="280"/>
      <c r="U131" s="280"/>
      <c r="V131" s="277"/>
      <c r="W131" s="277"/>
      <c r="X131" s="279"/>
      <c r="Y131" s="279"/>
      <c r="Z131" s="279"/>
      <c r="AA131" s="279"/>
      <c r="AB131" s="279"/>
      <c r="AC131" s="279"/>
      <c r="AD131" s="279"/>
      <c r="AE131" s="279"/>
      <c r="AF131" s="279"/>
      <c r="AG131" s="279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  <c r="BK131" s="152"/>
      <c r="BL131" s="152"/>
      <c r="BM131" s="152"/>
      <c r="BN131" s="152"/>
      <c r="BO131" s="152"/>
      <c r="BP131" s="152"/>
      <c r="BQ131" s="152"/>
      <c r="BR131" s="152"/>
      <c r="BS131" s="152"/>
      <c r="BT131" s="152"/>
      <c r="BU131" s="152"/>
      <c r="BV131" s="152"/>
      <c r="BW131" s="152"/>
      <c r="BX131" s="152"/>
      <c r="BY131" s="152"/>
      <c r="BZ131" s="152"/>
      <c r="CA131" s="152"/>
      <c r="CB131" s="152"/>
      <c r="CC131" s="152"/>
      <c r="CD131" s="152"/>
      <c r="CE131" s="152"/>
      <c r="CF131" s="152"/>
      <c r="CG131" s="152"/>
      <c r="CH131" s="152"/>
      <c r="CI131" s="152"/>
      <c r="CJ131" s="152"/>
      <c r="CK131" s="152"/>
      <c r="CL131" s="152"/>
      <c r="CM131" s="152"/>
      <c r="CN131" s="152"/>
      <c r="CO131" s="152"/>
      <c r="CP131" s="152"/>
      <c r="CQ131" s="152"/>
      <c r="CR131" s="152"/>
      <c r="CS131" s="152"/>
      <c r="CT131" s="152"/>
      <c r="CU131" s="152"/>
      <c r="CV131" s="152"/>
      <c r="CW131" s="152"/>
      <c r="CX131" s="152"/>
      <c r="CY131" s="152"/>
      <c r="CZ131" s="152"/>
      <c r="DA131" s="152"/>
      <c r="DB131" s="152"/>
      <c r="DC131" s="152"/>
      <c r="DD131" s="152"/>
      <c r="DE131" s="152"/>
      <c r="DF131" s="152"/>
      <c r="DG131" s="152"/>
      <c r="DH131" s="152"/>
      <c r="DI131" s="152"/>
      <c r="DJ131" s="152"/>
      <c r="DK131" s="152"/>
      <c r="DL131" s="152"/>
      <c r="DM131" s="152"/>
      <c r="DN131" s="152"/>
      <c r="DO131" s="152"/>
      <c r="DP131" s="152"/>
      <c r="DQ131" s="152"/>
      <c r="DR131" s="152"/>
      <c r="DS131" s="152"/>
      <c r="DT131" s="152"/>
      <c r="DU131" s="152"/>
      <c r="DV131" s="152"/>
      <c r="DW131" s="152"/>
      <c r="DX131" s="152"/>
      <c r="DY131" s="152"/>
      <c r="DZ131" s="152"/>
      <c r="EA131" s="152"/>
      <c r="EB131" s="152"/>
      <c r="EC131" s="152"/>
      <c r="ED131" s="152"/>
      <c r="EE131" s="152"/>
      <c r="EF131" s="152"/>
      <c r="EG131" s="152"/>
      <c r="EH131" s="152"/>
      <c r="EI131" s="152"/>
      <c r="EJ131" s="152"/>
      <c r="EK131" s="152"/>
      <c r="EL131" s="152"/>
      <c r="EM131" s="152"/>
      <c r="EN131" s="152"/>
      <c r="EO131" s="152"/>
      <c r="EP131" s="152"/>
      <c r="EQ131" s="152"/>
      <c r="ER131" s="152"/>
      <c r="ES131" s="152"/>
      <c r="ET131" s="152"/>
      <c r="EU131" s="152"/>
      <c r="EV131" s="152"/>
      <c r="EW131" s="152"/>
      <c r="EX131" s="152"/>
      <c r="EY131" s="152"/>
      <c r="EZ131" s="152"/>
      <c r="FA131" s="152"/>
      <c r="FB131" s="152"/>
      <c r="FC131" s="152"/>
      <c r="FD131" s="152"/>
      <c r="FE131" s="152"/>
      <c r="FF131" s="152"/>
      <c r="FG131" s="152"/>
      <c r="FH131" s="152"/>
      <c r="FI131" s="152"/>
      <c r="FJ131" s="152"/>
      <c r="FK131" s="152"/>
      <c r="FL131" s="152"/>
      <c r="FM131" s="152"/>
      <c r="FN131" s="152"/>
      <c r="FO131" s="152"/>
      <c r="FP131" s="152"/>
      <c r="FQ131" s="152"/>
      <c r="FR131" s="152"/>
      <c r="FS131" s="152"/>
      <c r="FT131" s="152"/>
      <c r="FU131" s="152"/>
      <c r="FV131" s="152"/>
      <c r="FW131" s="152"/>
      <c r="FX131" s="152"/>
      <c r="FY131" s="152"/>
      <c r="FZ131" s="152"/>
      <c r="GA131" s="152"/>
      <c r="GB131" s="152"/>
      <c r="GC131" s="152"/>
      <c r="GD131" s="152"/>
      <c r="GE131" s="152"/>
      <c r="GF131" s="152"/>
      <c r="GG131" s="152"/>
      <c r="GH131" s="152"/>
      <c r="GI131" s="152"/>
      <c r="GJ131" s="152"/>
      <c r="GK131" s="152"/>
      <c r="GL131" s="152"/>
      <c r="GM131" s="152"/>
      <c r="GN131" s="152"/>
      <c r="GO131" s="152"/>
      <c r="GP131" s="152"/>
      <c r="GQ131" s="152"/>
      <c r="GR131" s="152"/>
      <c r="GS131" s="152"/>
      <c r="GT131" s="152"/>
      <c r="GU131" s="152"/>
      <c r="GV131" s="152"/>
      <c r="GW131" s="152"/>
      <c r="GX131" s="152"/>
      <c r="GY131" s="152"/>
      <c r="GZ131" s="152"/>
      <c r="HA131" s="152"/>
      <c r="HB131" s="152"/>
      <c r="HC131" s="152"/>
      <c r="HD131" s="152"/>
      <c r="HE131" s="152"/>
      <c r="HF131" s="152"/>
      <c r="HG131" s="152"/>
      <c r="HH131" s="152"/>
      <c r="HI131" s="152"/>
      <c r="HJ131" s="152"/>
      <c r="HK131" s="152"/>
      <c r="HL131" s="152"/>
      <c r="HM131" s="152"/>
      <c r="HN131" s="152"/>
      <c r="HO131" s="152"/>
      <c r="HP131" s="152"/>
      <c r="HQ131" s="152"/>
      <c r="HR131" s="152"/>
      <c r="HS131" s="152"/>
      <c r="HT131" s="152"/>
      <c r="HU131" s="152"/>
      <c r="HV131" s="152"/>
      <c r="HW131" s="152"/>
      <c r="HX131" s="152"/>
      <c r="HY131" s="152"/>
      <c r="HZ131" s="152"/>
      <c r="IA131" s="152"/>
      <c r="IB131" s="152"/>
      <c r="IC131" s="152"/>
      <c r="ID131" s="152"/>
      <c r="IE131" s="152"/>
      <c r="IF131" s="152"/>
      <c r="IG131" s="152"/>
      <c r="IH131" s="152"/>
      <c r="II131" s="152"/>
      <c r="IJ131" s="152"/>
      <c r="IK131" s="152"/>
      <c r="IL131" s="152"/>
      <c r="IM131" s="152"/>
      <c r="IN131" s="152"/>
      <c r="IO131" s="152"/>
      <c r="IP131" s="152"/>
      <c r="IQ131" s="152"/>
      <c r="IR131" s="152"/>
      <c r="IS131" s="152"/>
      <c r="IT131" s="152"/>
      <c r="IU131" s="152"/>
      <c r="IV131" s="152"/>
      <c r="IW131" s="152"/>
      <c r="IX131" s="152"/>
      <c r="IY131" s="152"/>
      <c r="IZ131" s="152"/>
      <c r="JA131" s="152"/>
      <c r="JB131" s="152"/>
      <c r="JC131" s="152"/>
      <c r="JD131" s="152"/>
      <c r="JE131" s="152"/>
      <c r="JF131" s="152"/>
      <c r="JG131" s="152"/>
      <c r="JH131" s="152"/>
      <c r="JI131" s="152"/>
      <c r="JJ131" s="152"/>
      <c r="JK131" s="152"/>
      <c r="JL131" s="152"/>
      <c r="JM131" s="152"/>
      <c r="JN131" s="152"/>
      <c r="JO131" s="152"/>
      <c r="JP131" s="152"/>
      <c r="JQ131" s="152"/>
      <c r="JR131" s="152"/>
      <c r="JS131" s="152"/>
      <c r="JT131" s="152"/>
      <c r="JU131" s="152"/>
      <c r="JV131" s="152"/>
      <c r="JW131" s="152"/>
      <c r="JX131" s="152"/>
      <c r="JY131" s="152"/>
      <c r="JZ131" s="152"/>
      <c r="KA131" s="152"/>
      <c r="KB131" s="152"/>
      <c r="KC131" s="152"/>
      <c r="KD131" s="152"/>
      <c r="KE131" s="152"/>
      <c r="KF131" s="152"/>
      <c r="KG131" s="152"/>
      <c r="KH131" s="152"/>
      <c r="KI131" s="152"/>
      <c r="KJ131" s="152"/>
      <c r="KK131" s="152"/>
      <c r="KL131" s="152"/>
      <c r="KM131" s="152"/>
      <c r="KN131" s="152"/>
      <c r="KO131" s="152"/>
      <c r="KP131" s="152"/>
      <c r="KQ131" s="152"/>
      <c r="KR131" s="152"/>
      <c r="KS131" s="152"/>
      <c r="KT131" s="152"/>
      <c r="KU131" s="152"/>
      <c r="KV131" s="152"/>
      <c r="KW131" s="152"/>
      <c r="KX131" s="152"/>
      <c r="KY131" s="152"/>
      <c r="KZ131" s="152"/>
      <c r="LA131" s="152"/>
      <c r="LB131" s="152"/>
      <c r="LC131" s="152"/>
      <c r="LD131" s="152"/>
      <c r="LE131" s="152"/>
      <c r="LF131" s="152"/>
      <c r="LG131" s="152"/>
      <c r="LH131" s="152"/>
      <c r="LI131" s="152"/>
      <c r="LJ131" s="152"/>
      <c r="LK131" s="152"/>
      <c r="LL131" s="152"/>
      <c r="LM131" s="152"/>
      <c r="LN131" s="152"/>
      <c r="LO131" s="152"/>
      <c r="LP131" s="152"/>
      <c r="LQ131" s="152"/>
      <c r="LR131" s="152"/>
      <c r="LS131" s="152"/>
      <c r="LT131" s="152"/>
      <c r="LU131" s="152"/>
      <c r="LV131" s="152"/>
      <c r="LW131" s="152"/>
      <c r="LX131" s="152"/>
      <c r="LY131" s="152"/>
      <c r="LZ131" s="152"/>
      <c r="MA131" s="152"/>
      <c r="MB131" s="152"/>
      <c r="MC131" s="152"/>
      <c r="MD131" s="152"/>
      <c r="ME131" s="152"/>
      <c r="MF131" s="152"/>
      <c r="MG131" s="152"/>
      <c r="MH131" s="152"/>
      <c r="MI131" s="152"/>
      <c r="MJ131" s="152"/>
      <c r="MK131" s="152"/>
      <c r="ML131" s="152"/>
      <c r="MM131" s="152"/>
      <c r="MN131" s="152"/>
      <c r="MO131" s="152"/>
      <c r="MP131" s="152"/>
      <c r="MQ131" s="152"/>
      <c r="MR131" s="152"/>
      <c r="MS131" s="152"/>
      <c r="MT131" s="152"/>
    </row>
    <row r="132" spans="1:358" s="1" customFormat="1">
      <c r="A132" s="252"/>
      <c r="B132" s="276"/>
      <c r="C132" s="276"/>
      <c r="D132" s="152"/>
      <c r="E132" s="152"/>
      <c r="F132" s="277"/>
      <c r="G132" s="277"/>
      <c r="H132" s="277"/>
      <c r="I132" s="277"/>
      <c r="J132" s="278"/>
      <c r="K132" s="277"/>
      <c r="L132" s="277"/>
      <c r="M132" s="277"/>
      <c r="N132" s="277"/>
      <c r="O132" s="277"/>
      <c r="P132" s="277"/>
      <c r="Q132" s="277"/>
      <c r="R132" s="277"/>
      <c r="S132" s="277"/>
      <c r="T132" s="280"/>
      <c r="U132" s="280"/>
      <c r="V132" s="277"/>
      <c r="W132" s="277"/>
      <c r="X132" s="279"/>
      <c r="Y132" s="279"/>
      <c r="Z132" s="279"/>
      <c r="AA132" s="279"/>
      <c r="AB132" s="279"/>
      <c r="AC132" s="279"/>
      <c r="AD132" s="279"/>
      <c r="AE132" s="279"/>
      <c r="AF132" s="279"/>
      <c r="AG132" s="279"/>
      <c r="AH132" s="152"/>
      <c r="AI132" s="152"/>
      <c r="AJ132" s="152"/>
      <c r="AK132" s="152"/>
      <c r="AL132" s="152"/>
      <c r="AM132" s="152"/>
      <c r="AN132" s="152"/>
      <c r="AO132" s="152"/>
      <c r="AP132" s="152"/>
      <c r="AQ132" s="152"/>
      <c r="AR132" s="152"/>
      <c r="AS132" s="152"/>
      <c r="AT132" s="152"/>
      <c r="AU132" s="152"/>
      <c r="AV132" s="152"/>
      <c r="AW132" s="152"/>
      <c r="AX132" s="152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  <c r="BK132" s="152"/>
      <c r="BL132" s="152"/>
      <c r="BM132" s="152"/>
      <c r="BN132" s="152"/>
      <c r="BO132" s="152"/>
      <c r="BP132" s="152"/>
      <c r="BQ132" s="152"/>
      <c r="BR132" s="152"/>
      <c r="BS132" s="152"/>
      <c r="BT132" s="152"/>
      <c r="BU132" s="152"/>
      <c r="BV132" s="152"/>
      <c r="BW132" s="152"/>
      <c r="BX132" s="152"/>
      <c r="BY132" s="152"/>
      <c r="BZ132" s="152"/>
      <c r="CA132" s="152"/>
      <c r="CB132" s="152"/>
      <c r="CC132" s="152"/>
      <c r="CD132" s="152"/>
      <c r="CE132" s="152"/>
      <c r="CF132" s="152"/>
      <c r="CG132" s="152"/>
      <c r="CH132" s="152"/>
      <c r="CI132" s="152"/>
      <c r="CJ132" s="152"/>
      <c r="CK132" s="152"/>
      <c r="CL132" s="152"/>
      <c r="CM132" s="152"/>
      <c r="CN132" s="152"/>
      <c r="CO132" s="152"/>
      <c r="CP132" s="152"/>
      <c r="CQ132" s="152"/>
      <c r="CR132" s="152"/>
      <c r="CS132" s="152"/>
      <c r="CT132" s="152"/>
      <c r="CU132" s="152"/>
      <c r="CV132" s="152"/>
      <c r="CW132" s="152"/>
      <c r="CX132" s="152"/>
      <c r="CY132" s="152"/>
      <c r="CZ132" s="152"/>
      <c r="DA132" s="152"/>
      <c r="DB132" s="152"/>
      <c r="DC132" s="152"/>
      <c r="DD132" s="152"/>
      <c r="DE132" s="152"/>
      <c r="DF132" s="152"/>
      <c r="DG132" s="152"/>
      <c r="DH132" s="152"/>
      <c r="DI132" s="152"/>
      <c r="DJ132" s="152"/>
      <c r="DK132" s="152"/>
      <c r="DL132" s="152"/>
      <c r="DM132" s="152"/>
      <c r="DN132" s="152"/>
      <c r="DO132" s="152"/>
      <c r="DP132" s="152"/>
      <c r="DQ132" s="152"/>
      <c r="DR132" s="152"/>
      <c r="DS132" s="152"/>
      <c r="DT132" s="152"/>
      <c r="DU132" s="152"/>
      <c r="DV132" s="152"/>
      <c r="DW132" s="152"/>
      <c r="DX132" s="152"/>
      <c r="DY132" s="152"/>
      <c r="DZ132" s="152"/>
      <c r="EA132" s="152"/>
      <c r="EB132" s="152"/>
      <c r="EC132" s="152"/>
      <c r="ED132" s="152"/>
      <c r="EE132" s="152"/>
      <c r="EF132" s="152"/>
      <c r="EG132" s="152"/>
      <c r="EH132" s="152"/>
      <c r="EI132" s="152"/>
      <c r="EJ132" s="152"/>
      <c r="EK132" s="152"/>
      <c r="EL132" s="152"/>
      <c r="EM132" s="152"/>
      <c r="EN132" s="152"/>
      <c r="EO132" s="152"/>
      <c r="EP132" s="152"/>
      <c r="EQ132" s="152"/>
      <c r="ER132" s="152"/>
      <c r="ES132" s="152"/>
      <c r="ET132" s="152"/>
      <c r="EU132" s="152"/>
      <c r="EV132" s="152"/>
      <c r="EW132" s="152"/>
      <c r="EX132" s="152"/>
      <c r="EY132" s="152"/>
      <c r="EZ132" s="152"/>
      <c r="FA132" s="152"/>
      <c r="FB132" s="152"/>
      <c r="FC132" s="152"/>
      <c r="FD132" s="152"/>
      <c r="FE132" s="152"/>
      <c r="FF132" s="152"/>
      <c r="FG132" s="152"/>
      <c r="FH132" s="152"/>
      <c r="FI132" s="152"/>
      <c r="FJ132" s="152"/>
      <c r="FK132" s="152"/>
      <c r="FL132" s="152"/>
      <c r="FM132" s="152"/>
      <c r="FN132" s="152"/>
      <c r="FO132" s="152"/>
      <c r="FP132" s="152"/>
      <c r="FQ132" s="152"/>
      <c r="FR132" s="152"/>
      <c r="FS132" s="152"/>
      <c r="FT132" s="152"/>
      <c r="FU132" s="152"/>
      <c r="FV132" s="152"/>
      <c r="FW132" s="152"/>
      <c r="FX132" s="152"/>
      <c r="FY132" s="152"/>
      <c r="FZ132" s="152"/>
      <c r="GA132" s="152"/>
      <c r="GB132" s="152"/>
      <c r="GC132" s="152"/>
      <c r="GD132" s="152"/>
      <c r="GE132" s="152"/>
      <c r="GF132" s="152"/>
      <c r="GG132" s="152"/>
      <c r="GH132" s="152"/>
      <c r="GI132" s="152"/>
      <c r="GJ132" s="152"/>
      <c r="GK132" s="152"/>
      <c r="GL132" s="152"/>
      <c r="GM132" s="152"/>
      <c r="GN132" s="152"/>
      <c r="GO132" s="152"/>
      <c r="GP132" s="152"/>
      <c r="GQ132" s="152"/>
      <c r="GR132" s="152"/>
      <c r="GS132" s="152"/>
      <c r="GT132" s="152"/>
      <c r="GU132" s="152"/>
      <c r="GV132" s="152"/>
      <c r="GW132" s="152"/>
      <c r="GX132" s="152"/>
      <c r="GY132" s="152"/>
      <c r="GZ132" s="152"/>
      <c r="HA132" s="152"/>
      <c r="HB132" s="152"/>
      <c r="HC132" s="152"/>
      <c r="HD132" s="152"/>
      <c r="HE132" s="152"/>
      <c r="HF132" s="152"/>
      <c r="HG132" s="152"/>
      <c r="HH132" s="152"/>
      <c r="HI132" s="152"/>
      <c r="HJ132" s="152"/>
      <c r="HK132" s="152"/>
      <c r="HL132" s="152"/>
      <c r="HM132" s="152"/>
      <c r="HN132" s="152"/>
      <c r="HO132" s="152"/>
      <c r="HP132" s="152"/>
      <c r="HQ132" s="152"/>
      <c r="HR132" s="152"/>
      <c r="HS132" s="152"/>
      <c r="HT132" s="152"/>
      <c r="HU132" s="152"/>
      <c r="HV132" s="152"/>
      <c r="HW132" s="152"/>
      <c r="HX132" s="152"/>
      <c r="HY132" s="152"/>
      <c r="HZ132" s="152"/>
      <c r="IA132" s="152"/>
      <c r="IB132" s="152"/>
      <c r="IC132" s="152"/>
      <c r="ID132" s="152"/>
      <c r="IE132" s="152"/>
      <c r="IF132" s="152"/>
      <c r="IG132" s="152"/>
      <c r="IH132" s="152"/>
      <c r="II132" s="152"/>
      <c r="IJ132" s="152"/>
      <c r="IK132" s="152"/>
      <c r="IL132" s="152"/>
      <c r="IM132" s="152"/>
      <c r="IN132" s="152"/>
      <c r="IO132" s="152"/>
      <c r="IP132" s="152"/>
      <c r="IQ132" s="152"/>
      <c r="IR132" s="152"/>
      <c r="IS132" s="152"/>
      <c r="IT132" s="152"/>
      <c r="IU132" s="152"/>
      <c r="IV132" s="152"/>
      <c r="IW132" s="152"/>
      <c r="IX132" s="152"/>
      <c r="IY132" s="152"/>
      <c r="IZ132" s="152"/>
      <c r="JA132" s="152"/>
      <c r="JB132" s="152"/>
      <c r="JC132" s="152"/>
      <c r="JD132" s="152"/>
      <c r="JE132" s="152"/>
      <c r="JF132" s="152"/>
      <c r="JG132" s="152"/>
      <c r="JH132" s="152"/>
      <c r="JI132" s="152"/>
      <c r="JJ132" s="152"/>
      <c r="JK132" s="152"/>
      <c r="JL132" s="152"/>
      <c r="JM132" s="152"/>
      <c r="JN132" s="152"/>
      <c r="JO132" s="152"/>
      <c r="JP132" s="152"/>
      <c r="JQ132" s="152"/>
      <c r="JR132" s="152"/>
      <c r="JS132" s="152"/>
      <c r="JT132" s="152"/>
      <c r="JU132" s="152"/>
      <c r="JV132" s="152"/>
      <c r="JW132" s="152"/>
      <c r="JX132" s="152"/>
      <c r="JY132" s="152"/>
      <c r="JZ132" s="152"/>
      <c r="KA132" s="152"/>
      <c r="KB132" s="152"/>
      <c r="KC132" s="152"/>
      <c r="KD132" s="152"/>
      <c r="KE132" s="152"/>
      <c r="KF132" s="152"/>
      <c r="KG132" s="152"/>
      <c r="KH132" s="152"/>
      <c r="KI132" s="152"/>
      <c r="KJ132" s="152"/>
      <c r="KK132" s="152"/>
      <c r="KL132" s="152"/>
      <c r="KM132" s="152"/>
      <c r="KN132" s="152"/>
      <c r="KO132" s="152"/>
      <c r="KP132" s="152"/>
      <c r="KQ132" s="152"/>
      <c r="KR132" s="152"/>
      <c r="KS132" s="152"/>
      <c r="KT132" s="152"/>
      <c r="KU132" s="152"/>
      <c r="KV132" s="152"/>
      <c r="KW132" s="152"/>
      <c r="KX132" s="152"/>
      <c r="KY132" s="152"/>
      <c r="KZ132" s="152"/>
      <c r="LA132" s="152"/>
      <c r="LB132" s="152"/>
      <c r="LC132" s="152"/>
      <c r="LD132" s="152"/>
      <c r="LE132" s="152"/>
      <c r="LF132" s="152"/>
      <c r="LG132" s="152"/>
      <c r="LH132" s="152"/>
      <c r="LI132" s="152"/>
      <c r="LJ132" s="152"/>
      <c r="LK132" s="152"/>
      <c r="LL132" s="152"/>
      <c r="LM132" s="152"/>
      <c r="LN132" s="152"/>
      <c r="LO132" s="152"/>
      <c r="LP132" s="152"/>
      <c r="LQ132" s="152"/>
      <c r="LR132" s="152"/>
      <c r="LS132" s="152"/>
      <c r="LT132" s="152"/>
      <c r="LU132" s="152"/>
      <c r="LV132" s="152"/>
      <c r="LW132" s="152"/>
      <c r="LX132" s="152"/>
      <c r="LY132" s="152"/>
      <c r="LZ132" s="152"/>
      <c r="MA132" s="152"/>
      <c r="MB132" s="152"/>
      <c r="MC132" s="152"/>
      <c r="MD132" s="152"/>
      <c r="ME132" s="152"/>
      <c r="MF132" s="152"/>
      <c r="MG132" s="152"/>
      <c r="MH132" s="152"/>
      <c r="MI132" s="152"/>
      <c r="MJ132" s="152"/>
      <c r="MK132" s="152"/>
      <c r="ML132" s="152"/>
      <c r="MM132" s="152"/>
      <c r="MN132" s="152"/>
      <c r="MO132" s="152"/>
      <c r="MP132" s="152"/>
      <c r="MQ132" s="152"/>
      <c r="MR132" s="152"/>
      <c r="MS132" s="152"/>
      <c r="MT132" s="152"/>
    </row>
    <row r="133" spans="1:358" s="1" customFormat="1">
      <c r="A133" s="252"/>
      <c r="B133" s="276"/>
      <c r="C133" s="276"/>
      <c r="D133" s="152"/>
      <c r="E133" s="152"/>
      <c r="F133" s="277"/>
      <c r="G133" s="277"/>
      <c r="H133" s="277"/>
      <c r="I133" s="277"/>
      <c r="J133" s="278"/>
      <c r="K133" s="277"/>
      <c r="L133" s="277"/>
      <c r="M133" s="277"/>
      <c r="N133" s="277"/>
      <c r="O133" s="277"/>
      <c r="P133" s="277"/>
      <c r="Q133" s="277"/>
      <c r="R133" s="277"/>
      <c r="S133" s="277"/>
      <c r="T133" s="280"/>
      <c r="U133" s="280"/>
      <c r="V133" s="277"/>
      <c r="W133" s="277"/>
      <c r="X133" s="279"/>
      <c r="Y133" s="279"/>
      <c r="Z133" s="279"/>
      <c r="AA133" s="279"/>
      <c r="AB133" s="279"/>
      <c r="AC133" s="279"/>
      <c r="AD133" s="279"/>
      <c r="AE133" s="279"/>
      <c r="AF133" s="279"/>
      <c r="AG133" s="279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52"/>
      <c r="AX133" s="152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  <c r="BK133" s="152"/>
      <c r="BL133" s="152"/>
      <c r="BM133" s="152"/>
      <c r="BN133" s="152"/>
      <c r="BO133" s="152"/>
      <c r="BP133" s="152"/>
      <c r="BQ133" s="152"/>
      <c r="BR133" s="152"/>
      <c r="BS133" s="152"/>
      <c r="BT133" s="152"/>
      <c r="BU133" s="152"/>
      <c r="BV133" s="152"/>
      <c r="BW133" s="152"/>
      <c r="BX133" s="152"/>
      <c r="BY133" s="152"/>
      <c r="BZ133" s="152"/>
      <c r="CA133" s="152"/>
      <c r="CB133" s="152"/>
      <c r="CC133" s="152"/>
      <c r="CD133" s="152"/>
      <c r="CE133" s="152"/>
      <c r="CF133" s="152"/>
      <c r="CG133" s="152"/>
      <c r="CH133" s="152"/>
      <c r="CI133" s="152"/>
      <c r="CJ133" s="152"/>
      <c r="CK133" s="152"/>
      <c r="CL133" s="152"/>
      <c r="CM133" s="152"/>
      <c r="CN133" s="152"/>
      <c r="CO133" s="152"/>
      <c r="CP133" s="152"/>
      <c r="CQ133" s="152"/>
      <c r="CR133" s="152"/>
      <c r="CS133" s="152"/>
      <c r="CT133" s="152"/>
      <c r="CU133" s="152"/>
      <c r="CV133" s="152"/>
      <c r="CW133" s="152"/>
      <c r="CX133" s="152"/>
      <c r="CY133" s="152"/>
      <c r="CZ133" s="152"/>
      <c r="DA133" s="152"/>
      <c r="DB133" s="152"/>
      <c r="DC133" s="152"/>
      <c r="DD133" s="152"/>
      <c r="DE133" s="152"/>
      <c r="DF133" s="152"/>
      <c r="DG133" s="152"/>
      <c r="DH133" s="152"/>
      <c r="DI133" s="152"/>
      <c r="DJ133" s="152"/>
      <c r="DK133" s="152"/>
      <c r="DL133" s="152"/>
      <c r="DM133" s="152"/>
      <c r="DN133" s="152"/>
      <c r="DO133" s="152"/>
      <c r="DP133" s="152"/>
      <c r="DQ133" s="152"/>
      <c r="DR133" s="152"/>
      <c r="DS133" s="152"/>
      <c r="DT133" s="152"/>
      <c r="DU133" s="152"/>
      <c r="DV133" s="152"/>
      <c r="DW133" s="152"/>
      <c r="DX133" s="152"/>
      <c r="DY133" s="152"/>
      <c r="DZ133" s="152"/>
      <c r="EA133" s="152"/>
      <c r="EB133" s="152"/>
      <c r="EC133" s="152"/>
      <c r="ED133" s="152"/>
      <c r="EE133" s="152"/>
      <c r="EF133" s="152"/>
      <c r="EG133" s="152"/>
      <c r="EH133" s="152"/>
      <c r="EI133" s="152"/>
      <c r="EJ133" s="152"/>
      <c r="EK133" s="152"/>
      <c r="EL133" s="152"/>
      <c r="EM133" s="152"/>
      <c r="EN133" s="152"/>
      <c r="EO133" s="152"/>
      <c r="EP133" s="152"/>
      <c r="EQ133" s="152"/>
      <c r="ER133" s="152"/>
      <c r="ES133" s="152"/>
      <c r="ET133" s="152"/>
      <c r="EU133" s="152"/>
      <c r="EV133" s="152"/>
      <c r="EW133" s="152"/>
      <c r="EX133" s="152"/>
      <c r="EY133" s="152"/>
      <c r="EZ133" s="152"/>
      <c r="FA133" s="152"/>
      <c r="FB133" s="152"/>
      <c r="FC133" s="152"/>
      <c r="FD133" s="152"/>
      <c r="FE133" s="152"/>
      <c r="FF133" s="152"/>
      <c r="FG133" s="152"/>
      <c r="FH133" s="152"/>
      <c r="FI133" s="152"/>
      <c r="FJ133" s="152"/>
      <c r="FK133" s="152"/>
      <c r="FL133" s="152"/>
      <c r="FM133" s="152"/>
      <c r="FN133" s="152"/>
      <c r="FO133" s="152"/>
      <c r="FP133" s="152"/>
      <c r="FQ133" s="152"/>
      <c r="FR133" s="152"/>
      <c r="FS133" s="152"/>
      <c r="FT133" s="152"/>
      <c r="FU133" s="152"/>
      <c r="FV133" s="152"/>
      <c r="FW133" s="152"/>
      <c r="FX133" s="152"/>
      <c r="FY133" s="152"/>
      <c r="FZ133" s="152"/>
      <c r="GA133" s="152"/>
      <c r="GB133" s="152"/>
      <c r="GC133" s="152"/>
      <c r="GD133" s="152"/>
      <c r="GE133" s="152"/>
      <c r="GF133" s="152"/>
      <c r="GG133" s="152"/>
      <c r="GH133" s="152"/>
      <c r="GI133" s="152"/>
      <c r="GJ133" s="152"/>
      <c r="GK133" s="152"/>
      <c r="GL133" s="152"/>
      <c r="GM133" s="152"/>
      <c r="GN133" s="152"/>
      <c r="GO133" s="152"/>
      <c r="GP133" s="152"/>
      <c r="GQ133" s="152"/>
      <c r="GR133" s="152"/>
      <c r="GS133" s="152"/>
      <c r="GT133" s="152"/>
      <c r="GU133" s="152"/>
      <c r="GV133" s="152"/>
      <c r="GW133" s="152"/>
      <c r="GX133" s="152"/>
      <c r="GY133" s="152"/>
      <c r="GZ133" s="152"/>
      <c r="HA133" s="152"/>
      <c r="HB133" s="152"/>
      <c r="HC133" s="152"/>
      <c r="HD133" s="152"/>
      <c r="HE133" s="152"/>
      <c r="HF133" s="152"/>
      <c r="HG133" s="152"/>
      <c r="HH133" s="152"/>
      <c r="HI133" s="152"/>
      <c r="HJ133" s="152"/>
      <c r="HK133" s="152"/>
      <c r="HL133" s="152"/>
      <c r="HM133" s="152"/>
      <c r="HN133" s="152"/>
      <c r="HO133" s="152"/>
      <c r="HP133" s="152"/>
      <c r="HQ133" s="152"/>
      <c r="HR133" s="152"/>
      <c r="HS133" s="152"/>
      <c r="HT133" s="152"/>
      <c r="HU133" s="152"/>
      <c r="HV133" s="152"/>
      <c r="HW133" s="152"/>
      <c r="HX133" s="152"/>
      <c r="HY133" s="152"/>
      <c r="HZ133" s="152"/>
      <c r="IA133" s="152"/>
      <c r="IB133" s="152"/>
      <c r="IC133" s="152"/>
      <c r="ID133" s="152"/>
      <c r="IE133" s="152"/>
      <c r="IF133" s="152"/>
      <c r="IG133" s="152"/>
      <c r="IH133" s="152"/>
      <c r="II133" s="152"/>
      <c r="IJ133" s="152"/>
      <c r="IK133" s="152"/>
      <c r="IL133" s="152"/>
      <c r="IM133" s="152"/>
      <c r="IN133" s="152"/>
      <c r="IO133" s="152"/>
      <c r="IP133" s="152"/>
      <c r="IQ133" s="152"/>
      <c r="IR133" s="152"/>
      <c r="IS133" s="152"/>
      <c r="IT133" s="152"/>
      <c r="IU133" s="152"/>
      <c r="IV133" s="152"/>
      <c r="IW133" s="152"/>
      <c r="IX133" s="152"/>
      <c r="IY133" s="152"/>
      <c r="IZ133" s="152"/>
      <c r="JA133" s="152"/>
      <c r="JB133" s="152"/>
      <c r="JC133" s="152"/>
      <c r="JD133" s="152"/>
      <c r="JE133" s="152"/>
      <c r="JF133" s="152"/>
      <c r="JG133" s="152"/>
      <c r="JH133" s="152"/>
      <c r="JI133" s="152"/>
      <c r="JJ133" s="152"/>
      <c r="JK133" s="152"/>
      <c r="JL133" s="152"/>
      <c r="JM133" s="152"/>
      <c r="JN133" s="152"/>
      <c r="JO133" s="152"/>
      <c r="JP133" s="152"/>
      <c r="JQ133" s="152"/>
      <c r="JR133" s="152"/>
      <c r="JS133" s="152"/>
      <c r="JT133" s="152"/>
      <c r="JU133" s="152"/>
      <c r="JV133" s="152"/>
      <c r="JW133" s="152"/>
      <c r="JX133" s="152"/>
      <c r="JY133" s="152"/>
      <c r="JZ133" s="152"/>
      <c r="KA133" s="152"/>
      <c r="KB133" s="152"/>
      <c r="KC133" s="152"/>
      <c r="KD133" s="152"/>
      <c r="KE133" s="152"/>
      <c r="KF133" s="152"/>
      <c r="KG133" s="152"/>
      <c r="KH133" s="152"/>
      <c r="KI133" s="152"/>
      <c r="KJ133" s="152"/>
      <c r="KK133" s="152"/>
      <c r="KL133" s="152"/>
      <c r="KM133" s="152"/>
      <c r="KN133" s="152"/>
      <c r="KO133" s="152"/>
      <c r="KP133" s="152"/>
      <c r="KQ133" s="152"/>
      <c r="KR133" s="152"/>
      <c r="KS133" s="152"/>
      <c r="KT133" s="152"/>
      <c r="KU133" s="152"/>
      <c r="KV133" s="152"/>
      <c r="KW133" s="152"/>
      <c r="KX133" s="152"/>
      <c r="KY133" s="152"/>
      <c r="KZ133" s="152"/>
      <c r="LA133" s="152"/>
      <c r="LB133" s="152"/>
      <c r="LC133" s="152"/>
      <c r="LD133" s="152"/>
      <c r="LE133" s="152"/>
      <c r="LF133" s="152"/>
      <c r="LG133" s="152"/>
      <c r="LH133" s="152"/>
      <c r="LI133" s="152"/>
      <c r="LJ133" s="152"/>
      <c r="LK133" s="152"/>
      <c r="LL133" s="152"/>
      <c r="LM133" s="152"/>
      <c r="LN133" s="152"/>
      <c r="LO133" s="152"/>
      <c r="LP133" s="152"/>
      <c r="LQ133" s="152"/>
      <c r="LR133" s="152"/>
      <c r="LS133" s="152"/>
      <c r="LT133" s="152"/>
      <c r="LU133" s="152"/>
      <c r="LV133" s="152"/>
      <c r="LW133" s="152"/>
      <c r="LX133" s="152"/>
      <c r="LY133" s="152"/>
      <c r="LZ133" s="152"/>
      <c r="MA133" s="152"/>
      <c r="MB133" s="152"/>
      <c r="MC133" s="152"/>
      <c r="MD133" s="152"/>
      <c r="ME133" s="152"/>
      <c r="MF133" s="152"/>
      <c r="MG133" s="152"/>
      <c r="MH133" s="152"/>
      <c r="MI133" s="152"/>
      <c r="MJ133" s="152"/>
      <c r="MK133" s="152"/>
      <c r="ML133" s="152"/>
      <c r="MM133" s="152"/>
      <c r="MN133" s="152"/>
      <c r="MO133" s="152"/>
      <c r="MP133" s="152"/>
      <c r="MQ133" s="152"/>
      <c r="MR133" s="152"/>
      <c r="MS133" s="152"/>
      <c r="MT133" s="152"/>
    </row>
    <row r="134" spans="1:358" s="1" customFormat="1">
      <c r="A134" s="252"/>
      <c r="B134" s="276"/>
      <c r="C134" s="276"/>
      <c r="D134" s="152"/>
      <c r="E134" s="152"/>
      <c r="F134" s="277"/>
      <c r="G134" s="277"/>
      <c r="H134" s="277"/>
      <c r="I134" s="277"/>
      <c r="J134" s="278"/>
      <c r="K134" s="277"/>
      <c r="L134" s="277"/>
      <c r="M134" s="277"/>
      <c r="N134" s="277"/>
      <c r="O134" s="277"/>
      <c r="P134" s="277"/>
      <c r="Q134" s="277"/>
      <c r="R134" s="277"/>
      <c r="S134" s="277"/>
      <c r="T134" s="280"/>
      <c r="U134" s="280"/>
      <c r="V134" s="277"/>
      <c r="W134" s="277"/>
      <c r="X134" s="279"/>
      <c r="Y134" s="279"/>
      <c r="Z134" s="279"/>
      <c r="AA134" s="279"/>
      <c r="AB134" s="279"/>
      <c r="AC134" s="279"/>
      <c r="AD134" s="279"/>
      <c r="AE134" s="279"/>
      <c r="AF134" s="279"/>
      <c r="AG134" s="279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52"/>
      <c r="AX134" s="152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  <c r="BK134" s="152"/>
      <c r="BL134" s="152"/>
      <c r="BM134" s="152"/>
      <c r="BN134" s="152"/>
      <c r="BO134" s="152"/>
      <c r="BP134" s="152"/>
      <c r="BQ134" s="152"/>
      <c r="BR134" s="152"/>
      <c r="BS134" s="152"/>
      <c r="BT134" s="152"/>
      <c r="BU134" s="152"/>
      <c r="BV134" s="152"/>
      <c r="BW134" s="152"/>
      <c r="BX134" s="152"/>
      <c r="BY134" s="152"/>
      <c r="BZ134" s="152"/>
      <c r="CA134" s="152"/>
      <c r="CB134" s="152"/>
      <c r="CC134" s="152"/>
      <c r="CD134" s="152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52"/>
      <c r="CO134" s="152"/>
      <c r="CP134" s="152"/>
      <c r="CQ134" s="152"/>
      <c r="CR134" s="152"/>
      <c r="CS134" s="152"/>
      <c r="CT134" s="152"/>
      <c r="CU134" s="152"/>
      <c r="CV134" s="152"/>
      <c r="CW134" s="152"/>
      <c r="CX134" s="152"/>
      <c r="CY134" s="152"/>
      <c r="CZ134" s="152"/>
      <c r="DA134" s="152"/>
      <c r="DB134" s="152"/>
      <c r="DC134" s="152"/>
      <c r="DD134" s="152"/>
      <c r="DE134" s="152"/>
      <c r="DF134" s="152"/>
      <c r="DG134" s="152"/>
      <c r="DH134" s="152"/>
      <c r="DI134" s="152"/>
      <c r="DJ134" s="152"/>
      <c r="DK134" s="152"/>
      <c r="DL134" s="152"/>
      <c r="DM134" s="152"/>
      <c r="DN134" s="152"/>
      <c r="DO134" s="152"/>
      <c r="DP134" s="152"/>
      <c r="DQ134" s="152"/>
      <c r="DR134" s="152"/>
      <c r="DS134" s="152"/>
      <c r="DT134" s="152"/>
      <c r="DU134" s="152"/>
      <c r="DV134" s="152"/>
      <c r="DW134" s="152"/>
      <c r="DX134" s="152"/>
      <c r="DY134" s="152"/>
      <c r="DZ134" s="152"/>
      <c r="EA134" s="152"/>
      <c r="EB134" s="152"/>
      <c r="EC134" s="152"/>
      <c r="ED134" s="152"/>
      <c r="EE134" s="152"/>
      <c r="EF134" s="152"/>
      <c r="EG134" s="152"/>
      <c r="EH134" s="152"/>
      <c r="EI134" s="152"/>
      <c r="EJ134" s="152"/>
      <c r="EK134" s="152"/>
      <c r="EL134" s="152"/>
      <c r="EM134" s="152"/>
      <c r="EN134" s="152"/>
      <c r="EO134" s="152"/>
      <c r="EP134" s="152"/>
      <c r="EQ134" s="152"/>
      <c r="ER134" s="152"/>
      <c r="ES134" s="152"/>
      <c r="ET134" s="152"/>
      <c r="EU134" s="152"/>
      <c r="EV134" s="152"/>
      <c r="EW134" s="152"/>
      <c r="EX134" s="152"/>
      <c r="EY134" s="152"/>
      <c r="EZ134" s="152"/>
      <c r="FA134" s="152"/>
      <c r="FB134" s="152"/>
      <c r="FC134" s="152"/>
      <c r="FD134" s="152"/>
      <c r="FE134" s="152"/>
      <c r="FF134" s="152"/>
      <c r="FG134" s="152"/>
      <c r="FH134" s="152"/>
      <c r="FI134" s="152"/>
      <c r="FJ134" s="152"/>
      <c r="FK134" s="152"/>
      <c r="FL134" s="152"/>
      <c r="FM134" s="152"/>
      <c r="FN134" s="152"/>
      <c r="FO134" s="152"/>
      <c r="FP134" s="152"/>
      <c r="FQ134" s="152"/>
      <c r="FR134" s="152"/>
      <c r="FS134" s="152"/>
      <c r="FT134" s="152"/>
      <c r="FU134" s="152"/>
      <c r="FV134" s="152"/>
      <c r="FW134" s="152"/>
      <c r="FX134" s="152"/>
      <c r="FY134" s="152"/>
      <c r="FZ134" s="152"/>
      <c r="GA134" s="152"/>
      <c r="GB134" s="152"/>
      <c r="GC134" s="152"/>
      <c r="GD134" s="152"/>
      <c r="GE134" s="152"/>
      <c r="GF134" s="152"/>
      <c r="GG134" s="152"/>
      <c r="GH134" s="152"/>
      <c r="GI134" s="152"/>
      <c r="GJ134" s="152"/>
      <c r="GK134" s="152"/>
      <c r="GL134" s="152"/>
      <c r="GM134" s="152"/>
      <c r="GN134" s="152"/>
      <c r="GO134" s="152"/>
      <c r="GP134" s="152"/>
      <c r="GQ134" s="152"/>
      <c r="GR134" s="152"/>
      <c r="GS134" s="152"/>
      <c r="GT134" s="152"/>
      <c r="GU134" s="152"/>
      <c r="GV134" s="152"/>
      <c r="GW134" s="152"/>
      <c r="GX134" s="152"/>
      <c r="GY134" s="152"/>
      <c r="GZ134" s="152"/>
      <c r="HA134" s="152"/>
      <c r="HB134" s="152"/>
      <c r="HC134" s="152"/>
      <c r="HD134" s="152"/>
      <c r="HE134" s="152"/>
      <c r="HF134" s="152"/>
      <c r="HG134" s="152"/>
      <c r="HH134" s="152"/>
      <c r="HI134" s="152"/>
      <c r="HJ134" s="152"/>
      <c r="HK134" s="152"/>
      <c r="HL134" s="152"/>
      <c r="HM134" s="152"/>
      <c r="HN134" s="152"/>
      <c r="HO134" s="152"/>
      <c r="HP134" s="152"/>
      <c r="HQ134" s="152"/>
      <c r="HR134" s="152"/>
      <c r="HS134" s="152"/>
      <c r="HT134" s="152"/>
      <c r="HU134" s="152"/>
      <c r="HV134" s="152"/>
      <c r="HW134" s="152"/>
      <c r="HX134" s="152"/>
      <c r="HY134" s="152"/>
      <c r="HZ134" s="152"/>
      <c r="IA134" s="152"/>
      <c r="IB134" s="152"/>
      <c r="IC134" s="152"/>
      <c r="ID134" s="152"/>
      <c r="IE134" s="152"/>
      <c r="IF134" s="152"/>
      <c r="IG134" s="152"/>
      <c r="IH134" s="152"/>
      <c r="II134" s="152"/>
      <c r="IJ134" s="152"/>
      <c r="IK134" s="152"/>
      <c r="IL134" s="152"/>
      <c r="IM134" s="152"/>
      <c r="IN134" s="152"/>
      <c r="IO134" s="152"/>
      <c r="IP134" s="152"/>
      <c r="IQ134" s="152"/>
      <c r="IR134" s="152"/>
      <c r="IS134" s="152"/>
      <c r="IT134" s="152"/>
      <c r="IU134" s="152"/>
      <c r="IV134" s="152"/>
      <c r="IW134" s="152"/>
      <c r="IX134" s="152"/>
      <c r="IY134" s="152"/>
      <c r="IZ134" s="152"/>
      <c r="JA134" s="152"/>
      <c r="JB134" s="152"/>
      <c r="JC134" s="152"/>
      <c r="JD134" s="152"/>
      <c r="JE134" s="152"/>
      <c r="JF134" s="152"/>
      <c r="JG134" s="152"/>
      <c r="JH134" s="152"/>
      <c r="JI134" s="152"/>
      <c r="JJ134" s="152"/>
      <c r="JK134" s="152"/>
      <c r="JL134" s="152"/>
      <c r="JM134" s="152"/>
      <c r="JN134" s="152"/>
      <c r="JO134" s="152"/>
      <c r="JP134" s="152"/>
      <c r="JQ134" s="152"/>
      <c r="JR134" s="152"/>
      <c r="JS134" s="152"/>
      <c r="JT134" s="152"/>
      <c r="JU134" s="152"/>
      <c r="JV134" s="152"/>
      <c r="JW134" s="152"/>
      <c r="JX134" s="152"/>
      <c r="JY134" s="152"/>
      <c r="JZ134" s="152"/>
      <c r="KA134" s="152"/>
      <c r="KB134" s="152"/>
      <c r="KC134" s="152"/>
      <c r="KD134" s="152"/>
      <c r="KE134" s="152"/>
      <c r="KF134" s="152"/>
      <c r="KG134" s="152"/>
      <c r="KH134" s="152"/>
      <c r="KI134" s="152"/>
      <c r="KJ134" s="152"/>
      <c r="KK134" s="152"/>
      <c r="KL134" s="152"/>
      <c r="KM134" s="152"/>
      <c r="KN134" s="152"/>
      <c r="KO134" s="152"/>
      <c r="KP134" s="152"/>
      <c r="KQ134" s="152"/>
      <c r="KR134" s="152"/>
      <c r="KS134" s="152"/>
      <c r="KT134" s="152"/>
      <c r="KU134" s="152"/>
      <c r="KV134" s="152"/>
      <c r="KW134" s="152"/>
      <c r="KX134" s="152"/>
      <c r="KY134" s="152"/>
      <c r="KZ134" s="152"/>
      <c r="LA134" s="152"/>
      <c r="LB134" s="152"/>
      <c r="LC134" s="152"/>
      <c r="LD134" s="152"/>
      <c r="LE134" s="152"/>
      <c r="LF134" s="152"/>
      <c r="LG134" s="152"/>
      <c r="LH134" s="152"/>
      <c r="LI134" s="152"/>
      <c r="LJ134" s="152"/>
      <c r="LK134" s="152"/>
      <c r="LL134" s="152"/>
      <c r="LM134" s="152"/>
      <c r="LN134" s="152"/>
      <c r="LO134" s="152"/>
      <c r="LP134" s="152"/>
      <c r="LQ134" s="152"/>
      <c r="LR134" s="152"/>
      <c r="LS134" s="152"/>
      <c r="LT134" s="152"/>
      <c r="LU134" s="152"/>
      <c r="LV134" s="152"/>
      <c r="LW134" s="152"/>
      <c r="LX134" s="152"/>
      <c r="LY134" s="152"/>
      <c r="LZ134" s="152"/>
      <c r="MA134" s="152"/>
      <c r="MB134" s="152"/>
      <c r="MC134" s="152"/>
      <c r="MD134" s="152"/>
      <c r="ME134" s="152"/>
      <c r="MF134" s="152"/>
      <c r="MG134" s="152"/>
      <c r="MH134" s="152"/>
      <c r="MI134" s="152"/>
      <c r="MJ134" s="152"/>
      <c r="MK134" s="152"/>
      <c r="ML134" s="152"/>
      <c r="MM134" s="152"/>
      <c r="MN134" s="152"/>
      <c r="MO134" s="152"/>
      <c r="MP134" s="152"/>
      <c r="MQ134" s="152"/>
      <c r="MR134" s="152"/>
      <c r="MS134" s="152"/>
      <c r="MT134" s="152"/>
    </row>
    <row r="135" spans="1:358" s="1" customFormat="1">
      <c r="A135" s="252"/>
      <c r="B135" s="276"/>
      <c r="C135" s="276"/>
      <c r="D135" s="152"/>
      <c r="E135" s="152"/>
      <c r="F135" s="277"/>
      <c r="G135" s="277"/>
      <c r="H135" s="277"/>
      <c r="I135" s="277"/>
      <c r="J135" s="278"/>
      <c r="K135" s="277"/>
      <c r="L135" s="277"/>
      <c r="M135" s="277"/>
      <c r="N135" s="277"/>
      <c r="O135" s="277"/>
      <c r="P135" s="277"/>
      <c r="Q135" s="277"/>
      <c r="R135" s="277"/>
      <c r="S135" s="277"/>
      <c r="T135" s="280"/>
      <c r="U135" s="280"/>
      <c r="V135" s="277"/>
      <c r="W135" s="277"/>
      <c r="X135" s="279"/>
      <c r="Y135" s="279"/>
      <c r="Z135" s="279"/>
      <c r="AA135" s="279"/>
      <c r="AB135" s="279"/>
      <c r="AC135" s="279"/>
      <c r="AD135" s="279"/>
      <c r="AE135" s="279"/>
      <c r="AF135" s="279"/>
      <c r="AG135" s="279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  <c r="FW135" s="152"/>
      <c r="FX135" s="152"/>
      <c r="FY135" s="152"/>
      <c r="FZ135" s="152"/>
      <c r="GA135" s="152"/>
      <c r="GB135" s="152"/>
      <c r="GC135" s="152"/>
      <c r="GD135" s="152"/>
      <c r="GE135" s="152"/>
      <c r="GF135" s="152"/>
      <c r="GG135" s="152"/>
      <c r="GH135" s="152"/>
      <c r="GI135" s="152"/>
      <c r="GJ135" s="152"/>
      <c r="GK135" s="152"/>
      <c r="GL135" s="152"/>
      <c r="GM135" s="152"/>
      <c r="GN135" s="152"/>
      <c r="GO135" s="152"/>
      <c r="GP135" s="152"/>
      <c r="GQ135" s="152"/>
      <c r="GR135" s="152"/>
      <c r="GS135" s="152"/>
      <c r="GT135" s="152"/>
      <c r="GU135" s="152"/>
      <c r="GV135" s="152"/>
      <c r="GW135" s="152"/>
      <c r="GX135" s="152"/>
      <c r="GY135" s="152"/>
      <c r="GZ135" s="152"/>
      <c r="HA135" s="152"/>
      <c r="HB135" s="152"/>
      <c r="HC135" s="152"/>
      <c r="HD135" s="152"/>
      <c r="HE135" s="152"/>
      <c r="HF135" s="152"/>
      <c r="HG135" s="152"/>
      <c r="HH135" s="152"/>
      <c r="HI135" s="152"/>
      <c r="HJ135" s="152"/>
      <c r="HK135" s="152"/>
      <c r="HL135" s="152"/>
      <c r="HM135" s="152"/>
      <c r="HN135" s="152"/>
      <c r="HO135" s="152"/>
      <c r="HP135" s="152"/>
      <c r="HQ135" s="152"/>
      <c r="HR135" s="152"/>
      <c r="HS135" s="152"/>
      <c r="HT135" s="152"/>
      <c r="HU135" s="152"/>
      <c r="HV135" s="152"/>
      <c r="HW135" s="152"/>
      <c r="HX135" s="152"/>
      <c r="HY135" s="152"/>
      <c r="HZ135" s="152"/>
      <c r="IA135" s="152"/>
      <c r="IB135" s="152"/>
      <c r="IC135" s="152"/>
      <c r="ID135" s="152"/>
      <c r="IE135" s="152"/>
      <c r="IF135" s="152"/>
      <c r="IG135" s="152"/>
      <c r="IH135" s="152"/>
      <c r="II135" s="152"/>
      <c r="IJ135" s="152"/>
      <c r="IK135" s="152"/>
      <c r="IL135" s="152"/>
      <c r="IM135" s="152"/>
      <c r="IN135" s="152"/>
      <c r="IO135" s="152"/>
      <c r="IP135" s="152"/>
      <c r="IQ135" s="152"/>
      <c r="IR135" s="152"/>
      <c r="IS135" s="152"/>
      <c r="IT135" s="152"/>
      <c r="IU135" s="152"/>
      <c r="IV135" s="152"/>
      <c r="IW135" s="152"/>
      <c r="IX135" s="152"/>
      <c r="IY135" s="152"/>
      <c r="IZ135" s="152"/>
      <c r="JA135" s="152"/>
      <c r="JB135" s="152"/>
      <c r="JC135" s="152"/>
      <c r="JD135" s="152"/>
      <c r="JE135" s="152"/>
      <c r="JF135" s="152"/>
      <c r="JG135" s="152"/>
      <c r="JH135" s="152"/>
      <c r="JI135" s="152"/>
      <c r="JJ135" s="152"/>
      <c r="JK135" s="152"/>
      <c r="JL135" s="152"/>
      <c r="JM135" s="152"/>
      <c r="JN135" s="152"/>
      <c r="JO135" s="152"/>
      <c r="JP135" s="152"/>
      <c r="JQ135" s="152"/>
      <c r="JR135" s="152"/>
      <c r="JS135" s="152"/>
      <c r="JT135" s="152"/>
      <c r="JU135" s="152"/>
      <c r="JV135" s="152"/>
      <c r="JW135" s="152"/>
      <c r="JX135" s="152"/>
      <c r="JY135" s="152"/>
      <c r="JZ135" s="152"/>
      <c r="KA135" s="152"/>
      <c r="KB135" s="152"/>
      <c r="KC135" s="152"/>
      <c r="KD135" s="152"/>
      <c r="KE135" s="152"/>
      <c r="KF135" s="152"/>
      <c r="KG135" s="152"/>
      <c r="KH135" s="152"/>
      <c r="KI135" s="152"/>
      <c r="KJ135" s="152"/>
      <c r="KK135" s="152"/>
      <c r="KL135" s="152"/>
      <c r="KM135" s="152"/>
      <c r="KN135" s="152"/>
      <c r="KO135" s="152"/>
      <c r="KP135" s="152"/>
      <c r="KQ135" s="152"/>
      <c r="KR135" s="152"/>
      <c r="KS135" s="152"/>
      <c r="KT135" s="152"/>
      <c r="KU135" s="152"/>
      <c r="KV135" s="152"/>
      <c r="KW135" s="152"/>
      <c r="KX135" s="152"/>
      <c r="KY135" s="152"/>
      <c r="KZ135" s="152"/>
      <c r="LA135" s="152"/>
      <c r="LB135" s="152"/>
      <c r="LC135" s="152"/>
      <c r="LD135" s="152"/>
      <c r="LE135" s="152"/>
      <c r="LF135" s="152"/>
      <c r="LG135" s="152"/>
      <c r="LH135" s="152"/>
      <c r="LI135" s="152"/>
      <c r="LJ135" s="152"/>
      <c r="LK135" s="152"/>
      <c r="LL135" s="152"/>
      <c r="LM135" s="152"/>
      <c r="LN135" s="152"/>
      <c r="LO135" s="152"/>
      <c r="LP135" s="152"/>
      <c r="LQ135" s="152"/>
      <c r="LR135" s="152"/>
      <c r="LS135" s="152"/>
      <c r="LT135" s="152"/>
      <c r="LU135" s="152"/>
      <c r="LV135" s="152"/>
      <c r="LW135" s="152"/>
      <c r="LX135" s="152"/>
      <c r="LY135" s="152"/>
      <c r="LZ135" s="152"/>
      <c r="MA135" s="152"/>
      <c r="MB135" s="152"/>
      <c r="MC135" s="152"/>
      <c r="MD135" s="152"/>
      <c r="ME135" s="152"/>
      <c r="MF135" s="152"/>
      <c r="MG135" s="152"/>
      <c r="MH135" s="152"/>
      <c r="MI135" s="152"/>
      <c r="MJ135" s="152"/>
      <c r="MK135" s="152"/>
      <c r="ML135" s="152"/>
      <c r="MM135" s="152"/>
      <c r="MN135" s="152"/>
      <c r="MO135" s="152"/>
      <c r="MP135" s="152"/>
      <c r="MQ135" s="152"/>
      <c r="MR135" s="152"/>
      <c r="MS135" s="152"/>
      <c r="MT135" s="152"/>
    </row>
    <row r="136" spans="1:358" s="1" customFormat="1">
      <c r="A136" s="194"/>
      <c r="B136" s="2"/>
      <c r="C136" s="2"/>
      <c r="F136" s="3"/>
      <c r="G136" s="3"/>
      <c r="H136" s="3"/>
      <c r="I136" s="3"/>
      <c r="J136" s="4"/>
      <c r="K136" s="3"/>
      <c r="L136" s="3"/>
      <c r="M136" s="3"/>
      <c r="N136" s="3"/>
      <c r="O136" s="3"/>
      <c r="P136" s="3"/>
      <c r="Q136" s="3"/>
      <c r="R136" s="3"/>
      <c r="S136" s="3"/>
      <c r="T136" s="5"/>
      <c r="U136" s="5"/>
      <c r="V136" s="3"/>
      <c r="W136" s="3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152"/>
      <c r="AI136" s="152"/>
      <c r="AJ136" s="152"/>
      <c r="AK136" s="152"/>
      <c r="AL136" s="152"/>
      <c r="AM136" s="152"/>
      <c r="AN136" s="152"/>
      <c r="AO136" s="152"/>
      <c r="AP136" s="152"/>
      <c r="AQ136" s="152"/>
      <c r="AR136" s="152"/>
      <c r="AS136" s="152"/>
      <c r="AT136" s="152"/>
      <c r="AU136" s="152"/>
      <c r="AV136" s="152"/>
      <c r="AW136" s="152"/>
      <c r="AX136" s="152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  <c r="BK136" s="152"/>
      <c r="BL136" s="152"/>
      <c r="BM136" s="152"/>
      <c r="BN136" s="152"/>
      <c r="BO136" s="152"/>
      <c r="BP136" s="152"/>
      <c r="BQ136" s="152"/>
      <c r="BR136" s="152"/>
      <c r="BS136" s="152"/>
      <c r="BT136" s="152"/>
      <c r="BU136" s="152"/>
      <c r="BV136" s="152"/>
      <c r="BW136" s="152"/>
      <c r="BX136" s="152"/>
      <c r="BY136" s="152"/>
      <c r="BZ136" s="152"/>
      <c r="CA136" s="152"/>
      <c r="CB136" s="152"/>
      <c r="CC136" s="152"/>
      <c r="CD136" s="152"/>
      <c r="CE136" s="152"/>
      <c r="CF136" s="152"/>
      <c r="CG136" s="152"/>
      <c r="CH136" s="152"/>
      <c r="CI136" s="152"/>
      <c r="CJ136" s="152"/>
      <c r="CK136" s="152"/>
      <c r="CL136" s="152"/>
      <c r="CM136" s="152"/>
      <c r="CN136" s="152"/>
      <c r="CO136" s="152"/>
      <c r="CP136" s="152"/>
      <c r="CQ136" s="152"/>
      <c r="CR136" s="152"/>
      <c r="CS136" s="152"/>
      <c r="CT136" s="152"/>
      <c r="CU136" s="152"/>
      <c r="CV136" s="152"/>
      <c r="CW136" s="152"/>
      <c r="CX136" s="152"/>
      <c r="CY136" s="152"/>
      <c r="CZ136" s="152"/>
      <c r="DA136" s="152"/>
      <c r="DB136" s="152"/>
      <c r="DC136" s="152"/>
      <c r="DD136" s="152"/>
      <c r="DE136" s="152"/>
      <c r="DF136" s="152"/>
      <c r="DG136" s="152"/>
      <c r="DH136" s="152"/>
      <c r="DI136" s="152"/>
      <c r="DJ136" s="152"/>
      <c r="DK136" s="152"/>
      <c r="DL136" s="152"/>
      <c r="DM136" s="152"/>
      <c r="DN136" s="152"/>
      <c r="DO136" s="152"/>
      <c r="DP136" s="152"/>
      <c r="DQ136" s="152"/>
      <c r="DR136" s="152"/>
      <c r="DS136" s="152"/>
      <c r="DT136" s="152"/>
      <c r="DU136" s="152"/>
      <c r="DV136" s="152"/>
      <c r="DW136" s="152"/>
      <c r="DX136" s="152"/>
      <c r="DY136" s="152"/>
      <c r="DZ136" s="152"/>
      <c r="EA136" s="152"/>
      <c r="EB136" s="152"/>
      <c r="EC136" s="152"/>
      <c r="ED136" s="152"/>
      <c r="EE136" s="152"/>
      <c r="EF136" s="152"/>
      <c r="EG136" s="152"/>
      <c r="EH136" s="152"/>
      <c r="EI136" s="152"/>
      <c r="EJ136" s="152"/>
      <c r="EK136" s="152"/>
      <c r="EL136" s="152"/>
      <c r="EM136" s="152"/>
      <c r="EN136" s="152"/>
      <c r="EO136" s="152"/>
      <c r="EP136" s="152"/>
      <c r="EQ136" s="152"/>
      <c r="ER136" s="152"/>
      <c r="ES136" s="152"/>
      <c r="ET136" s="152"/>
      <c r="EU136" s="152"/>
      <c r="EV136" s="152"/>
      <c r="EW136" s="152"/>
      <c r="EX136" s="152"/>
      <c r="EY136" s="152"/>
      <c r="EZ136" s="152"/>
      <c r="FA136" s="152"/>
      <c r="FB136" s="152"/>
      <c r="FC136" s="152"/>
      <c r="FD136" s="152"/>
      <c r="FE136" s="152"/>
      <c r="FF136" s="152"/>
      <c r="FG136" s="152"/>
      <c r="FH136" s="152"/>
      <c r="FI136" s="152"/>
      <c r="FJ136" s="152"/>
      <c r="FK136" s="152"/>
      <c r="FL136" s="152"/>
      <c r="FM136" s="152"/>
      <c r="FN136" s="152"/>
      <c r="FO136" s="152"/>
      <c r="FP136" s="152"/>
      <c r="FQ136" s="152"/>
      <c r="FR136" s="152"/>
      <c r="FS136" s="152"/>
      <c r="FT136" s="152"/>
      <c r="FU136" s="152"/>
      <c r="FV136" s="152"/>
      <c r="FW136" s="152"/>
      <c r="FX136" s="152"/>
      <c r="FY136" s="152"/>
      <c r="FZ136" s="152"/>
      <c r="GA136" s="152"/>
      <c r="GB136" s="152"/>
      <c r="GC136" s="152"/>
      <c r="GD136" s="152"/>
      <c r="GE136" s="152"/>
      <c r="GF136" s="152"/>
      <c r="GG136" s="152"/>
      <c r="GH136" s="152"/>
      <c r="GI136" s="152"/>
      <c r="GJ136" s="152"/>
      <c r="GK136" s="152"/>
      <c r="GL136" s="152"/>
      <c r="GM136" s="152"/>
      <c r="GN136" s="152"/>
      <c r="GO136" s="152"/>
      <c r="GP136" s="152"/>
      <c r="GQ136" s="152"/>
      <c r="GR136" s="152"/>
      <c r="GS136" s="152"/>
      <c r="GT136" s="152"/>
      <c r="GU136" s="152"/>
      <c r="GV136" s="152"/>
      <c r="GW136" s="152"/>
      <c r="GX136" s="152"/>
      <c r="GY136" s="152"/>
      <c r="GZ136" s="152"/>
      <c r="HA136" s="152"/>
      <c r="HB136" s="152"/>
      <c r="HC136" s="152"/>
      <c r="HD136" s="152"/>
      <c r="HE136" s="152"/>
      <c r="HF136" s="152"/>
      <c r="HG136" s="152"/>
      <c r="HH136" s="152"/>
      <c r="HI136" s="152"/>
      <c r="HJ136" s="152"/>
      <c r="HK136" s="152"/>
      <c r="HL136" s="152"/>
      <c r="HM136" s="152"/>
      <c r="HN136" s="152"/>
      <c r="HO136" s="152"/>
      <c r="HP136" s="152"/>
      <c r="HQ136" s="152"/>
      <c r="HR136" s="152"/>
      <c r="HS136" s="152"/>
      <c r="HT136" s="152"/>
      <c r="HU136" s="152"/>
      <c r="HV136" s="152"/>
      <c r="HW136" s="152"/>
      <c r="HX136" s="152"/>
      <c r="HY136" s="152"/>
      <c r="HZ136" s="152"/>
      <c r="IA136" s="152"/>
      <c r="IB136" s="152"/>
      <c r="IC136" s="152"/>
      <c r="ID136" s="152"/>
      <c r="IE136" s="152"/>
      <c r="IF136" s="152"/>
      <c r="IG136" s="152"/>
      <c r="IH136" s="152"/>
      <c r="II136" s="152"/>
      <c r="IJ136" s="152"/>
      <c r="IK136" s="152"/>
      <c r="IL136" s="152"/>
      <c r="IM136" s="152"/>
      <c r="IN136" s="152"/>
      <c r="IO136" s="152"/>
      <c r="IP136" s="152"/>
      <c r="IQ136" s="152"/>
      <c r="IR136" s="152"/>
      <c r="IS136" s="152"/>
      <c r="IT136" s="152"/>
      <c r="IU136" s="152"/>
      <c r="IV136" s="152"/>
      <c r="IW136" s="152"/>
      <c r="IX136" s="152"/>
      <c r="IY136" s="152"/>
      <c r="IZ136" s="152"/>
      <c r="JA136" s="152"/>
      <c r="JB136" s="152"/>
      <c r="JC136" s="152"/>
      <c r="JD136" s="152"/>
      <c r="JE136" s="152"/>
      <c r="JF136" s="152"/>
      <c r="JG136" s="152"/>
      <c r="JH136" s="152"/>
      <c r="JI136" s="152"/>
      <c r="JJ136" s="152"/>
      <c r="JK136" s="152"/>
      <c r="JL136" s="152"/>
      <c r="JM136" s="152"/>
      <c r="JN136" s="152"/>
      <c r="JO136" s="152"/>
      <c r="JP136" s="152"/>
      <c r="JQ136" s="152"/>
      <c r="JR136" s="152"/>
      <c r="JS136" s="152"/>
      <c r="JT136" s="152"/>
      <c r="JU136" s="152"/>
      <c r="JV136" s="152"/>
      <c r="JW136" s="152"/>
      <c r="JX136" s="152"/>
      <c r="JY136" s="152"/>
      <c r="JZ136" s="152"/>
      <c r="KA136" s="152"/>
      <c r="KB136" s="152"/>
      <c r="KC136" s="152"/>
      <c r="KD136" s="152"/>
      <c r="KE136" s="152"/>
      <c r="KF136" s="152"/>
      <c r="KG136" s="152"/>
      <c r="KH136" s="152"/>
      <c r="KI136" s="152"/>
      <c r="KJ136" s="152"/>
      <c r="KK136" s="152"/>
      <c r="KL136" s="152"/>
      <c r="KM136" s="152"/>
      <c r="KN136" s="152"/>
      <c r="KO136" s="152"/>
      <c r="KP136" s="152"/>
      <c r="KQ136" s="152"/>
      <c r="KR136" s="152"/>
      <c r="KS136" s="152"/>
      <c r="KT136" s="152"/>
      <c r="KU136" s="152"/>
      <c r="KV136" s="152"/>
      <c r="KW136" s="152"/>
      <c r="KX136" s="152"/>
      <c r="KY136" s="152"/>
      <c r="KZ136" s="152"/>
      <c r="LA136" s="152"/>
      <c r="LB136" s="152"/>
      <c r="LC136" s="152"/>
      <c r="LD136" s="152"/>
      <c r="LE136" s="152"/>
      <c r="LF136" s="152"/>
      <c r="LG136" s="152"/>
      <c r="LH136" s="152"/>
      <c r="LI136" s="152"/>
      <c r="LJ136" s="152"/>
      <c r="LK136" s="152"/>
      <c r="LL136" s="152"/>
      <c r="LM136" s="152"/>
      <c r="LN136" s="152"/>
      <c r="LO136" s="152"/>
      <c r="LP136" s="152"/>
      <c r="LQ136" s="152"/>
      <c r="LR136" s="152"/>
      <c r="LS136" s="152"/>
      <c r="LT136" s="152"/>
      <c r="LU136" s="152"/>
      <c r="LV136" s="152"/>
      <c r="LW136" s="152"/>
      <c r="LX136" s="152"/>
      <c r="LY136" s="152"/>
      <c r="LZ136" s="152"/>
      <c r="MA136" s="152"/>
      <c r="MB136" s="152"/>
      <c r="MC136" s="152"/>
      <c r="MD136" s="152"/>
      <c r="ME136" s="152"/>
      <c r="MF136" s="152"/>
      <c r="MG136" s="152"/>
      <c r="MH136" s="152"/>
      <c r="MI136" s="152"/>
      <c r="MJ136" s="152"/>
      <c r="MK136" s="152"/>
      <c r="ML136" s="152"/>
      <c r="MM136" s="152"/>
      <c r="MN136" s="152"/>
      <c r="MO136" s="152"/>
      <c r="MP136" s="152"/>
      <c r="MQ136" s="152"/>
      <c r="MR136" s="152"/>
      <c r="MS136" s="152"/>
      <c r="MT136" s="152"/>
    </row>
  </sheetData>
  <mergeCells count="183">
    <mergeCell ref="P5:P6"/>
    <mergeCell ref="Q5:Q6"/>
    <mergeCell ref="R5:R6"/>
    <mergeCell ref="S5:S6"/>
    <mergeCell ref="E5:E6"/>
    <mergeCell ref="F5:F6"/>
    <mergeCell ref="G5:G6"/>
    <mergeCell ref="H5:H6"/>
    <mergeCell ref="I5:I6"/>
    <mergeCell ref="K5:K6"/>
    <mergeCell ref="AH5:AH6"/>
    <mergeCell ref="AI5:AI6"/>
    <mergeCell ref="A9:C9"/>
    <mergeCell ref="E17:E18"/>
    <mergeCell ref="F17:F18"/>
    <mergeCell ref="G17:G18"/>
    <mergeCell ref="H17:H18"/>
    <mergeCell ref="I17:I18"/>
    <mergeCell ref="K17:K18"/>
    <mergeCell ref="N17:N18"/>
    <mergeCell ref="AB5:AB6"/>
    <mergeCell ref="AC5:AC6"/>
    <mergeCell ref="AD5:AD6"/>
    <mergeCell ref="AE5:AE6"/>
    <mergeCell ref="AF5:AF6"/>
    <mergeCell ref="AG5:AG6"/>
    <mergeCell ref="V5:V6"/>
    <mergeCell ref="W5:W6"/>
    <mergeCell ref="X5:X6"/>
    <mergeCell ref="Y5:Y6"/>
    <mergeCell ref="Z5:Z6"/>
    <mergeCell ref="AA5:AA6"/>
    <mergeCell ref="N5:N6"/>
    <mergeCell ref="O5:O6"/>
    <mergeCell ref="AF17:AF18"/>
    <mergeCell ref="AG17:AG18"/>
    <mergeCell ref="AH17:AH18"/>
    <mergeCell ref="W17:W18"/>
    <mergeCell ref="X17:X18"/>
    <mergeCell ref="Y17:Y18"/>
    <mergeCell ref="Z17:Z18"/>
    <mergeCell ref="AA17:AA18"/>
    <mergeCell ref="AB17:AB18"/>
    <mergeCell ref="A20:C20"/>
    <mergeCell ref="E28:E29"/>
    <mergeCell ref="F28:F29"/>
    <mergeCell ref="G28:G29"/>
    <mergeCell ref="H28:H29"/>
    <mergeCell ref="I28:I29"/>
    <mergeCell ref="AC17:AC18"/>
    <mergeCell ref="AD17:AD18"/>
    <mergeCell ref="AE17:AE18"/>
    <mergeCell ref="O17:O18"/>
    <mergeCell ref="P17:P18"/>
    <mergeCell ref="Q17:Q18"/>
    <mergeCell ref="R17:R18"/>
    <mergeCell ref="S17:S18"/>
    <mergeCell ref="V17:V18"/>
    <mergeCell ref="W28:W29"/>
    <mergeCell ref="X28:X29"/>
    <mergeCell ref="Y28:Y29"/>
    <mergeCell ref="Z28:Z29"/>
    <mergeCell ref="K28:K29"/>
    <mergeCell ref="N28:N29"/>
    <mergeCell ref="O28:O29"/>
    <mergeCell ref="P28:P29"/>
    <mergeCell ref="Q28:Q29"/>
    <mergeCell ref="AG28:AG29"/>
    <mergeCell ref="AH28:AH29"/>
    <mergeCell ref="AB28:AB29"/>
    <mergeCell ref="AC28:AC29"/>
    <mergeCell ref="AD28:AD29"/>
    <mergeCell ref="AE28:AE29"/>
    <mergeCell ref="AF28:AF29"/>
    <mergeCell ref="AC39:AC40"/>
    <mergeCell ref="AD39:AD40"/>
    <mergeCell ref="AE39:AE40"/>
    <mergeCell ref="AF39:AF40"/>
    <mergeCell ref="AG39:AG40"/>
    <mergeCell ref="AH39:AH40"/>
    <mergeCell ref="AB39:AB40"/>
    <mergeCell ref="A31:C31"/>
    <mergeCell ref="E39:E40"/>
    <mergeCell ref="F39:F40"/>
    <mergeCell ref="G39:G40"/>
    <mergeCell ref="H39:H40"/>
    <mergeCell ref="I39:I40"/>
    <mergeCell ref="K39:K40"/>
    <mergeCell ref="N39:N40"/>
    <mergeCell ref="AA28:AA29"/>
    <mergeCell ref="S28:S29"/>
    <mergeCell ref="V28:V29"/>
    <mergeCell ref="W39:W40"/>
    <mergeCell ref="X39:X40"/>
    <mergeCell ref="Y39:Y40"/>
    <mergeCell ref="Z39:Z40"/>
    <mergeCell ref="AA39:AA40"/>
    <mergeCell ref="R28:R29"/>
    <mergeCell ref="O39:O40"/>
    <mergeCell ref="P39:P40"/>
    <mergeCell ref="Q39:Q40"/>
    <mergeCell ref="R39:R40"/>
    <mergeCell ref="S39:S40"/>
    <mergeCell ref="V39:V40"/>
    <mergeCell ref="O52:O53"/>
    <mergeCell ref="P52:P53"/>
    <mergeCell ref="Q52:Q53"/>
    <mergeCell ref="R52:R53"/>
    <mergeCell ref="A42:C42"/>
    <mergeCell ref="E52:E53"/>
    <mergeCell ref="F52:F53"/>
    <mergeCell ref="G52:G53"/>
    <mergeCell ref="H52:H53"/>
    <mergeCell ref="I52:I53"/>
    <mergeCell ref="AG52:AG53"/>
    <mergeCell ref="AH52:AH53"/>
    <mergeCell ref="A55:C55"/>
    <mergeCell ref="E63:E64"/>
    <mergeCell ref="F63:F64"/>
    <mergeCell ref="G63:G64"/>
    <mergeCell ref="H63:H64"/>
    <mergeCell ref="I63:I64"/>
    <mergeCell ref="K63:K64"/>
    <mergeCell ref="N63:N64"/>
    <mergeCell ref="AA52:AA53"/>
    <mergeCell ref="AB52:AB53"/>
    <mergeCell ref="AC52:AC53"/>
    <mergeCell ref="AD52:AD53"/>
    <mergeCell ref="AE52:AE53"/>
    <mergeCell ref="AF52:AF53"/>
    <mergeCell ref="S52:S53"/>
    <mergeCell ref="V52:V53"/>
    <mergeCell ref="W52:W53"/>
    <mergeCell ref="X52:X53"/>
    <mergeCell ref="Y52:Y53"/>
    <mergeCell ref="Z52:Z53"/>
    <mergeCell ref="K52:K53"/>
    <mergeCell ref="N52:N53"/>
    <mergeCell ref="AF63:AF64"/>
    <mergeCell ref="AG63:AG64"/>
    <mergeCell ref="AH63:AH64"/>
    <mergeCell ref="W63:W64"/>
    <mergeCell ref="X63:X64"/>
    <mergeCell ref="Y63:Y64"/>
    <mergeCell ref="Z63:Z64"/>
    <mergeCell ref="AA63:AA64"/>
    <mergeCell ref="AB63:AB64"/>
    <mergeCell ref="A66:C66"/>
    <mergeCell ref="E74:E75"/>
    <mergeCell ref="F74:F75"/>
    <mergeCell ref="G74:G75"/>
    <mergeCell ref="H74:H75"/>
    <mergeCell ref="I74:I75"/>
    <mergeCell ref="AC63:AC64"/>
    <mergeCell ref="AD63:AD64"/>
    <mergeCell ref="AE63:AE64"/>
    <mergeCell ref="O63:O64"/>
    <mergeCell ref="P63:P64"/>
    <mergeCell ref="Q63:Q64"/>
    <mergeCell ref="R63:R64"/>
    <mergeCell ref="S63:S64"/>
    <mergeCell ref="V63:V64"/>
    <mergeCell ref="AG74:AG75"/>
    <mergeCell ref="AH74:AH75"/>
    <mergeCell ref="A77:C77"/>
    <mergeCell ref="AA74:AA75"/>
    <mergeCell ref="AB74:AB75"/>
    <mergeCell ref="AC74:AC75"/>
    <mergeCell ref="AD74:AD75"/>
    <mergeCell ref="AE74:AE75"/>
    <mergeCell ref="AF74:AF75"/>
    <mergeCell ref="S74:S75"/>
    <mergeCell ref="V74:V75"/>
    <mergeCell ref="W74:W75"/>
    <mergeCell ref="X74:X75"/>
    <mergeCell ref="Y74:Y75"/>
    <mergeCell ref="Z74:Z75"/>
    <mergeCell ref="K74:K75"/>
    <mergeCell ref="N74:N75"/>
    <mergeCell ref="O74:O75"/>
    <mergeCell ref="P74:P75"/>
    <mergeCell ref="Q74:Q75"/>
    <mergeCell ref="R74:R7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MT124"/>
  <sheetViews>
    <sheetView topLeftCell="A4" zoomScale="80" zoomScaleNormal="80" workbookViewId="0">
      <selection activeCell="AJ82" sqref="AJ82"/>
    </sheetView>
  </sheetViews>
  <sheetFormatPr defaultColWidth="9.08984375" defaultRowHeight="21" outlineLevelRow="1" outlineLevelCol="1"/>
  <cols>
    <col min="1" max="1" width="18.1796875" style="194" customWidth="1"/>
    <col min="2" max="2" width="24.90625" style="2" hidden="1" customWidth="1"/>
    <col min="3" max="3" width="21.36328125" style="2" hidden="1" customWidth="1"/>
    <col min="4" max="4" width="13.453125" style="1" hidden="1" customWidth="1"/>
    <col min="5" max="5" width="10.36328125" style="1" hidden="1" customWidth="1"/>
    <col min="6" max="9" width="11.08984375" style="3" hidden="1" customWidth="1"/>
    <col min="10" max="10" width="31.90625" style="4" hidden="1" customWidth="1"/>
    <col min="11" max="14" width="11.08984375" style="3" hidden="1" customWidth="1"/>
    <col min="15" max="15" width="15.453125" style="3" hidden="1" customWidth="1"/>
    <col min="16" max="16" width="9.1796875" style="3" customWidth="1"/>
    <col min="17" max="17" width="9.7265625" style="3" customWidth="1"/>
    <col min="18" max="18" width="10" style="3" customWidth="1"/>
    <col min="19" max="19" width="9.453125" style="3" customWidth="1"/>
    <col min="20" max="20" width="9.90625" style="3" customWidth="1"/>
    <col min="21" max="22" width="30.08984375" style="5" hidden="1" customWidth="1" outlineLevel="1"/>
    <col min="23" max="23" width="9.08984375" style="3" customWidth="1" collapsed="1"/>
    <col min="24" max="29" width="9.08984375" style="6" customWidth="1"/>
    <col min="30" max="30" width="8.7265625" style="6" hidden="1" customWidth="1" outlineLevel="1"/>
    <col min="31" max="33" width="9.1796875" style="6" hidden="1" customWidth="1" outlineLevel="1"/>
    <col min="34" max="34" width="8.7265625" style="153" customWidth="1" collapsed="1"/>
    <col min="35" max="35" width="10.08984375" style="7" bestFit="1" customWidth="1"/>
    <col min="36" max="358" width="9.08984375" style="7"/>
    <col min="359" max="16384" width="9.0898437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2"/>
      <c r="V2" s="12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7"/>
      <c r="V3" s="17"/>
      <c r="W3" s="14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8" t="s">
        <v>3</v>
      </c>
      <c r="F5" s="673" t="s">
        <v>4</v>
      </c>
      <c r="G5" s="673" t="s">
        <v>5</v>
      </c>
      <c r="H5" s="680" t="s">
        <v>6</v>
      </c>
      <c r="I5" s="673" t="s">
        <v>7</v>
      </c>
      <c r="J5" s="28" t="s">
        <v>2</v>
      </c>
      <c r="K5" s="673" t="s">
        <v>8</v>
      </c>
      <c r="L5" s="366" t="s">
        <v>9</v>
      </c>
      <c r="M5" s="366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197</v>
      </c>
      <c r="T5" s="673" t="s">
        <v>65</v>
      </c>
      <c r="U5" s="29" t="s">
        <v>10</v>
      </c>
      <c r="V5" s="30" t="s">
        <v>11</v>
      </c>
      <c r="W5" s="673" t="s">
        <v>66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97" t="s">
        <v>78</v>
      </c>
      <c r="AD5" s="699" t="s">
        <v>79</v>
      </c>
      <c r="AE5" s="688" t="s">
        <v>80</v>
      </c>
      <c r="AF5" s="688" t="s">
        <v>81</v>
      </c>
      <c r="AG5" s="695" t="s">
        <v>82</v>
      </c>
      <c r="AH5" s="685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79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187">
        <v>42491</v>
      </c>
      <c r="V6" s="188">
        <v>42522</v>
      </c>
      <c r="W6" s="674"/>
      <c r="X6" s="674"/>
      <c r="Y6" s="674"/>
      <c r="Z6" s="674"/>
      <c r="AA6" s="674"/>
      <c r="AB6" s="674"/>
      <c r="AC6" s="698"/>
      <c r="AD6" s="700"/>
      <c r="AE6" s="689"/>
      <c r="AF6" s="689"/>
      <c r="AG6" s="696"/>
      <c r="AH6" s="686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2"/>
      <c r="V7" s="22"/>
      <c r="W7" s="24"/>
      <c r="X7" s="24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68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60"/>
      <c r="V8" s="215"/>
      <c r="W8" s="39"/>
      <c r="X8" s="39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81"/>
      <c r="B9" s="682"/>
      <c r="C9" s="682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16"/>
      <c r="V9" s="217"/>
      <c r="W9" s="208"/>
      <c r="X9" s="208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29.38</v>
      </c>
      <c r="R10" s="56">
        <v>35.141818181818174</v>
      </c>
      <c r="S10" s="56">
        <v>38</v>
      </c>
      <c r="T10" s="189">
        <v>38.5</v>
      </c>
      <c r="U10" s="185" t="s">
        <v>198</v>
      </c>
      <c r="V10" s="186" t="s">
        <v>199</v>
      </c>
      <c r="W10" s="189">
        <v>38.75</v>
      </c>
      <c r="X10" s="189">
        <v>39</v>
      </c>
      <c r="Y10" s="189">
        <v>39.5</v>
      </c>
      <c r="Z10" s="189">
        <v>40</v>
      </c>
      <c r="AA10" s="189">
        <v>41</v>
      </c>
      <c r="AB10" s="189">
        <v>42</v>
      </c>
      <c r="AC10" s="297">
        <v>42.5</v>
      </c>
      <c r="AD10" s="308">
        <f>AVERAGE(P10:R10)</f>
        <v>30.443939393939388</v>
      </c>
      <c r="AE10" s="246">
        <f>AVERAGE(S10:T10:W10)</f>
        <v>38.416666666666664</v>
      </c>
      <c r="AF10" s="246">
        <f>AVERAGE(X10:Z10)</f>
        <v>39.5</v>
      </c>
      <c r="AG10" s="309">
        <f>AVERAGE(AA10:AC10)</f>
        <v>41.833333333333336</v>
      </c>
      <c r="AH10" s="241">
        <f>AVERAGE(P10:AC10)</f>
        <v>37.548484848484847</v>
      </c>
      <c r="AI10" s="267"/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29.38</v>
      </c>
      <c r="R11" s="50">
        <v>35.141818181818174</v>
      </c>
      <c r="S11" s="50">
        <v>38</v>
      </c>
      <c r="T11" s="183">
        <v>38</v>
      </c>
      <c r="U11" s="185"/>
      <c r="V11" s="186"/>
      <c r="W11" s="183">
        <v>37</v>
      </c>
      <c r="X11" s="183">
        <v>37.5</v>
      </c>
      <c r="Y11" s="183">
        <v>38.5</v>
      </c>
      <c r="Z11" s="183">
        <v>39.5</v>
      </c>
      <c r="AA11" s="183">
        <v>40</v>
      </c>
      <c r="AB11" s="183">
        <v>42</v>
      </c>
      <c r="AC11" s="298">
        <v>42.5</v>
      </c>
      <c r="AD11" s="308">
        <f>AVERAGE(P11:R11)</f>
        <v>30.443939393939388</v>
      </c>
      <c r="AE11" s="246">
        <f>AVERAGE(S11:T11:W11)</f>
        <v>37.666666666666664</v>
      </c>
      <c r="AF11" s="246">
        <f t="shared" ref="AF11:AF13" si="1">AVERAGE(X11:Z11)</f>
        <v>38.5</v>
      </c>
      <c r="AG11" s="309">
        <f t="shared" ref="AG11:AG13" si="2">AVERAGE(AA11:AC11)</f>
        <v>41.5</v>
      </c>
      <c r="AH11" s="241">
        <f>AVERAGE(P11:AC11)</f>
        <v>37.027651515151511</v>
      </c>
      <c r="AI11" s="267"/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29.38</v>
      </c>
      <c r="R12" s="56">
        <v>35.141818181818174</v>
      </c>
      <c r="S12" s="56">
        <v>38</v>
      </c>
      <c r="T12" s="183">
        <v>37</v>
      </c>
      <c r="U12" s="185" t="s">
        <v>194</v>
      </c>
      <c r="V12" s="186" t="s">
        <v>194</v>
      </c>
      <c r="W12" s="183">
        <v>37</v>
      </c>
      <c r="X12" s="183">
        <v>37</v>
      </c>
      <c r="Y12" s="189">
        <v>37</v>
      </c>
      <c r="Z12" s="189">
        <v>37</v>
      </c>
      <c r="AA12" s="189">
        <v>40</v>
      </c>
      <c r="AB12" s="189">
        <v>40</v>
      </c>
      <c r="AC12" s="297">
        <v>40</v>
      </c>
      <c r="AD12" s="308">
        <f>AVERAGE(P12:R12)</f>
        <v>30.443939393939388</v>
      </c>
      <c r="AE12" s="246">
        <f>AVERAGE(S12:T12:W12)</f>
        <v>37.333333333333336</v>
      </c>
      <c r="AF12" s="246">
        <f t="shared" si="1"/>
        <v>37</v>
      </c>
      <c r="AG12" s="309">
        <f t="shared" si="2"/>
        <v>40</v>
      </c>
      <c r="AH12" s="241">
        <f>AVERAGE(P12:AC12)</f>
        <v>36.194318181818183</v>
      </c>
      <c r="AI12" s="267"/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29.38</v>
      </c>
      <c r="R13" s="56">
        <v>35.141818181818174</v>
      </c>
      <c r="S13" s="56">
        <v>38</v>
      </c>
      <c r="T13" s="189">
        <v>38.799999999999997</v>
      </c>
      <c r="U13" s="253" t="s">
        <v>184</v>
      </c>
      <c r="V13" s="254" t="s">
        <v>185</v>
      </c>
      <c r="W13" s="189">
        <v>39.200000000000003</v>
      </c>
      <c r="X13" s="189">
        <v>39.200000000000003</v>
      </c>
      <c r="Y13" s="189">
        <v>39.6</v>
      </c>
      <c r="Z13" s="189">
        <v>39.6</v>
      </c>
      <c r="AA13" s="189">
        <v>42</v>
      </c>
      <c r="AB13" s="189">
        <v>45</v>
      </c>
      <c r="AC13" s="297">
        <v>47</v>
      </c>
      <c r="AD13" s="308">
        <f>AVERAGE(P13:R13)</f>
        <v>30.443939393939388</v>
      </c>
      <c r="AE13" s="246">
        <f>AVERAGE(S13:T13:W13)</f>
        <v>38.666666666666664</v>
      </c>
      <c r="AF13" s="246">
        <f t="shared" si="1"/>
        <v>39.466666666666669</v>
      </c>
      <c r="AG13" s="309">
        <f t="shared" si="2"/>
        <v>44.666666666666664</v>
      </c>
      <c r="AH13" s="241">
        <f>AVERAGE(P13:AC13)</f>
        <v>38.31098484848485</v>
      </c>
      <c r="AI13" s="267"/>
    </row>
    <row r="14" spans="1:358" s="62" customFormat="1" ht="19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38</v>
      </c>
      <c r="T14" s="59">
        <f>AVERAGE(T10:T13)</f>
        <v>38.075000000000003</v>
      </c>
      <c r="U14" s="60"/>
      <c r="V14" s="60"/>
      <c r="W14" s="59">
        <f t="shared" ref="W14:AC14" si="5">AVERAGE(W10:W13)</f>
        <v>37.987499999999997</v>
      </c>
      <c r="X14" s="59">
        <f t="shared" si="5"/>
        <v>38.174999999999997</v>
      </c>
      <c r="Y14" s="59">
        <f t="shared" si="5"/>
        <v>38.65</v>
      </c>
      <c r="Z14" s="59">
        <f t="shared" si="5"/>
        <v>39.024999999999999</v>
      </c>
      <c r="AA14" s="59">
        <f t="shared" si="5"/>
        <v>40.75</v>
      </c>
      <c r="AB14" s="59">
        <f t="shared" si="5"/>
        <v>42.25</v>
      </c>
      <c r="AC14" s="234">
        <f t="shared" si="5"/>
        <v>43</v>
      </c>
      <c r="AD14" s="310">
        <f>AVERAGE(AD10:AD13)</f>
        <v>30.443939393939388</v>
      </c>
      <c r="AE14" s="59">
        <f t="shared" ref="AE14" si="6">AVERAGE(AE10:AE13)</f>
        <v>38.020833333333329</v>
      </c>
      <c r="AF14" s="59">
        <f>AVERAGE(AF10:AF13)</f>
        <v>38.616666666666667</v>
      </c>
      <c r="AG14" s="311">
        <f>AVERAGE(AG10:AG13)</f>
        <v>42</v>
      </c>
      <c r="AH14" s="242">
        <f>AVERAGE(AH10:AH13)</f>
        <v>37.270359848484844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38</v>
      </c>
      <c r="T15" s="164">
        <v>38</v>
      </c>
      <c r="U15" s="164"/>
      <c r="V15" s="164"/>
      <c r="W15" s="164">
        <v>37</v>
      </c>
      <c r="X15" s="164">
        <v>38</v>
      </c>
      <c r="Y15" s="164">
        <v>38.5</v>
      </c>
      <c r="Z15" s="164">
        <v>39.5</v>
      </c>
      <c r="AA15" s="164">
        <v>40.799999999999997</v>
      </c>
      <c r="AB15" s="164">
        <v>42</v>
      </c>
      <c r="AC15" s="229">
        <v>44</v>
      </c>
      <c r="AD15" s="312">
        <f>AVERAGE(P15:R15)</f>
        <v>30.443939393939388</v>
      </c>
      <c r="AE15" s="164">
        <f>AVERAGE(S15:T15:W15)</f>
        <v>37.666666666666664</v>
      </c>
      <c r="AF15" s="164">
        <f>AVERAGE(X15:Z15)</f>
        <v>38.666666666666664</v>
      </c>
      <c r="AG15" s="313">
        <f>AVERAGE(AA15:AC15)</f>
        <v>42.266666666666666</v>
      </c>
      <c r="AH15" s="242">
        <f>AVERAGE(P15:AC15)</f>
        <v>37.260984848484846</v>
      </c>
      <c r="AI15" s="271">
        <v>54</v>
      </c>
      <c r="AJ15" s="179"/>
      <c r="AK15" s="179"/>
    </row>
    <row r="16" spans="1:358" ht="21.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67"/>
      <c r="V16" s="67"/>
      <c r="W16" s="24"/>
      <c r="X16" s="24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73"/>
      <c r="V17" s="73"/>
      <c r="W17" s="39"/>
      <c r="X17" s="39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5"/>
      <c r="B18" s="676"/>
      <c r="C18" s="676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216"/>
      <c r="V18" s="217"/>
      <c r="W18" s="44"/>
      <c r="X18" s="4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60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56">
        <v>9.7899999999999991</v>
      </c>
      <c r="Q19" s="56">
        <v>4.5627777777777778</v>
      </c>
      <c r="R19" s="56">
        <v>3.8622727272727388</v>
      </c>
      <c r="S19" s="56">
        <v>3.76</v>
      </c>
      <c r="T19" s="189">
        <v>3.5</v>
      </c>
      <c r="U19" s="185" t="s">
        <v>177</v>
      </c>
      <c r="V19" s="186" t="s">
        <v>178</v>
      </c>
      <c r="W19" s="189">
        <v>3</v>
      </c>
      <c r="X19" s="189">
        <v>2.25</v>
      </c>
      <c r="Y19" s="189">
        <v>1.75</v>
      </c>
      <c r="Z19" s="189">
        <v>2</v>
      </c>
      <c r="AA19" s="189">
        <v>2</v>
      </c>
      <c r="AB19" s="189">
        <v>2.5</v>
      </c>
      <c r="AC19" s="297">
        <v>3</v>
      </c>
      <c r="AD19" s="308">
        <f>AVERAGE(P19:R19)</f>
        <v>6.0716835016835056</v>
      </c>
      <c r="AE19" s="246">
        <f>AVERAGE(S19:T19:W19)</f>
        <v>3.42</v>
      </c>
      <c r="AF19" s="246">
        <f>AVERAGE(X19:Z19)</f>
        <v>2</v>
      </c>
      <c r="AG19" s="309">
        <f>AVERAGE(AA19:AC19)</f>
        <v>2.5</v>
      </c>
      <c r="AH19" s="241">
        <f>AVERAGE(P19:AC19)</f>
        <v>3.4979208754208764</v>
      </c>
      <c r="AI19" s="272"/>
    </row>
    <row r="20" spans="1:358" ht="66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56">
        <v>9.7899999999999991</v>
      </c>
      <c r="Q20" s="50">
        <v>4.5627777777777778</v>
      </c>
      <c r="R20" s="50">
        <v>3.8622727272727388</v>
      </c>
      <c r="S20" s="50">
        <v>3.76</v>
      </c>
      <c r="T20" s="183">
        <v>4</v>
      </c>
      <c r="U20" s="185"/>
      <c r="V20" s="186"/>
      <c r="W20" s="183">
        <v>4.5</v>
      </c>
      <c r="X20" s="183">
        <v>4.2</v>
      </c>
      <c r="Y20" s="183">
        <v>3.7</v>
      </c>
      <c r="Z20" s="183">
        <v>3.3000000000000003</v>
      </c>
      <c r="AA20" s="183">
        <v>3.2</v>
      </c>
      <c r="AB20" s="183">
        <v>3.5</v>
      </c>
      <c r="AC20" s="298">
        <v>3.8000000000000003</v>
      </c>
      <c r="AD20" s="308">
        <f>AVERAGE(P20:R20)</f>
        <v>6.0716835016835056</v>
      </c>
      <c r="AE20" s="246">
        <f>AVERAGE(S20:T20:W20)</f>
        <v>4.0866666666666669</v>
      </c>
      <c r="AF20" s="246">
        <f t="shared" ref="AF20:AF22" si="9">AVERAGE(X20:Z20)</f>
        <v>3.7333333333333338</v>
      </c>
      <c r="AG20" s="309">
        <f t="shared" ref="AG20:AG22" si="10">AVERAGE(AA20:AC20)</f>
        <v>3.5</v>
      </c>
      <c r="AH20" s="241">
        <f>AVERAGE(P20:AC20)</f>
        <v>4.3479208754208765</v>
      </c>
      <c r="AI20" s="272"/>
    </row>
    <row r="21" spans="1:358" ht="62.2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56">
        <v>9.7899999999999991</v>
      </c>
      <c r="Q21" s="56">
        <v>4.5627777777777778</v>
      </c>
      <c r="R21" s="56">
        <v>3.8622727272727388</v>
      </c>
      <c r="S21" s="56">
        <v>3.76</v>
      </c>
      <c r="T21" s="189">
        <v>5</v>
      </c>
      <c r="U21" s="185" t="s">
        <v>195</v>
      </c>
      <c r="V21" s="186" t="s">
        <v>174</v>
      </c>
      <c r="W21" s="189">
        <v>5</v>
      </c>
      <c r="X21" s="189">
        <v>4.5</v>
      </c>
      <c r="Y21" s="189">
        <v>4.5</v>
      </c>
      <c r="Z21" s="189">
        <v>4.5</v>
      </c>
      <c r="AA21" s="189">
        <v>4</v>
      </c>
      <c r="AB21" s="189">
        <v>4</v>
      </c>
      <c r="AC21" s="297">
        <v>4</v>
      </c>
      <c r="AD21" s="308">
        <f>AVERAGE(P21:R21)</f>
        <v>6.0716835016835056</v>
      </c>
      <c r="AE21" s="246">
        <f>AVERAGE(S21:T21:W21)</f>
        <v>4.5866666666666669</v>
      </c>
      <c r="AF21" s="246">
        <f t="shared" si="9"/>
        <v>4.5</v>
      </c>
      <c r="AG21" s="309">
        <f t="shared" si="10"/>
        <v>4</v>
      </c>
      <c r="AH21" s="241">
        <f>AVERAGE(P21:AC21)</f>
        <v>4.7895875420875429</v>
      </c>
      <c r="AI21" s="272"/>
    </row>
    <row r="22" spans="1:358" ht="66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56">
        <v>9.7899999999999991</v>
      </c>
      <c r="Q22" s="56">
        <v>4.5627777777777778</v>
      </c>
      <c r="R22" s="56">
        <v>3.8622727272727388</v>
      </c>
      <c r="S22" s="56">
        <v>3.76</v>
      </c>
      <c r="T22" s="189">
        <v>3.5</v>
      </c>
      <c r="U22" s="185" t="s">
        <v>186</v>
      </c>
      <c r="V22" s="186"/>
      <c r="W22" s="189">
        <v>3.5</v>
      </c>
      <c r="X22" s="189">
        <v>3</v>
      </c>
      <c r="Y22" s="189">
        <v>2.5</v>
      </c>
      <c r="Z22" s="189">
        <v>2.2000000000000002</v>
      </c>
      <c r="AA22" s="189">
        <v>2</v>
      </c>
      <c r="AB22" s="189">
        <v>2.5</v>
      </c>
      <c r="AC22" s="297">
        <v>2.5</v>
      </c>
      <c r="AD22" s="308">
        <f>AVERAGE(P22:R22)</f>
        <v>6.0716835016835056</v>
      </c>
      <c r="AE22" s="246">
        <f>AVERAGE(S22:T22:W22)</f>
        <v>3.5866666666666664</v>
      </c>
      <c r="AF22" s="246">
        <f t="shared" si="9"/>
        <v>2.5666666666666669</v>
      </c>
      <c r="AG22" s="309">
        <f t="shared" si="10"/>
        <v>2.3333333333333335</v>
      </c>
      <c r="AH22" s="241">
        <f>AVERAGE(P22:AC22)</f>
        <v>3.6395875420875434</v>
      </c>
      <c r="AI22" s="272"/>
    </row>
    <row r="23" spans="1:358" ht="26.2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3.76</v>
      </c>
      <c r="T23" s="59">
        <f>AVERAGE(T19:T22)</f>
        <v>4</v>
      </c>
      <c r="U23" s="59"/>
      <c r="V23" s="59"/>
      <c r="W23" s="59">
        <f t="shared" ref="W23:AC23" si="13">AVERAGE(W19:W22)</f>
        <v>4</v>
      </c>
      <c r="X23" s="59">
        <f t="shared" si="13"/>
        <v>3.4874999999999998</v>
      </c>
      <c r="Y23" s="59">
        <f t="shared" si="13"/>
        <v>3.1124999999999998</v>
      </c>
      <c r="Z23" s="59">
        <f t="shared" si="13"/>
        <v>3</v>
      </c>
      <c r="AA23" s="59">
        <f t="shared" si="13"/>
        <v>2.8</v>
      </c>
      <c r="AB23" s="59">
        <f t="shared" si="13"/>
        <v>3.125</v>
      </c>
      <c r="AC23" s="234">
        <f t="shared" si="13"/>
        <v>3.3250000000000002</v>
      </c>
      <c r="AD23" s="310">
        <f>AVERAGE(AD19:AD22)</f>
        <v>6.0716835016835056</v>
      </c>
      <c r="AE23" s="59">
        <f>AVERAGE(AE19:AE22)</f>
        <v>3.92</v>
      </c>
      <c r="AF23" s="59">
        <f t="shared" ref="AF23:AG23" si="14">AVERAGE(AF19:AF22)</f>
        <v>3.2</v>
      </c>
      <c r="AG23" s="311">
        <f t="shared" si="14"/>
        <v>3.0833333333333335</v>
      </c>
      <c r="AH23" s="242">
        <f>AVERAGE(AH19:AH22)</f>
        <v>4.0687542087542097</v>
      </c>
      <c r="AI23" s="272"/>
    </row>
    <row r="24" spans="1:358" ht="19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3.76</v>
      </c>
      <c r="T24" s="164">
        <f>T23</f>
        <v>4</v>
      </c>
      <c r="U24" s="164"/>
      <c r="V24" s="164"/>
      <c r="W24" s="164">
        <f>W23</f>
        <v>4</v>
      </c>
      <c r="X24" s="164">
        <v>4.3</v>
      </c>
      <c r="Y24" s="164">
        <v>3.5</v>
      </c>
      <c r="Z24" s="164">
        <v>3</v>
      </c>
      <c r="AA24" s="164">
        <v>3</v>
      </c>
      <c r="AB24" s="164">
        <v>3.5</v>
      </c>
      <c r="AC24" s="229">
        <v>3.8</v>
      </c>
      <c r="AD24" s="312">
        <f>AVERAGE(P24:R24)</f>
        <v>6.0716835016835056</v>
      </c>
      <c r="AE24" s="164">
        <f>AVERAGE(S24:T24:W24)</f>
        <v>3.92</v>
      </c>
      <c r="AF24" s="164">
        <f>AVERAGE(X24:Z24)</f>
        <v>3.6</v>
      </c>
      <c r="AG24" s="313">
        <f>AVERAGE(AA24:AC24)</f>
        <v>3.4333333333333336</v>
      </c>
      <c r="AH24" s="242">
        <f>AVERAGE(P24:AC24)</f>
        <v>4.2562542087542097</v>
      </c>
      <c r="AI24" s="271">
        <v>-1</v>
      </c>
    </row>
    <row r="25" spans="1:358" ht="21.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67"/>
      <c r="V25" s="67"/>
      <c r="W25" s="24"/>
      <c r="X25" s="24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73"/>
      <c r="V26" s="73"/>
      <c r="W26" s="39"/>
      <c r="X26" s="39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83"/>
      <c r="B27" s="684"/>
      <c r="C27" s="684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218"/>
      <c r="V27" s="219"/>
      <c r="W27" s="44"/>
      <c r="X27" s="44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56">
        <v>23.61</v>
      </c>
      <c r="Q28" s="56">
        <v>15.2</v>
      </c>
      <c r="R28" s="56">
        <v>17.63000000000001</v>
      </c>
      <c r="S28" s="56">
        <v>15.52</v>
      </c>
      <c r="T28" s="189">
        <v>17</v>
      </c>
      <c r="U28" s="185" t="s">
        <v>179</v>
      </c>
      <c r="V28" s="186" t="s">
        <v>180</v>
      </c>
      <c r="W28" s="189">
        <v>17.5</v>
      </c>
      <c r="X28" s="189">
        <v>17</v>
      </c>
      <c r="Y28" s="189">
        <v>16.5</v>
      </c>
      <c r="Z28" s="189">
        <v>16</v>
      </c>
      <c r="AA28" s="189">
        <v>16</v>
      </c>
      <c r="AB28" s="189">
        <v>15</v>
      </c>
      <c r="AC28" s="297">
        <v>14.5</v>
      </c>
      <c r="AD28" s="308">
        <f>AVERAGE(P28:R28)</f>
        <v>18.813333333333336</v>
      </c>
      <c r="AE28" s="246">
        <f>AVERAGE(S28:T28:W28)</f>
        <v>16.673333333333332</v>
      </c>
      <c r="AF28" s="246">
        <f>AVERAGE(X28:Z28)</f>
        <v>16.5</v>
      </c>
      <c r="AG28" s="309">
        <f>AVERAGE(AA28:AC28)</f>
        <v>15.166666666666666</v>
      </c>
      <c r="AH28" s="241">
        <f>AVERAGE(P28:AC28)</f>
        <v>16.788333333333334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56">
        <v>23.61</v>
      </c>
      <c r="Q29" s="56">
        <v>15.2</v>
      </c>
      <c r="R29" s="50">
        <v>17.63000000000001</v>
      </c>
      <c r="S29" s="50">
        <v>15.52</v>
      </c>
      <c r="T29" s="183">
        <v>17.5</v>
      </c>
      <c r="U29" s="185"/>
      <c r="V29" s="186"/>
      <c r="W29" s="183">
        <v>20</v>
      </c>
      <c r="X29" s="183">
        <v>19.5</v>
      </c>
      <c r="Y29" s="183">
        <v>19.5</v>
      </c>
      <c r="Z29" s="183">
        <v>18</v>
      </c>
      <c r="AA29" s="183">
        <v>17.5</v>
      </c>
      <c r="AB29" s="183">
        <v>16</v>
      </c>
      <c r="AC29" s="298">
        <v>16</v>
      </c>
      <c r="AD29" s="308">
        <f>AVERAGE(P29:R29)</f>
        <v>18.813333333333336</v>
      </c>
      <c r="AE29" s="246">
        <f>AVERAGE(S29:T29:W29)</f>
        <v>17.673333333333332</v>
      </c>
      <c r="AF29" s="246">
        <f t="shared" ref="AF29:AF31" si="17">AVERAGE(X29:Z29)</f>
        <v>19</v>
      </c>
      <c r="AG29" s="309">
        <f t="shared" ref="AG29:AG31" si="18">AVERAGE(AA29:AC29)</f>
        <v>16.5</v>
      </c>
      <c r="AH29" s="241">
        <f>AVERAGE(P29:AC29)</f>
        <v>17.996666666666666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56">
        <v>23.61</v>
      </c>
      <c r="Q30" s="56">
        <v>15.2</v>
      </c>
      <c r="R30" s="56">
        <v>17.63000000000001</v>
      </c>
      <c r="S30" s="56">
        <v>15.52</v>
      </c>
      <c r="T30" s="189">
        <v>17.5</v>
      </c>
      <c r="U30" s="185" t="s">
        <v>196</v>
      </c>
      <c r="V30" s="186" t="s">
        <v>96</v>
      </c>
      <c r="W30" s="189">
        <v>17.5</v>
      </c>
      <c r="X30" s="189">
        <v>17</v>
      </c>
      <c r="Y30" s="189">
        <v>17</v>
      </c>
      <c r="Z30" s="189">
        <v>17</v>
      </c>
      <c r="AA30" s="189">
        <v>16.5</v>
      </c>
      <c r="AB30" s="189">
        <v>16.5</v>
      </c>
      <c r="AC30" s="297">
        <v>16.5</v>
      </c>
      <c r="AD30" s="308">
        <f>AVERAGE(P30:R30)</f>
        <v>18.813333333333336</v>
      </c>
      <c r="AE30" s="246">
        <f>AVERAGE(S30:T30:W30)</f>
        <v>16.84</v>
      </c>
      <c r="AF30" s="246">
        <f t="shared" si="17"/>
        <v>17</v>
      </c>
      <c r="AG30" s="309">
        <f t="shared" si="18"/>
        <v>16.5</v>
      </c>
      <c r="AH30" s="241">
        <f>AVERAGE(P30:AC30)</f>
        <v>17.288333333333334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56">
        <v>23.61</v>
      </c>
      <c r="Q31" s="56">
        <v>15.2</v>
      </c>
      <c r="R31" s="56">
        <v>17.63000000000001</v>
      </c>
      <c r="S31" s="56">
        <v>15.52</v>
      </c>
      <c r="T31" s="189">
        <v>17.3</v>
      </c>
      <c r="U31" s="185" t="s">
        <v>187</v>
      </c>
      <c r="V31" s="186" t="s">
        <v>188</v>
      </c>
      <c r="W31" s="189">
        <v>20</v>
      </c>
      <c r="X31" s="189">
        <v>20</v>
      </c>
      <c r="Y31" s="189">
        <v>18</v>
      </c>
      <c r="Z31" s="189">
        <v>16</v>
      </c>
      <c r="AA31" s="189">
        <v>14</v>
      </c>
      <c r="AB31" s="189">
        <v>13</v>
      </c>
      <c r="AC31" s="297">
        <v>13</v>
      </c>
      <c r="AD31" s="308">
        <f>AVERAGE(P31:R31)</f>
        <v>18.813333333333336</v>
      </c>
      <c r="AE31" s="246">
        <f>AVERAGE(S31:T31:W31)</f>
        <v>17.606666666666666</v>
      </c>
      <c r="AF31" s="246">
        <f t="shared" si="17"/>
        <v>18</v>
      </c>
      <c r="AG31" s="309">
        <f t="shared" si="18"/>
        <v>13.333333333333334</v>
      </c>
      <c r="AH31" s="241">
        <f>AVERAGE(P31:AC31)</f>
        <v>16.938333333333333</v>
      </c>
      <c r="AI31" s="272"/>
    </row>
    <row r="32" spans="1:358" s="62" customFormat="1" ht="19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15.52</v>
      </c>
      <c r="T32" s="59">
        <f>AVERAGE(T28:T31)</f>
        <v>17.324999999999999</v>
      </c>
      <c r="U32" s="60"/>
      <c r="V32" s="60"/>
      <c r="W32" s="59">
        <f t="shared" si="20"/>
        <v>18.75</v>
      </c>
      <c r="X32" s="59">
        <f t="shared" si="20"/>
        <v>18.375</v>
      </c>
      <c r="Y32" s="59">
        <f t="shared" si="20"/>
        <v>17.75</v>
      </c>
      <c r="Z32" s="59">
        <f t="shared" si="20"/>
        <v>16.75</v>
      </c>
      <c r="AA32" s="59">
        <f t="shared" si="20"/>
        <v>16</v>
      </c>
      <c r="AB32" s="59">
        <f t="shared" si="20"/>
        <v>15.125</v>
      </c>
      <c r="AC32" s="234">
        <f t="shared" si="20"/>
        <v>15</v>
      </c>
      <c r="AD32" s="310">
        <f>AVERAGE(AD28:AD31)</f>
        <v>18.813333333333336</v>
      </c>
      <c r="AE32" s="59">
        <f t="shared" ref="AE32:AG32" si="21">AVERAGE(AE28:AE31)</f>
        <v>17.198333333333334</v>
      </c>
      <c r="AF32" s="59">
        <f t="shared" si="21"/>
        <v>17.625</v>
      </c>
      <c r="AG32" s="311">
        <f t="shared" si="21"/>
        <v>15.375</v>
      </c>
      <c r="AH32" s="242">
        <f>AVERAGE(AH28:AH31)</f>
        <v>17.252916666666664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15.52</v>
      </c>
      <c r="T33" s="164">
        <v>17.3</v>
      </c>
      <c r="U33" s="164"/>
      <c r="V33" s="164"/>
      <c r="W33" s="164">
        <v>19</v>
      </c>
      <c r="X33" s="164">
        <v>18.5</v>
      </c>
      <c r="Y33" s="164">
        <v>18</v>
      </c>
      <c r="Z33" s="164">
        <v>17</v>
      </c>
      <c r="AA33" s="164">
        <v>16</v>
      </c>
      <c r="AB33" s="164">
        <v>15</v>
      </c>
      <c r="AC33" s="229">
        <v>14.5</v>
      </c>
      <c r="AD33" s="312">
        <f>AVERAGE(P33:R33)</f>
        <v>18.813333333333336</v>
      </c>
      <c r="AE33" s="164">
        <f>AVERAGE(S33:T33:W33)</f>
        <v>17.273333333333333</v>
      </c>
      <c r="AF33" s="164">
        <f>AVERAGE(X33:Z33)</f>
        <v>17.833333333333332</v>
      </c>
      <c r="AG33" s="313">
        <f>AVERAGE(AA33:AC33)</f>
        <v>15.166666666666666</v>
      </c>
      <c r="AH33" s="242">
        <f>AVERAGE(P33:AC33)</f>
        <v>17.271666666666665</v>
      </c>
      <c r="AI33" s="271">
        <v>16</v>
      </c>
    </row>
    <row r="34" spans="1:358" ht="21.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67"/>
      <c r="V34" s="67"/>
      <c r="W34" s="24"/>
      <c r="X34" s="24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100"/>
      <c r="V35" s="100"/>
      <c r="W35" s="39"/>
      <c r="X35" s="39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5"/>
      <c r="B36" s="676"/>
      <c r="C36" s="676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216"/>
      <c r="V36" s="217"/>
      <c r="W36" s="44"/>
      <c r="X36" s="4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60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56">
        <v>11.1</v>
      </c>
      <c r="Q37" s="56">
        <v>11.62</v>
      </c>
      <c r="R37" s="52">
        <v>12.238181818181829</v>
      </c>
      <c r="S37" s="52">
        <v>10.3</v>
      </c>
      <c r="T37" s="181">
        <v>10.199999999999999</v>
      </c>
      <c r="U37" s="185" t="s">
        <v>150</v>
      </c>
      <c r="V37" s="186" t="s">
        <v>181</v>
      </c>
      <c r="W37" s="181">
        <v>11</v>
      </c>
      <c r="X37" s="181">
        <v>11.25</v>
      </c>
      <c r="Y37" s="181">
        <v>10.75</v>
      </c>
      <c r="Z37" s="181">
        <v>11.25</v>
      </c>
      <c r="AA37" s="181">
        <v>11.75</v>
      </c>
      <c r="AB37" s="181">
        <v>12.75</v>
      </c>
      <c r="AC37" s="299">
        <v>13.75</v>
      </c>
      <c r="AD37" s="308">
        <f>AVERAGE(P37:R37)</f>
        <v>11.652727272727276</v>
      </c>
      <c r="AE37" s="246">
        <f>AVERAGE(S37:T37:W37)</f>
        <v>10.5</v>
      </c>
      <c r="AF37" s="246">
        <f>AVERAGE(X37:Z37)</f>
        <v>11.083333333333334</v>
      </c>
      <c r="AG37" s="309">
        <f>AVERAGE(AA37:AC37)</f>
        <v>12.75</v>
      </c>
      <c r="AH37" s="241">
        <f>AVERAGE(P37:AC37)</f>
        <v>11.496515151515153</v>
      </c>
      <c r="AI37" s="272"/>
    </row>
    <row r="38" spans="1:358" ht="60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56">
        <v>11.1</v>
      </c>
      <c r="Q38" s="56">
        <v>11.62</v>
      </c>
      <c r="R38" s="296">
        <v>12.238181818181829</v>
      </c>
      <c r="S38" s="296">
        <v>10.3</v>
      </c>
      <c r="T38" s="175">
        <v>10.4</v>
      </c>
      <c r="U38" s="185"/>
      <c r="V38" s="186"/>
      <c r="W38" s="175">
        <v>10.199999999999999</v>
      </c>
      <c r="X38" s="175">
        <v>10.5</v>
      </c>
      <c r="Y38" s="175">
        <v>10.3</v>
      </c>
      <c r="Z38" s="175">
        <v>11.5</v>
      </c>
      <c r="AA38" s="175">
        <v>12.8</v>
      </c>
      <c r="AB38" s="175">
        <v>13</v>
      </c>
      <c r="AC38" s="300">
        <v>12.8</v>
      </c>
      <c r="AD38" s="308">
        <f>AVERAGE(P38:R38)</f>
        <v>11.652727272727276</v>
      </c>
      <c r="AE38" s="246">
        <f>AVERAGE(S38:T38:W38)</f>
        <v>10.3</v>
      </c>
      <c r="AF38" s="246">
        <f t="shared" ref="AF38:AF40" si="24">AVERAGE(X38:Z38)</f>
        <v>10.766666666666666</v>
      </c>
      <c r="AG38" s="309">
        <f t="shared" ref="AG38:AG40" si="25">AVERAGE(AA38:AC38)</f>
        <v>12.866666666666667</v>
      </c>
      <c r="AH38" s="241">
        <f>AVERAGE(P38:AC38)</f>
        <v>11.396515151515151</v>
      </c>
      <c r="AI38" s="272"/>
    </row>
    <row r="39" spans="1:358" ht="60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56">
        <v>11.1</v>
      </c>
      <c r="Q39" s="56">
        <v>11.62</v>
      </c>
      <c r="R39" s="56">
        <v>12.238181818181829</v>
      </c>
      <c r="S39" s="52">
        <v>10.3</v>
      </c>
      <c r="T39" s="181">
        <v>11</v>
      </c>
      <c r="U39" s="185" t="s">
        <v>161</v>
      </c>
      <c r="V39" s="186" t="s">
        <v>36</v>
      </c>
      <c r="W39" s="181">
        <v>11</v>
      </c>
      <c r="X39" s="181">
        <v>11</v>
      </c>
      <c r="Y39" s="181">
        <v>11</v>
      </c>
      <c r="Z39" s="181">
        <v>11.5</v>
      </c>
      <c r="AA39" s="181">
        <v>11.5</v>
      </c>
      <c r="AB39" s="181">
        <v>12</v>
      </c>
      <c r="AC39" s="299">
        <v>12</v>
      </c>
      <c r="AD39" s="308">
        <f>AVERAGE(P39:R39)</f>
        <v>11.652727272727276</v>
      </c>
      <c r="AE39" s="246">
        <f>AVERAGE(S39:T39:W39)</f>
        <v>10.766666666666666</v>
      </c>
      <c r="AF39" s="246">
        <f t="shared" si="24"/>
        <v>11.166666666666666</v>
      </c>
      <c r="AG39" s="309">
        <f t="shared" si="25"/>
        <v>11.833333333333334</v>
      </c>
      <c r="AH39" s="241">
        <f>AVERAGE(P39:AC39)</f>
        <v>11.354848484848484</v>
      </c>
      <c r="AI39" s="272"/>
    </row>
    <row r="40" spans="1:358" ht="60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56">
        <v>11.1</v>
      </c>
      <c r="Q40" s="56">
        <v>11.62</v>
      </c>
      <c r="R40" s="52">
        <v>12.238181818181829</v>
      </c>
      <c r="S40" s="52">
        <v>10.3</v>
      </c>
      <c r="T40" s="181">
        <v>11.6</v>
      </c>
      <c r="U40" s="185" t="s">
        <v>189</v>
      </c>
      <c r="V40" s="186" t="s">
        <v>190</v>
      </c>
      <c r="W40" s="181">
        <v>12.5</v>
      </c>
      <c r="X40" s="181">
        <v>12.5</v>
      </c>
      <c r="Y40" s="181">
        <v>10.7</v>
      </c>
      <c r="Z40" s="181">
        <v>10.3</v>
      </c>
      <c r="AA40" s="181">
        <v>12.7</v>
      </c>
      <c r="AB40" s="181">
        <v>14</v>
      </c>
      <c r="AC40" s="299">
        <v>14.5</v>
      </c>
      <c r="AD40" s="308">
        <f>AVERAGE(P40:R40)</f>
        <v>11.652727272727276</v>
      </c>
      <c r="AE40" s="246">
        <f>AVERAGE(S40:T40:W40)</f>
        <v>11.466666666666667</v>
      </c>
      <c r="AF40" s="246">
        <f t="shared" si="24"/>
        <v>11.166666666666666</v>
      </c>
      <c r="AG40" s="309">
        <f t="shared" si="25"/>
        <v>13.733333333333334</v>
      </c>
      <c r="AH40" s="241">
        <f>AVERAGE(P40:AC40)</f>
        <v>12.004848484848486</v>
      </c>
      <c r="AI40" s="272"/>
    </row>
    <row r="41" spans="1:358" s="62" customFormat="1" ht="19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10.3</v>
      </c>
      <c r="T41" s="59">
        <f>AVERAGE(T37:T40)</f>
        <v>10.8</v>
      </c>
      <c r="U41" s="158"/>
      <c r="V41" s="158"/>
      <c r="W41" s="59">
        <f t="shared" si="27"/>
        <v>11.175000000000001</v>
      </c>
      <c r="X41" s="59">
        <f t="shared" si="27"/>
        <v>11.3125</v>
      </c>
      <c r="Y41" s="59">
        <f t="shared" si="27"/>
        <v>10.6875</v>
      </c>
      <c r="Z41" s="59">
        <f t="shared" si="27"/>
        <v>11.137499999999999</v>
      </c>
      <c r="AA41" s="59">
        <f t="shared" si="27"/>
        <v>12.1875</v>
      </c>
      <c r="AB41" s="59">
        <f t="shared" si="27"/>
        <v>12.9375</v>
      </c>
      <c r="AC41" s="234">
        <f t="shared" si="27"/>
        <v>13.262499999999999</v>
      </c>
      <c r="AD41" s="310">
        <f t="shared" si="27"/>
        <v>11.652727272727276</v>
      </c>
      <c r="AE41" s="59">
        <f t="shared" si="27"/>
        <v>10.758333333333333</v>
      </c>
      <c r="AF41" s="59">
        <f t="shared" si="27"/>
        <v>11.045833333333333</v>
      </c>
      <c r="AG41" s="311">
        <f t="shared" si="27"/>
        <v>12.795833333333334</v>
      </c>
      <c r="AH41" s="242">
        <f>AVERAGE(AH37:AH40)</f>
        <v>11.563181818181819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20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10.3</v>
      </c>
      <c r="T42" s="164">
        <f>T41</f>
        <v>10.8</v>
      </c>
      <c r="U42" s="164"/>
      <c r="V42" s="164"/>
      <c r="W42" s="164">
        <v>11</v>
      </c>
      <c r="X42" s="164">
        <v>11.3</v>
      </c>
      <c r="Y42" s="164">
        <v>10.7</v>
      </c>
      <c r="Z42" s="164">
        <v>11.2</v>
      </c>
      <c r="AA42" s="164">
        <v>12.7</v>
      </c>
      <c r="AB42" s="164">
        <v>13.2</v>
      </c>
      <c r="AC42" s="164">
        <v>13.7</v>
      </c>
      <c r="AD42" s="312">
        <f>AVERAGE(P42:R42)</f>
        <v>11.652727272727276</v>
      </c>
      <c r="AE42" s="164">
        <f>AVERAGE(S42:T42:W42)</f>
        <v>10.700000000000001</v>
      </c>
      <c r="AF42" s="164">
        <f>AVERAGE(X42:Z42)</f>
        <v>11.066666666666668</v>
      </c>
      <c r="AG42" s="313">
        <f>AVERAGE(AA42:AC42)</f>
        <v>13.199999999999998</v>
      </c>
      <c r="AH42" s="242">
        <f>AVERAGE(P42:AC42)</f>
        <v>11.654848484848486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21.5" hidden="1" thickBo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T44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1.7400000000000002</v>
      </c>
      <c r="T43" s="157">
        <f t="shared" si="29"/>
        <v>0.625</v>
      </c>
      <c r="U43" s="159"/>
      <c r="V43" s="159"/>
      <c r="W43" s="157">
        <f t="shared" ref="W43:AH44" si="30">W41-W52</f>
        <v>0.98750000000000071</v>
      </c>
      <c r="X43" s="157">
        <f t="shared" si="30"/>
        <v>0.875</v>
      </c>
      <c r="Y43" s="157">
        <f t="shared" si="30"/>
        <v>0.67500000000000071</v>
      </c>
      <c r="Z43" s="157">
        <f t="shared" si="30"/>
        <v>0.86249999999999893</v>
      </c>
      <c r="AA43" s="157">
        <f t="shared" si="30"/>
        <v>0.91249999999999964</v>
      </c>
      <c r="AB43" s="157">
        <f t="shared" si="30"/>
        <v>0.8125</v>
      </c>
      <c r="AC43" s="236">
        <f t="shared" si="30"/>
        <v>0.9375</v>
      </c>
      <c r="AD43" s="317">
        <f t="shared" si="30"/>
        <v>2.0274242424242441</v>
      </c>
      <c r="AE43" s="157">
        <f t="shared" si="30"/>
        <v>1.1174999999999997</v>
      </c>
      <c r="AF43" s="157">
        <f t="shared" si="30"/>
        <v>0.80416666666666714</v>
      </c>
      <c r="AG43" s="318">
        <f t="shared" si="30"/>
        <v>0.88750000000000107</v>
      </c>
      <c r="AH43" s="242">
        <f t="shared" si="30"/>
        <v>1.2091477272727271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9"/>
        <v>0.19999999999999929</v>
      </c>
      <c r="O44" s="164">
        <f t="shared" si="29"/>
        <v>1.4499999999999993</v>
      </c>
      <c r="P44" s="164">
        <f t="shared" si="29"/>
        <v>1.7599999999999998</v>
      </c>
      <c r="Q44" s="164">
        <f t="shared" si="29"/>
        <v>2.4599999999999991</v>
      </c>
      <c r="R44" s="164">
        <f t="shared" si="29"/>
        <v>1.8622727272727317</v>
      </c>
      <c r="S44" s="164">
        <f t="shared" si="29"/>
        <v>1.7400000000000002</v>
      </c>
      <c r="T44" s="164">
        <f t="shared" si="29"/>
        <v>0.80000000000000071</v>
      </c>
      <c r="U44" s="164"/>
      <c r="V44" s="164"/>
      <c r="W44" s="164">
        <f t="shared" si="30"/>
        <v>0.80000000000000071</v>
      </c>
      <c r="X44" s="164">
        <f t="shared" si="30"/>
        <v>0.80000000000000071</v>
      </c>
      <c r="Y44" s="164">
        <f t="shared" si="30"/>
        <v>0.69999999999999929</v>
      </c>
      <c r="Z44" s="164">
        <f t="shared" si="30"/>
        <v>0.69999999999999929</v>
      </c>
      <c r="AA44" s="164">
        <f t="shared" si="30"/>
        <v>1.1999999999999993</v>
      </c>
      <c r="AB44" s="164">
        <f t="shared" si="30"/>
        <v>1.1999999999999993</v>
      </c>
      <c r="AC44" s="229">
        <f t="shared" si="30"/>
        <v>1.1999999999999993</v>
      </c>
      <c r="AD44" s="312">
        <f>AVERAGE(P44:R44)</f>
        <v>2.0274242424242437</v>
      </c>
      <c r="AE44" s="164">
        <f>AE42-AE53</f>
        <v>1.1133333333333333</v>
      </c>
      <c r="AF44" s="164">
        <f>AF42-AF53</f>
        <v>0.73333333333333428</v>
      </c>
      <c r="AG44" s="313">
        <f>AG42-AG53</f>
        <v>1.1999999999999975</v>
      </c>
      <c r="AH44" s="243">
        <f>AH42-AH53</f>
        <v>1.2685227272727282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67"/>
      <c r="V45" s="67"/>
      <c r="W45" s="24"/>
      <c r="X45" s="24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1.2685227272727282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107"/>
      <c r="V46" s="107"/>
      <c r="W46" s="39"/>
      <c r="X46" s="39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75"/>
      <c r="B47" s="676"/>
      <c r="C47" s="676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220"/>
      <c r="V47" s="221"/>
      <c r="W47" s="44"/>
      <c r="X47" s="44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56">
        <v>9.34</v>
      </c>
      <c r="Q48" s="56">
        <v>9.16</v>
      </c>
      <c r="R48" s="56">
        <v>10.375909090909097</v>
      </c>
      <c r="S48" s="56">
        <v>8.56</v>
      </c>
      <c r="T48" s="189">
        <v>9.8000000000000007</v>
      </c>
      <c r="U48" s="185" t="s">
        <v>152</v>
      </c>
      <c r="V48" s="186" t="s">
        <v>182</v>
      </c>
      <c r="W48" s="189">
        <v>10.25</v>
      </c>
      <c r="X48" s="189">
        <v>10.25</v>
      </c>
      <c r="Y48" s="189">
        <v>9.75</v>
      </c>
      <c r="Z48" s="189">
        <v>10</v>
      </c>
      <c r="AA48" s="189">
        <v>10.5</v>
      </c>
      <c r="AB48" s="189">
        <v>11.5</v>
      </c>
      <c r="AC48" s="297">
        <v>12.5</v>
      </c>
      <c r="AD48" s="308">
        <f>AVERAGE(P48:R48)</f>
        <v>9.6253030303030318</v>
      </c>
      <c r="AE48" s="246">
        <f>AVERAGE(S48:T48:W48)</f>
        <v>9.5366666666666671</v>
      </c>
      <c r="AF48" s="246">
        <f>AVERAGE(X48:Z48)</f>
        <v>10</v>
      </c>
      <c r="AG48" s="309">
        <f>AVERAGE(AA48:AC48)</f>
        <v>11.5</v>
      </c>
      <c r="AH48" s="241">
        <f>AVERAGE(P48:AC48)</f>
        <v>10.165492424242425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56">
        <v>9.34</v>
      </c>
      <c r="Q49" s="56">
        <v>9.16</v>
      </c>
      <c r="R49" s="50">
        <v>10.375909090909097</v>
      </c>
      <c r="S49" s="50">
        <v>8.56</v>
      </c>
      <c r="T49" s="183">
        <v>9.9</v>
      </c>
      <c r="U49" s="185"/>
      <c r="V49" s="186"/>
      <c r="W49" s="183">
        <v>9.5</v>
      </c>
      <c r="X49" s="183">
        <v>9.6999999999999993</v>
      </c>
      <c r="Y49" s="183">
        <v>9.8000000000000007</v>
      </c>
      <c r="Z49" s="183">
        <v>11</v>
      </c>
      <c r="AA49" s="183">
        <v>12</v>
      </c>
      <c r="AB49" s="183">
        <v>12.5</v>
      </c>
      <c r="AC49" s="298">
        <v>12.3</v>
      </c>
      <c r="AD49" s="308">
        <f>AVERAGE(P49:R49)</f>
        <v>9.6253030303030318</v>
      </c>
      <c r="AE49" s="246">
        <f>AVERAGE(S49:T49:W49)</f>
        <v>9.32</v>
      </c>
      <c r="AF49" s="246">
        <f t="shared" ref="AF49:AF51" si="31">AVERAGE(X49:Z49)</f>
        <v>10.166666666666666</v>
      </c>
      <c r="AG49" s="309">
        <f t="shared" ref="AG49:AG51" si="32">AVERAGE(AA49:AC49)</f>
        <v>12.266666666666666</v>
      </c>
      <c r="AH49" s="241">
        <f>AVERAGE(P49:AC49)</f>
        <v>10.344659090909092</v>
      </c>
      <c r="AI49" s="267"/>
    </row>
    <row r="50" spans="1:358" ht="50.25" hidden="1" customHeight="1" outlineLevel="1">
      <c r="A50" s="47" t="s">
        <v>25</v>
      </c>
      <c r="B50" s="78">
        <f t="shared" ref="B50" si="33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56">
        <v>9.34</v>
      </c>
      <c r="Q50" s="56">
        <v>9.16</v>
      </c>
      <c r="R50" s="56">
        <v>10.375909090909097</v>
      </c>
      <c r="S50" s="56">
        <v>8.56</v>
      </c>
      <c r="T50" s="189">
        <v>10.5</v>
      </c>
      <c r="U50" s="185" t="s">
        <v>162</v>
      </c>
      <c r="V50" s="186" t="s">
        <v>36</v>
      </c>
      <c r="W50" s="189">
        <v>10.5</v>
      </c>
      <c r="X50" s="189">
        <v>10.5</v>
      </c>
      <c r="Y50" s="189">
        <v>10.5</v>
      </c>
      <c r="Z50" s="189">
        <v>11</v>
      </c>
      <c r="AA50" s="189">
        <v>11</v>
      </c>
      <c r="AB50" s="189">
        <v>11.5</v>
      </c>
      <c r="AC50" s="297">
        <v>11.5</v>
      </c>
      <c r="AD50" s="308">
        <f>AVERAGE(P50:R50)</f>
        <v>9.6253030303030318</v>
      </c>
      <c r="AE50" s="246">
        <f>AVERAGE(S50:T50:W50)</f>
        <v>9.8533333333333335</v>
      </c>
      <c r="AF50" s="246">
        <f t="shared" si="31"/>
        <v>10.666666666666666</v>
      </c>
      <c r="AG50" s="309">
        <f t="shared" si="32"/>
        <v>11.333333333333334</v>
      </c>
      <c r="AH50" s="241">
        <f>AVERAGE(P50:AC50)</f>
        <v>10.36965909090909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56">
        <v>9.34</v>
      </c>
      <c r="Q51" s="56">
        <v>9.16</v>
      </c>
      <c r="R51" s="50">
        <v>10.375909090909097</v>
      </c>
      <c r="S51" s="50">
        <v>8.56</v>
      </c>
      <c r="T51" s="183">
        <v>10.5</v>
      </c>
      <c r="U51" s="224" t="s">
        <v>191</v>
      </c>
      <c r="V51" s="186" t="s">
        <v>192</v>
      </c>
      <c r="W51" s="189">
        <v>10.5</v>
      </c>
      <c r="X51" s="189">
        <v>11.3</v>
      </c>
      <c r="Y51" s="183">
        <v>10</v>
      </c>
      <c r="Z51" s="183">
        <v>9.1</v>
      </c>
      <c r="AA51" s="183">
        <v>11.6</v>
      </c>
      <c r="AB51" s="183">
        <v>13</v>
      </c>
      <c r="AC51" s="298">
        <v>13</v>
      </c>
      <c r="AD51" s="308">
        <f>AVERAGE(P51:R51)</f>
        <v>9.6253030303030318</v>
      </c>
      <c r="AE51" s="246">
        <f>AVERAGE(S51:T51:W51)</f>
        <v>9.8533333333333335</v>
      </c>
      <c r="AF51" s="246">
        <f t="shared" si="31"/>
        <v>10.133333333333333</v>
      </c>
      <c r="AG51" s="309">
        <f t="shared" si="32"/>
        <v>12.533333333333333</v>
      </c>
      <c r="AH51" s="241">
        <f>AVERAGE(P51:AC51)</f>
        <v>10.536325757575758</v>
      </c>
      <c r="AI51" s="267"/>
    </row>
    <row r="52" spans="1:358" s="62" customFormat="1" ht="19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4">AVERAGE(J48:J51)</f>
        <v>#DIV/0!</v>
      </c>
      <c r="K52" s="157">
        <f t="shared" si="34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5">AVERAGE(R48:R51)</f>
        <v>10.375909090909097</v>
      </c>
      <c r="S52" s="59">
        <f t="shared" si="35"/>
        <v>8.56</v>
      </c>
      <c r="T52" s="59">
        <f>AVERAGE(T48:T51)</f>
        <v>10.175000000000001</v>
      </c>
      <c r="U52" s="158"/>
      <c r="V52" s="158"/>
      <c r="W52" s="59">
        <f t="shared" si="35"/>
        <v>10.1875</v>
      </c>
      <c r="X52" s="59">
        <f t="shared" si="35"/>
        <v>10.4375</v>
      </c>
      <c r="Y52" s="59">
        <f t="shared" si="35"/>
        <v>10.012499999999999</v>
      </c>
      <c r="Z52" s="59">
        <f t="shared" si="35"/>
        <v>10.275</v>
      </c>
      <c r="AA52" s="59">
        <f t="shared" si="35"/>
        <v>11.275</v>
      </c>
      <c r="AB52" s="59">
        <f t="shared" si="35"/>
        <v>12.125</v>
      </c>
      <c r="AC52" s="234">
        <f t="shared" si="35"/>
        <v>12.324999999999999</v>
      </c>
      <c r="AD52" s="310">
        <f t="shared" si="35"/>
        <v>9.6253030303030318</v>
      </c>
      <c r="AE52" s="59">
        <f t="shared" si="35"/>
        <v>9.6408333333333331</v>
      </c>
      <c r="AF52" s="59">
        <f t="shared" si="35"/>
        <v>10.241666666666665</v>
      </c>
      <c r="AG52" s="311">
        <f t="shared" si="35"/>
        <v>11.908333333333333</v>
      </c>
      <c r="AH52" s="242">
        <f>AVERAGE(AH48:AH51)</f>
        <v>10.354034090909092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6">O52</f>
        <v>14.15</v>
      </c>
      <c r="P53" s="164">
        <f>P52</f>
        <v>9.34</v>
      </c>
      <c r="Q53" s="164">
        <f t="shared" ref="Q53" si="37">Q52</f>
        <v>9.16</v>
      </c>
      <c r="R53" s="164">
        <f>R52</f>
        <v>10.375909090909097</v>
      </c>
      <c r="S53" s="164">
        <f>S52</f>
        <v>8.56</v>
      </c>
      <c r="T53" s="164">
        <v>10</v>
      </c>
      <c r="U53" s="164"/>
      <c r="V53" s="164"/>
      <c r="W53" s="164">
        <v>10.199999999999999</v>
      </c>
      <c r="X53" s="164">
        <v>10.5</v>
      </c>
      <c r="Y53" s="164">
        <v>10</v>
      </c>
      <c r="Z53" s="164">
        <v>10.5</v>
      </c>
      <c r="AA53" s="164">
        <v>11.5</v>
      </c>
      <c r="AB53" s="164">
        <v>12</v>
      </c>
      <c r="AC53" s="164">
        <v>12.5</v>
      </c>
      <c r="AD53" s="312">
        <f>AVERAGE(P53:R53)</f>
        <v>9.6253030303030318</v>
      </c>
      <c r="AE53" s="164">
        <f>AVERAGE(S53:T53:W53)</f>
        <v>9.5866666666666678</v>
      </c>
      <c r="AF53" s="164">
        <f>AVERAGE(X53:Z53)</f>
        <v>10.333333333333334</v>
      </c>
      <c r="AG53" s="313">
        <f>AVERAGE(AA53:AC53)</f>
        <v>12</v>
      </c>
      <c r="AH53" s="242">
        <f>AVERAGE(P53:AC53)</f>
        <v>10.386325757575758</v>
      </c>
      <c r="AI53" s="275">
        <v>12.8</v>
      </c>
    </row>
    <row r="54" spans="1:358" ht="21.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67"/>
      <c r="V54" s="67"/>
      <c r="W54" s="24"/>
      <c r="X54" s="24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t="21.5" hidden="1" outlineLevel="1" thickBot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73"/>
      <c r="V55" s="73"/>
      <c r="W55" s="39"/>
      <c r="X55" s="39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9" hidden="1" outlineLevel="1" thickBot="1">
      <c r="A56" s="675"/>
      <c r="B56" s="676"/>
      <c r="C56" s="676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218"/>
      <c r="V56" s="219"/>
      <c r="W56" s="44"/>
      <c r="X56" s="44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4.75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50">
        <v>-3.13</v>
      </c>
      <c r="Q57" s="50">
        <v>-5.08</v>
      </c>
      <c r="R57" s="50">
        <v>-7.3010164638511021</v>
      </c>
      <c r="S57" s="50">
        <v>-8.77</v>
      </c>
      <c r="T57" s="189">
        <v>-8</v>
      </c>
      <c r="U57" s="185" t="s">
        <v>154</v>
      </c>
      <c r="V57" s="186" t="s">
        <v>183</v>
      </c>
      <c r="W57" s="189">
        <v>-8</v>
      </c>
      <c r="X57" s="189">
        <v>-7.8</v>
      </c>
      <c r="Y57" s="189">
        <v>-8</v>
      </c>
      <c r="Z57" s="189">
        <v>-8.1999999999999993</v>
      </c>
      <c r="AA57" s="189">
        <v>-7.8</v>
      </c>
      <c r="AB57" s="189">
        <v>-7.6</v>
      </c>
      <c r="AC57" s="297">
        <v>-7.4</v>
      </c>
      <c r="AD57" s="308">
        <f>AVERAGE(P57:R57)</f>
        <v>-5.1703388212837007</v>
      </c>
      <c r="AE57" s="246">
        <f>AVERAGE(S57:T57:W57)</f>
        <v>-8.2566666666666659</v>
      </c>
      <c r="AF57" s="246">
        <f>AVERAGE(X57:Z57)</f>
        <v>-8</v>
      </c>
      <c r="AG57" s="309">
        <f>AVERAGE(AA57:AC57)</f>
        <v>-7.5999999999999988</v>
      </c>
      <c r="AH57" s="241">
        <f>AVERAGE(P57:AC57)</f>
        <v>-7.2567513719875913</v>
      </c>
      <c r="AI57" s="267"/>
    </row>
    <row r="58" spans="1:358" ht="54.75" hidden="1" customHeight="1" outlineLevel="1">
      <c r="A58" s="47" t="s">
        <v>24</v>
      </c>
      <c r="B58" s="78">
        <f t="shared" ref="B58" si="38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50">
        <v>-3.13</v>
      </c>
      <c r="Q58" s="50">
        <v>-5.08</v>
      </c>
      <c r="R58" s="56">
        <v>-7.3010164638511021</v>
      </c>
      <c r="S58" s="56">
        <v>-8.77</v>
      </c>
      <c r="T58" s="189">
        <v>-7.7</v>
      </c>
      <c r="U58" s="185"/>
      <c r="V58" s="186"/>
      <c r="W58" s="189">
        <v>-6.7</v>
      </c>
      <c r="X58" s="189">
        <v>-7</v>
      </c>
      <c r="Y58" s="189">
        <v>-7.2</v>
      </c>
      <c r="Z58" s="189">
        <v>-7.1</v>
      </c>
      <c r="AA58" s="189">
        <v>-7.1</v>
      </c>
      <c r="AB58" s="189">
        <v>-6.9</v>
      </c>
      <c r="AC58" s="297">
        <v>-6.7</v>
      </c>
      <c r="AD58" s="308">
        <f>AVERAGE(P58:R58)</f>
        <v>-5.1703388212837007</v>
      </c>
      <c r="AE58" s="246">
        <f>AVERAGE(S58:T58:W58)</f>
        <v>-7.7233333333333327</v>
      </c>
      <c r="AF58" s="246">
        <f t="shared" ref="AF58:AF60" si="39">AVERAGE(X58:Z58)</f>
        <v>-7.0999999999999988</v>
      </c>
      <c r="AG58" s="309">
        <f t="shared" ref="AG58:AG60" si="40">AVERAGE(AA58:AC58)</f>
        <v>-6.8999999999999995</v>
      </c>
      <c r="AH58" s="241">
        <f>AVERAGE(P58:AC58)</f>
        <v>-6.723418038654259</v>
      </c>
      <c r="AI58" s="267"/>
    </row>
    <row r="59" spans="1:358" ht="54.75" hidden="1" customHeight="1" outlineLevel="1">
      <c r="A59" s="47" t="s">
        <v>25</v>
      </c>
      <c r="B59" s="78">
        <f t="shared" ref="B59" si="41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50">
        <v>-3.13</v>
      </c>
      <c r="Q59" s="50">
        <v>-5.08</v>
      </c>
      <c r="R59" s="50">
        <v>-7.3010164638511021</v>
      </c>
      <c r="S59" s="50">
        <v>-8.77</v>
      </c>
      <c r="T59" s="189">
        <v>-8.5</v>
      </c>
      <c r="U59" s="185" t="s">
        <v>43</v>
      </c>
      <c r="V59" s="186" t="s">
        <v>43</v>
      </c>
      <c r="W59" s="189">
        <v>-8.5</v>
      </c>
      <c r="X59" s="189">
        <v>-8.5</v>
      </c>
      <c r="Y59" s="189">
        <v>-8</v>
      </c>
      <c r="Z59" s="189">
        <v>-7.5</v>
      </c>
      <c r="AA59" s="189">
        <v>-7.5</v>
      </c>
      <c r="AB59" s="189">
        <v>-7.5</v>
      </c>
      <c r="AC59" s="297">
        <v>-7.5</v>
      </c>
      <c r="AD59" s="308">
        <f>AVERAGE(P59:R59)</f>
        <v>-5.1703388212837007</v>
      </c>
      <c r="AE59" s="246">
        <f>AVERAGE(S59:T59:W59)</f>
        <v>-8.59</v>
      </c>
      <c r="AF59" s="246">
        <f t="shared" si="39"/>
        <v>-8</v>
      </c>
      <c r="AG59" s="309">
        <f t="shared" si="40"/>
        <v>-7.5</v>
      </c>
      <c r="AH59" s="241">
        <f>AVERAGE(P59:AC59)</f>
        <v>-7.3150847053209249</v>
      </c>
      <c r="AI59" s="267"/>
    </row>
    <row r="60" spans="1:358" ht="54.75" hidden="1" customHeight="1" outlineLevel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50">
        <v>-3.13</v>
      </c>
      <c r="Q60" s="50">
        <v>-5.08</v>
      </c>
      <c r="R60" s="56">
        <v>-7.3010164638511021</v>
      </c>
      <c r="S60" s="56">
        <v>-8.77</v>
      </c>
      <c r="T60" s="189">
        <v>-9.1</v>
      </c>
      <c r="U60" s="185"/>
      <c r="V60" s="186"/>
      <c r="W60" s="189">
        <v>-9.1999999999999993</v>
      </c>
      <c r="X60" s="189">
        <v>-9.3000000000000007</v>
      </c>
      <c r="Y60" s="189">
        <v>-9.3000000000000007</v>
      </c>
      <c r="Z60" s="189">
        <v>-9.3000000000000007</v>
      </c>
      <c r="AA60" s="189">
        <v>-9.5</v>
      </c>
      <c r="AB60" s="189">
        <v>-9.5</v>
      </c>
      <c r="AC60" s="297">
        <v>-9.5</v>
      </c>
      <c r="AD60" s="308">
        <f>AVERAGE(P60:R60)</f>
        <v>-5.1703388212837007</v>
      </c>
      <c r="AE60" s="246">
        <f>AVERAGE(S60:T60:W60)</f>
        <v>-9.0233333333333317</v>
      </c>
      <c r="AF60" s="246">
        <f t="shared" si="39"/>
        <v>-9.3000000000000007</v>
      </c>
      <c r="AG60" s="309">
        <f t="shared" si="40"/>
        <v>-9.5</v>
      </c>
      <c r="AH60" s="241">
        <f>AVERAGE(P60:AC60)</f>
        <v>-8.2484180386542576</v>
      </c>
      <c r="AI60" s="267"/>
    </row>
    <row r="61" spans="1:358" s="62" customFormat="1" ht="19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2">AVERAGE(K57:K60)</f>
        <v>-8.1550000000000011</v>
      </c>
      <c r="L61" s="59">
        <f t="shared" si="42"/>
        <v>-8.1550000000000011</v>
      </c>
      <c r="M61" s="59">
        <f t="shared" si="42"/>
        <v>-8.33</v>
      </c>
      <c r="N61" s="59">
        <f t="shared" si="42"/>
        <v>-6.9175000000000004</v>
      </c>
      <c r="O61" s="59">
        <f t="shared" si="42"/>
        <v>-6.7333333333333334</v>
      </c>
      <c r="P61" s="59">
        <f>AVERAGE(P57:P60)</f>
        <v>-3.13</v>
      </c>
      <c r="Q61" s="59">
        <f t="shared" si="42"/>
        <v>-5.08</v>
      </c>
      <c r="R61" s="59">
        <f t="shared" si="42"/>
        <v>-7.3010164638511021</v>
      </c>
      <c r="S61" s="59">
        <f t="shared" si="42"/>
        <v>-8.77</v>
      </c>
      <c r="T61" s="59">
        <f>AVERAGE(T57:T60)</f>
        <v>-8.3249999999999993</v>
      </c>
      <c r="U61" s="60"/>
      <c r="V61" s="60"/>
      <c r="W61" s="59">
        <f t="shared" si="42"/>
        <v>-8.1</v>
      </c>
      <c r="X61" s="59">
        <f t="shared" si="42"/>
        <v>-8.15</v>
      </c>
      <c r="Y61" s="59">
        <f t="shared" si="42"/>
        <v>-8.125</v>
      </c>
      <c r="Z61" s="59">
        <f t="shared" si="42"/>
        <v>-8.0249999999999986</v>
      </c>
      <c r="AA61" s="59">
        <f t="shared" si="42"/>
        <v>-7.9749999999999996</v>
      </c>
      <c r="AB61" s="59">
        <f t="shared" si="42"/>
        <v>-7.875</v>
      </c>
      <c r="AC61" s="234">
        <f t="shared" si="42"/>
        <v>-7.7750000000000004</v>
      </c>
      <c r="AD61" s="310">
        <f t="shared" si="42"/>
        <v>-5.1703388212837007</v>
      </c>
      <c r="AE61" s="59">
        <f t="shared" si="42"/>
        <v>-8.3983333333333334</v>
      </c>
      <c r="AF61" s="59">
        <f t="shared" si="42"/>
        <v>-8.1</v>
      </c>
      <c r="AG61" s="311">
        <f t="shared" si="42"/>
        <v>-7.875</v>
      </c>
      <c r="AH61" s="242">
        <f>AVERAGE(AH57:AH60)</f>
        <v>-7.3859180386542578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3">Q61</f>
        <v>-5.08</v>
      </c>
      <c r="R62" s="164">
        <f>R61</f>
        <v>-7.3010164638511021</v>
      </c>
      <c r="S62" s="164">
        <f>S61</f>
        <v>-8.77</v>
      </c>
      <c r="T62" s="164">
        <v>-8.3000000000000007</v>
      </c>
      <c r="U62" s="164"/>
      <c r="V62" s="164"/>
      <c r="W62" s="164">
        <v>-8.1</v>
      </c>
      <c r="X62" s="164">
        <v>-8</v>
      </c>
      <c r="Y62" s="164">
        <v>-8.1</v>
      </c>
      <c r="Z62" s="164">
        <v>-8.1</v>
      </c>
      <c r="AA62" s="164">
        <v>-8</v>
      </c>
      <c r="AB62" s="164">
        <v>-7.9</v>
      </c>
      <c r="AC62" s="229">
        <v>-7.8</v>
      </c>
      <c r="AD62" s="312">
        <f>AVERAGE(P62:R62)</f>
        <v>-5.1703388212837007</v>
      </c>
      <c r="AE62" s="164">
        <f>AVERAGE(S62:T62:W62)</f>
        <v>-8.39</v>
      </c>
      <c r="AF62" s="164">
        <f>AVERAGE(X62:Z62)</f>
        <v>-8.0666666666666682</v>
      </c>
      <c r="AG62" s="313">
        <f>AVERAGE(AA62:AC62)</f>
        <v>-7.8999999999999995</v>
      </c>
      <c r="AH62" s="242">
        <f>AVERAGE(P62:AC62)</f>
        <v>-7.3817513719875913</v>
      </c>
      <c r="AI62" s="275">
        <v>-6.5</v>
      </c>
    </row>
    <row r="63" spans="1:358" ht="21.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67"/>
      <c r="V63" s="67"/>
      <c r="W63" s="24"/>
      <c r="X63" s="24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t="21.5" hidden="1" outlineLevel="1" thickBot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122"/>
      <c r="V64" s="122"/>
      <c r="W64" s="39"/>
      <c r="X64" s="39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75"/>
      <c r="B65" s="676"/>
      <c r="C65" s="676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216"/>
      <c r="V65" s="217"/>
      <c r="W65" s="44"/>
      <c r="X65" s="4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2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56">
        <v>3.5</v>
      </c>
      <c r="Q66" s="56">
        <v>3.18</v>
      </c>
      <c r="R66" s="56">
        <v>3.3497727272727289</v>
      </c>
      <c r="S66" s="56">
        <v>2.57</v>
      </c>
      <c r="T66" s="189">
        <v>2.5450000000000004</v>
      </c>
      <c r="U66" s="255"/>
      <c r="V66" s="255"/>
      <c r="W66" s="189">
        <v>3.0199999999999947</v>
      </c>
      <c r="X66" s="189">
        <v>3.3129978354978165</v>
      </c>
      <c r="Y66" s="189">
        <v>3.4653063241106694</v>
      </c>
      <c r="Z66" s="189">
        <v>3.4618181818181797</v>
      </c>
      <c r="AA66" s="189">
        <v>3.4546645021645035</v>
      </c>
      <c r="AB66" s="189">
        <v>3.4190909090909103</v>
      </c>
      <c r="AC66" s="297">
        <v>3.4090909090909123</v>
      </c>
      <c r="AD66" s="308">
        <f>AVERAGE(P66:R66)</f>
        <v>3.3432575757575762</v>
      </c>
      <c r="AE66" s="246">
        <f>AVERAGE(S66:T66:W66)</f>
        <v>2.7116666666666647</v>
      </c>
      <c r="AF66" s="246">
        <f>AVERAGE(X66:Z66)</f>
        <v>3.4133741138088887</v>
      </c>
      <c r="AG66" s="309">
        <f>AVERAGE(AA66:AC66)</f>
        <v>3.4276154401154422</v>
      </c>
      <c r="AH66" s="241">
        <f>AVERAGE(P66:AC66)</f>
        <v>3.2239784490871433</v>
      </c>
      <c r="AI66" s="267"/>
    </row>
    <row r="67" spans="1:358" ht="42.75" hidden="1" customHeight="1" outlineLevel="1">
      <c r="A67" s="47" t="s">
        <v>24</v>
      </c>
      <c r="B67" s="78">
        <f t="shared" ref="B67" si="44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56">
        <v>3.5</v>
      </c>
      <c r="Q67" s="56">
        <v>3.18</v>
      </c>
      <c r="R67" s="56">
        <v>3.3497727272727289</v>
      </c>
      <c r="S67" s="56">
        <v>2.57</v>
      </c>
      <c r="T67" s="189">
        <v>2.4</v>
      </c>
      <c r="U67" s="255"/>
      <c r="V67" s="255"/>
      <c r="W67" s="189">
        <v>2.7</v>
      </c>
      <c r="X67" s="189">
        <v>3.012218722136681</v>
      </c>
      <c r="Y67" s="189">
        <v>2.9</v>
      </c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AVERAGE(S67:T67:W67)</f>
        <v>2.5566666666666666</v>
      </c>
      <c r="AF67" s="246">
        <f t="shared" ref="AF67:AF69" si="45">AVERAGE(X67:Z67)</f>
        <v>2.9374062407122268</v>
      </c>
      <c r="AG67" s="309">
        <f t="shared" ref="AG67:AG69" si="46">AVERAGE(AA67:AC67)</f>
        <v>2.6333333333333333</v>
      </c>
      <c r="AH67" s="241">
        <f>AVERAGE(P67:AC67)</f>
        <v>2.8676659541174505</v>
      </c>
      <c r="AI67" s="267"/>
    </row>
    <row r="68" spans="1:358" ht="42.75" hidden="1" customHeight="1" outlineLevel="1">
      <c r="A68" s="47" t="s">
        <v>25</v>
      </c>
      <c r="B68" s="78">
        <f t="shared" ref="B68" si="47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56">
        <v>3.5</v>
      </c>
      <c r="Q68" s="56">
        <v>3.18</v>
      </c>
      <c r="R68" s="56">
        <v>3.3497727272727289</v>
      </c>
      <c r="S68" s="56">
        <v>2.57</v>
      </c>
      <c r="T68" s="189">
        <v>3.2</v>
      </c>
      <c r="U68" s="185" t="s">
        <v>124</v>
      </c>
      <c r="V68" s="186" t="s">
        <v>124</v>
      </c>
      <c r="W68" s="189">
        <v>3.2</v>
      </c>
      <c r="X68" s="189">
        <v>3.2</v>
      </c>
      <c r="Y68" s="189">
        <v>3</v>
      </c>
      <c r="Z68" s="189">
        <v>3</v>
      </c>
      <c r="AA68" s="189">
        <v>3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AVERAGE(S68:T68:W68)</f>
        <v>2.9899999999999998</v>
      </c>
      <c r="AF68" s="246">
        <f t="shared" si="45"/>
        <v>3.0666666666666664</v>
      </c>
      <c r="AG68" s="309">
        <f t="shared" si="46"/>
        <v>3</v>
      </c>
      <c r="AH68" s="241">
        <f>AVERAGE(P68:AC68)</f>
        <v>3.0999810606060607</v>
      </c>
      <c r="AI68" s="267"/>
    </row>
    <row r="69" spans="1:358" ht="42.75" hidden="1" customHeight="1" outlineLevel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56">
        <v>3.5</v>
      </c>
      <c r="Q69" s="56">
        <v>3.18</v>
      </c>
      <c r="R69" s="56">
        <v>3.3497727272727289</v>
      </c>
      <c r="S69" s="56">
        <v>2.57</v>
      </c>
      <c r="T69" s="189">
        <v>3.1</v>
      </c>
      <c r="U69" s="256"/>
      <c r="V69" s="256"/>
      <c r="W69" s="189">
        <v>3.1</v>
      </c>
      <c r="X69" s="189">
        <v>3.1</v>
      </c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AVERAGE(S69:T69:W69)</f>
        <v>2.9233333333333333</v>
      </c>
      <c r="AF69" s="246">
        <f t="shared" si="45"/>
        <v>2.8333333333333335</v>
      </c>
      <c r="AG69" s="309">
        <f t="shared" si="46"/>
        <v>2.7000000000000006</v>
      </c>
      <c r="AH69" s="241">
        <f>AVERAGE(P69:AC69)</f>
        <v>2.9499810606060612</v>
      </c>
      <c r="AI69" s="267"/>
    </row>
    <row r="70" spans="1:358" s="62" customFormat="1" ht="19.5" hidden="1" customHeight="1" outlineLevel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8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9">AVERAGE(S66:S69)</f>
        <v>2.57</v>
      </c>
      <c r="T70" s="59">
        <f>AVERAGE(T66:T69)</f>
        <v>2.8112499999999998</v>
      </c>
      <c r="U70" s="60"/>
      <c r="V70" s="60"/>
      <c r="W70" s="59">
        <f t="shared" si="49"/>
        <v>3.0049999999999986</v>
      </c>
      <c r="X70" s="59">
        <f t="shared" si="49"/>
        <v>3.1563041394086242</v>
      </c>
      <c r="Y70" s="59">
        <f t="shared" si="49"/>
        <v>3.0163265810276672</v>
      </c>
      <c r="Z70" s="59">
        <f t="shared" si="49"/>
        <v>3.0154545454545447</v>
      </c>
      <c r="AA70" s="59">
        <f t="shared" si="49"/>
        <v>2.913666125541126</v>
      </c>
      <c r="AB70" s="59">
        <f t="shared" si="49"/>
        <v>2.9297727272727272</v>
      </c>
      <c r="AC70" s="234">
        <f t="shared" si="49"/>
        <v>2.9772727272727284</v>
      </c>
      <c r="AD70" s="310">
        <f t="shared" si="49"/>
        <v>3.3432575757575762</v>
      </c>
      <c r="AE70" s="59">
        <f>AVERAGE(AE66:AE69)</f>
        <v>2.7954166666666662</v>
      </c>
      <c r="AF70" s="59">
        <f t="shared" ref="AF70:AG70" si="50">AVERAGE(AF66:AF69)</f>
        <v>3.0626950886302788</v>
      </c>
      <c r="AG70" s="311">
        <f t="shared" si="50"/>
        <v>2.940237193362194</v>
      </c>
      <c r="AH70" s="242">
        <f>AVERAGE(AH66:AH69)</f>
        <v>3.0354016311041789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1">Q70</f>
        <v>3.18</v>
      </c>
      <c r="R71" s="164">
        <f>R70</f>
        <v>3.3497727272727289</v>
      </c>
      <c r="S71" s="164">
        <f>S70</f>
        <v>2.57</v>
      </c>
      <c r="T71" s="164">
        <v>2.7</v>
      </c>
      <c r="U71" s="164"/>
      <c r="V71" s="164"/>
      <c r="W71" s="164">
        <f>W70</f>
        <v>3.0049999999999986</v>
      </c>
      <c r="X71" s="164">
        <f t="shared" ref="X71:AB71" si="52">X70</f>
        <v>3.1563041394086242</v>
      </c>
      <c r="Y71" s="164">
        <f t="shared" si="52"/>
        <v>3.0163265810276672</v>
      </c>
      <c r="Z71" s="164">
        <f t="shared" si="52"/>
        <v>3.0154545454545447</v>
      </c>
      <c r="AA71" s="164">
        <f t="shared" si="52"/>
        <v>2.913666125541126</v>
      </c>
      <c r="AB71" s="164">
        <f t="shared" si="52"/>
        <v>2.9297727272727272</v>
      </c>
      <c r="AC71" s="229">
        <f>AC70</f>
        <v>2.9772727272727284</v>
      </c>
      <c r="AD71" s="312">
        <f>AVERAGE(P71:R71)</f>
        <v>3.3432575757575762</v>
      </c>
      <c r="AE71" s="164">
        <f>AVERAGE(S71:T71:W71)</f>
        <v>2.7583333333333329</v>
      </c>
      <c r="AF71" s="164">
        <f>AVERAGE(X71:Z71)</f>
        <v>3.0626950886302793</v>
      </c>
      <c r="AG71" s="313">
        <f>AVERAGE(AA71:AC71)</f>
        <v>2.9402371933621936</v>
      </c>
      <c r="AH71" s="242">
        <f>AVERAGE(P71:AC71)</f>
        <v>3.0261307977708451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5"/>
      <c r="V72" s="125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30"/>
      <c r="V73" s="330"/>
      <c r="W73" s="329" t="s">
        <v>66</v>
      </c>
      <c r="X73" s="329" t="s">
        <v>67</v>
      </c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T74" si="53">O15</f>
        <v>0</v>
      </c>
      <c r="P74" s="36">
        <f t="shared" si="53"/>
        <v>26.81</v>
      </c>
      <c r="Q74" s="36">
        <f t="shared" si="53"/>
        <v>29.38</v>
      </c>
      <c r="R74" s="36">
        <f t="shared" si="53"/>
        <v>35.141818181818174</v>
      </c>
      <c r="S74" s="36">
        <f t="shared" si="53"/>
        <v>38</v>
      </c>
      <c r="T74" s="36">
        <f t="shared" si="53"/>
        <v>38</v>
      </c>
      <c r="U74" s="36"/>
      <c r="V74" s="36"/>
      <c r="W74" s="36">
        <f t="shared" ref="W74:AG74" si="54">W15</f>
        <v>37</v>
      </c>
      <c r="X74" s="36">
        <f t="shared" si="54"/>
        <v>38</v>
      </c>
      <c r="Y74" s="36">
        <f t="shared" si="54"/>
        <v>38.5</v>
      </c>
      <c r="Z74" s="36">
        <f t="shared" si="54"/>
        <v>39.5</v>
      </c>
      <c r="AA74" s="36">
        <f t="shared" si="54"/>
        <v>40.799999999999997</v>
      </c>
      <c r="AB74" s="36">
        <f t="shared" si="54"/>
        <v>42</v>
      </c>
      <c r="AC74" s="322">
        <f t="shared" si="54"/>
        <v>44</v>
      </c>
      <c r="AD74" s="319">
        <f t="shared" si="54"/>
        <v>30.443939393939388</v>
      </c>
      <c r="AE74" s="258">
        <f t="shared" si="54"/>
        <v>37.666666666666664</v>
      </c>
      <c r="AF74" s="258">
        <f t="shared" si="54"/>
        <v>38.666666666666664</v>
      </c>
      <c r="AG74" s="258">
        <f t="shared" si="54"/>
        <v>42.266666666666666</v>
      </c>
      <c r="AH74" s="334">
        <f t="shared" ref="AH74:AH80" si="55">AVERAGE(P74:AC74)</f>
        <v>37.260984848484846</v>
      </c>
    </row>
    <row r="75" spans="1:358" ht="18.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T75" si="56">O15+O24</f>
        <v>6</v>
      </c>
      <c r="P75" s="36">
        <f t="shared" si="56"/>
        <v>36.599999999999994</v>
      </c>
      <c r="Q75" s="36">
        <f t="shared" si="56"/>
        <v>33.942777777777778</v>
      </c>
      <c r="R75" s="36">
        <f t="shared" si="56"/>
        <v>39.004090909090912</v>
      </c>
      <c r="S75" s="36">
        <f t="shared" si="56"/>
        <v>41.76</v>
      </c>
      <c r="T75" s="36">
        <f t="shared" si="56"/>
        <v>42</v>
      </c>
      <c r="U75" s="36"/>
      <c r="V75" s="36"/>
      <c r="W75" s="36">
        <f t="shared" ref="W75:AG75" si="57">W15+W24</f>
        <v>41</v>
      </c>
      <c r="X75" s="36">
        <f t="shared" si="57"/>
        <v>42.3</v>
      </c>
      <c r="Y75" s="36">
        <f t="shared" si="57"/>
        <v>42</v>
      </c>
      <c r="Z75" s="36">
        <f t="shared" si="57"/>
        <v>42.5</v>
      </c>
      <c r="AA75" s="36">
        <f t="shared" si="57"/>
        <v>43.8</v>
      </c>
      <c r="AB75" s="36">
        <f t="shared" si="57"/>
        <v>45.5</v>
      </c>
      <c r="AC75" s="322">
        <f t="shared" si="57"/>
        <v>47.8</v>
      </c>
      <c r="AD75" s="319">
        <f t="shared" si="57"/>
        <v>36.515622895622897</v>
      </c>
      <c r="AE75" s="258">
        <f t="shared" si="57"/>
        <v>41.586666666666666</v>
      </c>
      <c r="AF75" s="258">
        <f t="shared" si="57"/>
        <v>42.266666666666666</v>
      </c>
      <c r="AG75" s="258">
        <f t="shared" si="57"/>
        <v>45.7</v>
      </c>
      <c r="AH75" s="334">
        <f t="shared" si="55"/>
        <v>41.51723905723906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T76" si="58">O33+O15</f>
        <v>17.5</v>
      </c>
      <c r="P76" s="36">
        <f t="shared" si="58"/>
        <v>50.42</v>
      </c>
      <c r="Q76" s="36">
        <f t="shared" si="58"/>
        <v>44.58</v>
      </c>
      <c r="R76" s="36">
        <f t="shared" si="58"/>
        <v>52.771818181818183</v>
      </c>
      <c r="S76" s="36">
        <f t="shared" si="58"/>
        <v>53.519999999999996</v>
      </c>
      <c r="T76" s="36">
        <f t="shared" si="58"/>
        <v>55.3</v>
      </c>
      <c r="U76" s="36"/>
      <c r="V76" s="36"/>
      <c r="W76" s="36">
        <f t="shared" ref="W76:AG76" si="59">W33+W15</f>
        <v>56</v>
      </c>
      <c r="X76" s="36">
        <f t="shared" si="59"/>
        <v>56.5</v>
      </c>
      <c r="Y76" s="36">
        <f t="shared" si="59"/>
        <v>56.5</v>
      </c>
      <c r="Z76" s="36">
        <f t="shared" si="59"/>
        <v>56.5</v>
      </c>
      <c r="AA76" s="36">
        <f t="shared" si="59"/>
        <v>56.8</v>
      </c>
      <c r="AB76" s="36">
        <f t="shared" si="59"/>
        <v>57</v>
      </c>
      <c r="AC76" s="322">
        <f t="shared" si="59"/>
        <v>58.5</v>
      </c>
      <c r="AD76" s="319">
        <f t="shared" si="59"/>
        <v>49.257272727272721</v>
      </c>
      <c r="AE76" s="258">
        <f t="shared" si="59"/>
        <v>54.94</v>
      </c>
      <c r="AF76" s="258">
        <f t="shared" si="59"/>
        <v>56.5</v>
      </c>
      <c r="AG76" s="258">
        <f t="shared" si="59"/>
        <v>57.43333333333333</v>
      </c>
      <c r="AH76" s="334">
        <f t="shared" si="55"/>
        <v>54.532651515151514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T77" si="60">O42+O15</f>
        <v>15.6</v>
      </c>
      <c r="P77" s="36">
        <f t="shared" si="60"/>
        <v>37.909999999999997</v>
      </c>
      <c r="Q77" s="36">
        <f t="shared" si="60"/>
        <v>41</v>
      </c>
      <c r="R77" s="36">
        <f t="shared" si="60"/>
        <v>47.38</v>
      </c>
      <c r="S77" s="36">
        <f t="shared" si="60"/>
        <v>48.3</v>
      </c>
      <c r="T77" s="36">
        <f t="shared" si="60"/>
        <v>48.8</v>
      </c>
      <c r="U77" s="36"/>
      <c r="V77" s="36"/>
      <c r="W77" s="36">
        <f t="shared" ref="W77:AG77" si="61">W42+W15</f>
        <v>48</v>
      </c>
      <c r="X77" s="36">
        <f t="shared" si="61"/>
        <v>49.3</v>
      </c>
      <c r="Y77" s="36">
        <f t="shared" si="61"/>
        <v>49.2</v>
      </c>
      <c r="Z77" s="36">
        <f t="shared" si="61"/>
        <v>50.7</v>
      </c>
      <c r="AA77" s="36">
        <f t="shared" si="61"/>
        <v>53.5</v>
      </c>
      <c r="AB77" s="36">
        <f t="shared" si="61"/>
        <v>55.2</v>
      </c>
      <c r="AC77" s="322">
        <f t="shared" si="61"/>
        <v>57.7</v>
      </c>
      <c r="AD77" s="319">
        <f t="shared" si="61"/>
        <v>42.096666666666664</v>
      </c>
      <c r="AE77" s="258">
        <f t="shared" si="61"/>
        <v>48.366666666666667</v>
      </c>
      <c r="AF77" s="258">
        <f t="shared" si="61"/>
        <v>49.733333333333334</v>
      </c>
      <c r="AG77" s="258">
        <f t="shared" si="61"/>
        <v>55.466666666666661</v>
      </c>
      <c r="AH77" s="334">
        <f t="shared" si="55"/>
        <v>48.915833333333332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T78" si="62">O53+O15</f>
        <v>14.15</v>
      </c>
      <c r="P78" s="36">
        <f t="shared" si="62"/>
        <v>36.15</v>
      </c>
      <c r="Q78" s="36">
        <f t="shared" si="62"/>
        <v>38.54</v>
      </c>
      <c r="R78" s="36">
        <f t="shared" si="62"/>
        <v>45.517727272727271</v>
      </c>
      <c r="S78" s="36">
        <f t="shared" si="62"/>
        <v>46.56</v>
      </c>
      <c r="T78" s="36">
        <f t="shared" si="62"/>
        <v>48</v>
      </c>
      <c r="U78" s="36"/>
      <c r="V78" s="36"/>
      <c r="W78" s="36">
        <f t="shared" ref="W78:AG78" si="63">W53+W15</f>
        <v>47.2</v>
      </c>
      <c r="X78" s="36">
        <f t="shared" si="63"/>
        <v>48.5</v>
      </c>
      <c r="Y78" s="36">
        <f t="shared" si="63"/>
        <v>48.5</v>
      </c>
      <c r="Z78" s="36">
        <f t="shared" si="63"/>
        <v>50</v>
      </c>
      <c r="AA78" s="36">
        <f t="shared" si="63"/>
        <v>52.3</v>
      </c>
      <c r="AB78" s="36">
        <f t="shared" si="63"/>
        <v>54</v>
      </c>
      <c r="AC78" s="322">
        <f t="shared" si="63"/>
        <v>56.5</v>
      </c>
      <c r="AD78" s="319">
        <f t="shared" si="63"/>
        <v>40.069242424242418</v>
      </c>
      <c r="AE78" s="258">
        <f t="shared" si="63"/>
        <v>47.25333333333333</v>
      </c>
      <c r="AF78" s="258">
        <f t="shared" si="63"/>
        <v>49</v>
      </c>
      <c r="AG78" s="258">
        <f t="shared" si="63"/>
        <v>54.266666666666666</v>
      </c>
      <c r="AH78" s="334">
        <f t="shared" si="55"/>
        <v>47.647310606060607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T79" si="64">(O62+O15)*6.35</f>
        <v>-42.756666666666668</v>
      </c>
      <c r="P79" s="134">
        <f t="shared" si="64"/>
        <v>150.36799999999999</v>
      </c>
      <c r="Q79" s="134">
        <f t="shared" si="64"/>
        <v>154.30499999999998</v>
      </c>
      <c r="R79" s="134">
        <f t="shared" si="64"/>
        <v>176.7890909090909</v>
      </c>
      <c r="S79" s="134">
        <f t="shared" si="64"/>
        <v>185.6105</v>
      </c>
      <c r="T79" s="134">
        <f t="shared" si="64"/>
        <v>188.595</v>
      </c>
      <c r="U79" s="134"/>
      <c r="V79" s="134"/>
      <c r="W79" s="134">
        <f t="shared" ref="W79:AG79" si="65">(W62+W15)*6.35</f>
        <v>183.51499999999999</v>
      </c>
      <c r="X79" s="134">
        <f t="shared" si="65"/>
        <v>190.5</v>
      </c>
      <c r="Y79" s="134">
        <f t="shared" si="65"/>
        <v>193.04</v>
      </c>
      <c r="Z79" s="134">
        <f t="shared" si="65"/>
        <v>199.39</v>
      </c>
      <c r="AA79" s="134">
        <f t="shared" si="65"/>
        <v>208.27999999999997</v>
      </c>
      <c r="AB79" s="134">
        <f t="shared" si="65"/>
        <v>216.535</v>
      </c>
      <c r="AC79" s="323">
        <f t="shared" si="65"/>
        <v>229.87</v>
      </c>
      <c r="AD79" s="320">
        <f t="shared" si="65"/>
        <v>160.48736363636363</v>
      </c>
      <c r="AE79" s="259">
        <f t="shared" si="65"/>
        <v>185.90683333333331</v>
      </c>
      <c r="AF79" s="259">
        <f t="shared" si="65"/>
        <v>194.30999999999995</v>
      </c>
      <c r="AG79" s="259">
        <f t="shared" si="65"/>
        <v>218.22833333333332</v>
      </c>
      <c r="AH79" s="334">
        <f t="shared" si="55"/>
        <v>189.73313257575754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66">K70</f>
        <v>1.2</v>
      </c>
      <c r="L80" s="338">
        <f t="shared" si="66"/>
        <v>1.5</v>
      </c>
      <c r="M80" s="338">
        <f>M70</f>
        <v>1.625</v>
      </c>
      <c r="N80" s="338">
        <f t="shared" ref="N80:T80" si="67">N71+N15</f>
        <v>47.85</v>
      </c>
      <c r="O80" s="338">
        <f t="shared" si="67"/>
        <v>2.0666666666666669</v>
      </c>
      <c r="P80" s="338">
        <f t="shared" si="67"/>
        <v>30.31</v>
      </c>
      <c r="Q80" s="338">
        <f t="shared" si="67"/>
        <v>32.56</v>
      </c>
      <c r="R80" s="338">
        <f t="shared" si="67"/>
        <v>38.491590909090903</v>
      </c>
      <c r="S80" s="338">
        <f t="shared" si="67"/>
        <v>40.57</v>
      </c>
      <c r="T80" s="338">
        <f t="shared" si="67"/>
        <v>40.700000000000003</v>
      </c>
      <c r="U80" s="338"/>
      <c r="V80" s="338"/>
      <c r="W80" s="338">
        <f t="shared" ref="W80:AG80" si="68">W71+W15</f>
        <v>40.004999999999995</v>
      </c>
      <c r="X80" s="338">
        <f t="shared" si="68"/>
        <v>41.156304139408626</v>
      </c>
      <c r="Y80" s="338">
        <f t="shared" si="68"/>
        <v>41.51632658102767</v>
      </c>
      <c r="Z80" s="338">
        <f t="shared" si="68"/>
        <v>42.515454545454546</v>
      </c>
      <c r="AA80" s="338">
        <f t="shared" si="68"/>
        <v>43.713666125541124</v>
      </c>
      <c r="AB80" s="338">
        <f t="shared" si="68"/>
        <v>44.929772727272727</v>
      </c>
      <c r="AC80" s="339">
        <f t="shared" si="68"/>
        <v>46.977272727272727</v>
      </c>
      <c r="AD80" s="340">
        <f t="shared" si="68"/>
        <v>33.787196969696964</v>
      </c>
      <c r="AE80" s="341">
        <f t="shared" si="68"/>
        <v>40.424999999999997</v>
      </c>
      <c r="AF80" s="341">
        <f t="shared" si="68"/>
        <v>41.729361755296942</v>
      </c>
      <c r="AG80" s="341">
        <f t="shared" si="68"/>
        <v>45.206903860028859</v>
      </c>
      <c r="AH80" s="342">
        <f t="shared" si="55"/>
        <v>40.287115646255693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6"/>
      <c r="V81" s="136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8.5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30"/>
      <c r="V82" s="330"/>
      <c r="W82" s="329" t="s">
        <v>66</v>
      </c>
      <c r="X82" s="329" t="s">
        <v>67</v>
      </c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8.5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9">F74</f>
        <v>0</v>
      </c>
      <c r="G83" s="143">
        <f>G74</f>
        <v>56.18</v>
      </c>
      <c r="H83" s="143">
        <f t="shared" ref="H83" si="70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71">K74</f>
        <v>48.3</v>
      </c>
      <c r="L83" s="143">
        <f t="shared" si="71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72">R74</f>
        <v>35.141818181818174</v>
      </c>
      <c r="S83" s="143">
        <f t="shared" si="72"/>
        <v>38</v>
      </c>
      <c r="T83" s="143">
        <f>T74</f>
        <v>38</v>
      </c>
      <c r="U83" s="361"/>
      <c r="V83" s="361"/>
      <c r="W83" s="143">
        <f t="shared" si="72"/>
        <v>37</v>
      </c>
      <c r="X83" s="143">
        <f t="shared" si="72"/>
        <v>38</v>
      </c>
      <c r="Y83" s="143">
        <f t="shared" si="72"/>
        <v>38.5</v>
      </c>
      <c r="Z83" s="143">
        <f t="shared" si="72"/>
        <v>39.5</v>
      </c>
      <c r="AA83" s="143">
        <f t="shared" si="72"/>
        <v>40.799999999999997</v>
      </c>
      <c r="AB83" s="143">
        <f t="shared" si="72"/>
        <v>42</v>
      </c>
      <c r="AC83" s="353">
        <f t="shared" si="72"/>
        <v>44</v>
      </c>
      <c r="AD83" s="321">
        <f t="shared" si="72"/>
        <v>30.443939393939388</v>
      </c>
      <c r="AE83" s="260">
        <f t="shared" si="72"/>
        <v>37.666666666666664</v>
      </c>
      <c r="AF83" s="260">
        <f t="shared" si="72"/>
        <v>38.666666666666664</v>
      </c>
      <c r="AG83" s="260">
        <f t="shared" si="72"/>
        <v>42.266666666666666</v>
      </c>
      <c r="AH83" s="334">
        <f t="shared" ref="AH83:AH89" si="73">AVERAGE(P83:AC83)</f>
        <v>37.260984848484846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8.5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74">F75-F74</f>
        <v>0</v>
      </c>
      <c r="G84" s="143">
        <f>G75-G74</f>
        <v>-3.0341000000000022</v>
      </c>
      <c r="H84" s="143">
        <f t="shared" ref="H84" si="75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76">K75-K74</f>
        <v>#REF!</v>
      </c>
      <c r="L84" s="143" t="e">
        <f t="shared" si="76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77">R75-R74</f>
        <v>3.8622727272727388</v>
      </c>
      <c r="S84" s="143">
        <f t="shared" si="77"/>
        <v>3.759999999999998</v>
      </c>
      <c r="T84" s="143">
        <f>T75-T74</f>
        <v>4</v>
      </c>
      <c r="U84" s="361"/>
      <c r="V84" s="361"/>
      <c r="W84" s="143">
        <f t="shared" si="77"/>
        <v>4</v>
      </c>
      <c r="X84" s="143">
        <f t="shared" si="77"/>
        <v>4.2999999999999972</v>
      </c>
      <c r="Y84" s="143">
        <f t="shared" si="77"/>
        <v>3.5</v>
      </c>
      <c r="Z84" s="143">
        <f t="shared" si="77"/>
        <v>3</v>
      </c>
      <c r="AA84" s="143">
        <f t="shared" si="77"/>
        <v>3</v>
      </c>
      <c r="AB84" s="143">
        <f t="shared" si="77"/>
        <v>3.5</v>
      </c>
      <c r="AC84" s="353">
        <f t="shared" si="77"/>
        <v>3.7999999999999972</v>
      </c>
      <c r="AD84" s="321">
        <f t="shared" si="77"/>
        <v>6.0716835016835091</v>
      </c>
      <c r="AE84" s="260">
        <f t="shared" si="77"/>
        <v>3.9200000000000017</v>
      </c>
      <c r="AF84" s="260">
        <f t="shared" si="77"/>
        <v>3.6000000000000014</v>
      </c>
      <c r="AG84" s="260">
        <f t="shared" si="77"/>
        <v>3.4333333333333371</v>
      </c>
      <c r="AH84" s="334">
        <f t="shared" si="73"/>
        <v>4.2562542087542088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8.5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78">F76-F74</f>
        <v>0</v>
      </c>
      <c r="G85" s="143">
        <f>G76-G74</f>
        <v>19.766299999999994</v>
      </c>
      <c r="H85" s="143">
        <f t="shared" ref="H85" si="79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80">K76-K74</f>
        <v>16.482500000000002</v>
      </c>
      <c r="L85" s="143">
        <f t="shared" si="80"/>
        <v>17.249999999999993</v>
      </c>
      <c r="M85" s="143">
        <f t="shared" si="80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81">Q76-Q74</f>
        <v>15.2</v>
      </c>
      <c r="R85" s="143">
        <f>R76-R74</f>
        <v>17.63000000000001</v>
      </c>
      <c r="S85" s="143">
        <f t="shared" ref="S85:AG85" si="82">S76-S74</f>
        <v>15.519999999999996</v>
      </c>
      <c r="T85" s="143">
        <f>T76-T74</f>
        <v>17.299999999999997</v>
      </c>
      <c r="U85" s="361"/>
      <c r="V85" s="361"/>
      <c r="W85" s="143">
        <f t="shared" si="82"/>
        <v>19</v>
      </c>
      <c r="X85" s="143">
        <f t="shared" si="82"/>
        <v>18.5</v>
      </c>
      <c r="Y85" s="143">
        <f t="shared" si="82"/>
        <v>18</v>
      </c>
      <c r="Z85" s="143">
        <f t="shared" si="82"/>
        <v>17</v>
      </c>
      <c r="AA85" s="143">
        <f t="shared" si="82"/>
        <v>16</v>
      </c>
      <c r="AB85" s="143">
        <f t="shared" si="82"/>
        <v>15</v>
      </c>
      <c r="AC85" s="353">
        <f t="shared" si="82"/>
        <v>14.5</v>
      </c>
      <c r="AD85" s="321">
        <f t="shared" si="82"/>
        <v>18.813333333333333</v>
      </c>
      <c r="AE85" s="260">
        <f t="shared" si="82"/>
        <v>17.273333333333333</v>
      </c>
      <c r="AF85" s="260">
        <f t="shared" si="82"/>
        <v>17.833333333333336</v>
      </c>
      <c r="AG85" s="260">
        <f t="shared" si="82"/>
        <v>15.166666666666664</v>
      </c>
      <c r="AH85" s="334">
        <f t="shared" si="73"/>
        <v>17.271666666666665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8.5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83">F77-F74</f>
        <v>0</v>
      </c>
      <c r="G86" s="143">
        <f>G77-G74</f>
        <v>9.6289999999999978</v>
      </c>
      <c r="H86" s="143">
        <f t="shared" ref="H86" si="84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85">K77-K74</f>
        <v>13.11</v>
      </c>
      <c r="L86" s="143">
        <f t="shared" si="85"/>
        <v>13.435000000000002</v>
      </c>
      <c r="M86" s="143">
        <f t="shared" si="85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86">R77-R74</f>
        <v>12.238181818181829</v>
      </c>
      <c r="S86" s="143">
        <f t="shared" si="86"/>
        <v>10.299999999999997</v>
      </c>
      <c r="T86" s="143">
        <f>T77-T74</f>
        <v>10.799999999999997</v>
      </c>
      <c r="U86" s="361"/>
      <c r="V86" s="361"/>
      <c r="W86" s="143">
        <f t="shared" si="86"/>
        <v>11</v>
      </c>
      <c r="X86" s="143">
        <f t="shared" si="86"/>
        <v>11.299999999999997</v>
      </c>
      <c r="Y86" s="143">
        <f t="shared" si="86"/>
        <v>10.700000000000003</v>
      </c>
      <c r="Z86" s="143">
        <f t="shared" si="86"/>
        <v>11.200000000000003</v>
      </c>
      <c r="AA86" s="143">
        <f t="shared" si="86"/>
        <v>12.700000000000003</v>
      </c>
      <c r="AB86" s="143">
        <f t="shared" si="86"/>
        <v>13.200000000000003</v>
      </c>
      <c r="AC86" s="353">
        <f t="shared" si="86"/>
        <v>13.700000000000003</v>
      </c>
      <c r="AD86" s="321">
        <f t="shared" si="86"/>
        <v>11.652727272727276</v>
      </c>
      <c r="AE86" s="260">
        <f t="shared" si="86"/>
        <v>10.700000000000003</v>
      </c>
      <c r="AF86" s="260">
        <f t="shared" si="86"/>
        <v>11.06666666666667</v>
      </c>
      <c r="AG86" s="260">
        <f t="shared" si="86"/>
        <v>13.199999999999996</v>
      </c>
      <c r="AH86" s="334">
        <f t="shared" si="73"/>
        <v>11.654848484848486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.5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87">F78-F74</f>
        <v>0</v>
      </c>
      <c r="G87" s="143">
        <f>G78-G74</f>
        <v>8.8899999999999935</v>
      </c>
      <c r="H87" s="143">
        <f t="shared" ref="H87" si="88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9">K78-K74</f>
        <v>13.350000000000001</v>
      </c>
      <c r="L87" s="143">
        <f t="shared" si="89"/>
        <v>13.75</v>
      </c>
      <c r="M87" s="143">
        <f t="shared" si="89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90">R78-R74</f>
        <v>10.375909090909097</v>
      </c>
      <c r="S87" s="143">
        <f t="shared" si="90"/>
        <v>8.5600000000000023</v>
      </c>
      <c r="T87" s="143">
        <f>T78-T74</f>
        <v>10</v>
      </c>
      <c r="U87" s="361"/>
      <c r="V87" s="361"/>
      <c r="W87" s="143">
        <f t="shared" si="90"/>
        <v>10.200000000000003</v>
      </c>
      <c r="X87" s="143">
        <f t="shared" si="90"/>
        <v>10.5</v>
      </c>
      <c r="Y87" s="143">
        <f t="shared" si="90"/>
        <v>10</v>
      </c>
      <c r="Z87" s="143">
        <f t="shared" si="90"/>
        <v>10.5</v>
      </c>
      <c r="AA87" s="143">
        <f t="shared" si="90"/>
        <v>11.5</v>
      </c>
      <c r="AB87" s="143">
        <f t="shared" si="90"/>
        <v>12</v>
      </c>
      <c r="AC87" s="353">
        <f t="shared" si="90"/>
        <v>12.5</v>
      </c>
      <c r="AD87" s="321">
        <f t="shared" si="90"/>
        <v>9.62530303030303</v>
      </c>
      <c r="AE87" s="260">
        <f t="shared" si="90"/>
        <v>9.586666666666666</v>
      </c>
      <c r="AF87" s="260">
        <f t="shared" si="90"/>
        <v>10.333333333333336</v>
      </c>
      <c r="AG87" s="260">
        <f t="shared" si="90"/>
        <v>12</v>
      </c>
      <c r="AH87" s="334">
        <f t="shared" si="73"/>
        <v>10.38632575757576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5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91">H79-H74</f>
        <v>-8.9503004558640669</v>
      </c>
      <c r="I88" s="143">
        <f t="shared" si="91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T88" si="92">O62</f>
        <v>-6.7333333333333334</v>
      </c>
      <c r="P88" s="143">
        <f t="shared" si="92"/>
        <v>-3.13</v>
      </c>
      <c r="Q88" s="143">
        <f t="shared" si="92"/>
        <v>-5.08</v>
      </c>
      <c r="R88" s="143">
        <f t="shared" si="92"/>
        <v>-7.3010164638511021</v>
      </c>
      <c r="S88" s="143">
        <f t="shared" si="92"/>
        <v>-8.77</v>
      </c>
      <c r="T88" s="143">
        <f t="shared" si="92"/>
        <v>-8.3000000000000007</v>
      </c>
      <c r="U88" s="143"/>
      <c r="V88" s="143"/>
      <c r="W88" s="143">
        <f t="shared" ref="W88:AC88" si="93">W62</f>
        <v>-8.1</v>
      </c>
      <c r="X88" s="143">
        <f t="shared" si="93"/>
        <v>-8</v>
      </c>
      <c r="Y88" s="143">
        <f t="shared" si="93"/>
        <v>-8.1</v>
      </c>
      <c r="Z88" s="143">
        <f t="shared" si="93"/>
        <v>-8.1</v>
      </c>
      <c r="AA88" s="143">
        <f t="shared" si="93"/>
        <v>-8</v>
      </c>
      <c r="AB88" s="143">
        <f t="shared" si="93"/>
        <v>-7.9</v>
      </c>
      <c r="AC88" s="353">
        <f t="shared" si="93"/>
        <v>-7.8</v>
      </c>
      <c r="AD88" s="365">
        <f>AD61</f>
        <v>-5.1703388212837007</v>
      </c>
      <c r="AE88" s="260">
        <f>AE61</f>
        <v>-8.3983333333333334</v>
      </c>
      <c r="AF88" s="260">
        <f>AF79-AF74</f>
        <v>155.64333333333329</v>
      </c>
      <c r="AG88" s="358">
        <f>AG79-AG74</f>
        <v>175.96166666666664</v>
      </c>
      <c r="AH88" s="334">
        <f t="shared" si="73"/>
        <v>-7.3817513719875913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94">F70</f>
        <v>0</v>
      </c>
      <c r="G89" s="349">
        <f>G70</f>
        <v>0</v>
      </c>
      <c r="H89" s="349">
        <f t="shared" ref="H89" si="95">H70</f>
        <v>0</v>
      </c>
      <c r="I89" s="349">
        <f>I70</f>
        <v>0</v>
      </c>
      <c r="J89" s="349" t="e">
        <f>J70</f>
        <v>#DIV/0!</v>
      </c>
      <c r="K89" s="349">
        <f t="shared" ref="K89:M89" si="96">K70</f>
        <v>1.2</v>
      </c>
      <c r="L89" s="349">
        <f t="shared" si="96"/>
        <v>1.5</v>
      </c>
      <c r="M89" s="349">
        <f t="shared" si="96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97">R80-R74</f>
        <v>3.3497727272727289</v>
      </c>
      <c r="S89" s="349">
        <f t="shared" si="97"/>
        <v>2.5700000000000003</v>
      </c>
      <c r="T89" s="349">
        <f>T80-T74</f>
        <v>2.7000000000000028</v>
      </c>
      <c r="U89" s="362"/>
      <c r="V89" s="362"/>
      <c r="W89" s="349">
        <f t="shared" si="97"/>
        <v>3.0049999999999955</v>
      </c>
      <c r="X89" s="349">
        <f t="shared" si="97"/>
        <v>3.1563041394086255</v>
      </c>
      <c r="Y89" s="349">
        <f t="shared" si="97"/>
        <v>3.0163265810276698</v>
      </c>
      <c r="Z89" s="349">
        <f t="shared" si="97"/>
        <v>3.0154545454545456</v>
      </c>
      <c r="AA89" s="349">
        <f t="shared" si="97"/>
        <v>2.9136661255411269</v>
      </c>
      <c r="AB89" s="349">
        <f t="shared" si="97"/>
        <v>2.9297727272727272</v>
      </c>
      <c r="AC89" s="354">
        <f t="shared" si="97"/>
        <v>2.9772727272727266</v>
      </c>
      <c r="AD89" s="351">
        <f>AD80-AD74</f>
        <v>3.3432575757575762</v>
      </c>
      <c r="AE89" s="352">
        <f>AE80-AE74</f>
        <v>2.7583333333333329</v>
      </c>
      <c r="AF89" s="352">
        <f>AF80-AF74</f>
        <v>3.062695088630278</v>
      </c>
      <c r="AG89" s="352">
        <f t="shared" si="97"/>
        <v>2.9402371933621936</v>
      </c>
      <c r="AH89" s="342">
        <f t="shared" si="73"/>
        <v>3.0261307977708465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67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80"/>
      <c r="V90" s="280"/>
      <c r="W90" s="279"/>
      <c r="X90" s="279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67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5"/>
      <c r="V91" s="285"/>
      <c r="W91" s="283"/>
      <c r="X91" s="283" t="s">
        <v>17</v>
      </c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67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98">$B$92*$J$92</f>
        <v>-0.6</v>
      </c>
      <c r="L92" s="289">
        <f t="shared" si="98"/>
        <v>-0.6</v>
      </c>
      <c r="M92" s="289">
        <f t="shared" si="98"/>
        <v>-0.6</v>
      </c>
      <c r="N92" s="289">
        <f t="shared" si="98"/>
        <v>-0.6</v>
      </c>
      <c r="O92" s="289">
        <f t="shared" si="98"/>
        <v>-0.6</v>
      </c>
      <c r="P92" s="289">
        <f t="shared" si="98"/>
        <v>-0.6</v>
      </c>
      <c r="Q92" s="289">
        <f>$B$92*$J$92</f>
        <v>-0.6</v>
      </c>
      <c r="R92" s="291"/>
      <c r="S92" s="291"/>
      <c r="T92" s="291"/>
      <c r="U92" s="292"/>
      <c r="V92" s="292"/>
      <c r="W92" s="291"/>
      <c r="X92" s="291">
        <v>0.94499999999999995</v>
      </c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67"/>
      <c r="B93" s="287">
        <v>0.03</v>
      </c>
      <c r="C93" s="287">
        <v>0.03</v>
      </c>
      <c r="D93" s="288"/>
      <c r="E93" s="288"/>
      <c r="F93" s="289">
        <f t="shared" ref="F93:I96" si="99">$B93*(F75-F$74-1.7)</f>
        <v>-5.0999999999999997E-2</v>
      </c>
      <c r="G93" s="289">
        <f t="shared" si="99"/>
        <v>-0.14202300000000007</v>
      </c>
      <c r="H93" s="289">
        <f t="shared" si="99"/>
        <v>-0.10879736842105259</v>
      </c>
      <c r="I93" s="289">
        <f t="shared" si="99"/>
        <v>-8.1000000000004332E-3</v>
      </c>
      <c r="J93" s="290"/>
      <c r="K93" s="289" t="e">
        <f t="shared" ref="K93:P96" si="100">$B93*(K75-K$74-1.7)</f>
        <v>#REF!</v>
      </c>
      <c r="L93" s="289" t="e">
        <f t="shared" si="100"/>
        <v>#REF!</v>
      </c>
      <c r="M93" s="289">
        <f t="shared" si="100"/>
        <v>-8.2500000000000837E-3</v>
      </c>
      <c r="N93" s="289">
        <f t="shared" si="100"/>
        <v>6.5249999999999989E-2</v>
      </c>
      <c r="O93" s="289">
        <f t="shared" si="100"/>
        <v>0.129</v>
      </c>
      <c r="P93" s="289">
        <f t="shared" si="100"/>
        <v>0.24269999999999989</v>
      </c>
      <c r="Q93" s="289">
        <f>$B93*(Q75-Q$74-1.7)</f>
        <v>8.5883333333333353E-2</v>
      </c>
      <c r="R93" s="291"/>
      <c r="S93" s="291"/>
      <c r="T93" s="291"/>
      <c r="U93" s="292"/>
      <c r="V93" s="292"/>
      <c r="W93" s="291"/>
      <c r="X93" s="291" t="e">
        <v>#REF!</v>
      </c>
      <c r="Y93" s="291"/>
      <c r="Z93" s="291"/>
      <c r="AA93" s="291"/>
      <c r="AB93" s="291"/>
      <c r="AC93" s="291"/>
      <c r="AD93" s="289">
        <f t="shared" ref="AD93:AG96" si="101">$B93*(AD75-AD$74-1.7)</f>
        <v>0.13115050505050527</v>
      </c>
      <c r="AE93" s="289">
        <f t="shared" si="101"/>
        <v>6.6600000000000048E-2</v>
      </c>
      <c r="AF93" s="289"/>
      <c r="AG93" s="289">
        <f t="shared" si="101"/>
        <v>5.2000000000000116E-2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67"/>
      <c r="B94" s="287">
        <v>0.16</v>
      </c>
      <c r="C94" s="287">
        <v>0.16</v>
      </c>
      <c r="D94" s="288"/>
      <c r="E94" s="288"/>
      <c r="F94" s="289">
        <f t="shared" si="99"/>
        <v>-0.27200000000000002</v>
      </c>
      <c r="G94" s="289">
        <f t="shared" si="99"/>
        <v>2.8906079999999994</v>
      </c>
      <c r="H94" s="289">
        <f t="shared" si="99"/>
        <v>2.6582315789473734</v>
      </c>
      <c r="I94" s="289">
        <f t="shared" si="99"/>
        <v>2.9057599999999999</v>
      </c>
      <c r="J94" s="290"/>
      <c r="K94" s="289">
        <f t="shared" si="100"/>
        <v>2.3652000000000006</v>
      </c>
      <c r="L94" s="289">
        <f t="shared" si="100"/>
        <v>2.4879999999999991</v>
      </c>
      <c r="M94" s="289">
        <f t="shared" si="100"/>
        <v>2.3475999999999995</v>
      </c>
      <c r="N94" s="289">
        <f t="shared" si="100"/>
        <v>2.258</v>
      </c>
      <c r="O94" s="289">
        <f t="shared" si="100"/>
        <v>2.528</v>
      </c>
      <c r="P94" s="289">
        <f t="shared" si="100"/>
        <v>3.5056000000000007</v>
      </c>
      <c r="Q94" s="289">
        <f>$B94*(Q76-Q$74-1.7)</f>
        <v>2.16</v>
      </c>
      <c r="R94" s="291"/>
      <c r="S94" s="291"/>
      <c r="T94" s="291"/>
      <c r="U94" s="292"/>
      <c r="V94" s="292"/>
      <c r="W94" s="291"/>
      <c r="X94" s="291" t="e">
        <v>#REF!</v>
      </c>
      <c r="Y94" s="291"/>
      <c r="Z94" s="291"/>
      <c r="AA94" s="291"/>
      <c r="AB94" s="291"/>
      <c r="AC94" s="291"/>
      <c r="AD94" s="289">
        <f t="shared" si="101"/>
        <v>2.7381333333333333</v>
      </c>
      <c r="AE94" s="289">
        <f t="shared" si="101"/>
        <v>2.4917333333333334</v>
      </c>
      <c r="AF94" s="289"/>
      <c r="AG94" s="289">
        <f t="shared" si="101"/>
        <v>2.1546666666666665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99"/>
        <v>-0.255</v>
      </c>
      <c r="G95" s="289">
        <f t="shared" si="99"/>
        <v>1.1893499999999997</v>
      </c>
      <c r="H95" s="289">
        <f t="shared" si="99"/>
        <v>1.1527499999999997</v>
      </c>
      <c r="I95" s="289">
        <f t="shared" si="99"/>
        <v>1.7877749999999986</v>
      </c>
      <c r="J95" s="290"/>
      <c r="K95" s="289">
        <f t="shared" si="100"/>
        <v>1.7115</v>
      </c>
      <c r="L95" s="289">
        <f t="shared" si="100"/>
        <v>1.7602500000000003</v>
      </c>
      <c r="M95" s="289">
        <f t="shared" si="100"/>
        <v>1.7467499999999998</v>
      </c>
      <c r="N95" s="289">
        <f t="shared" si="100"/>
        <v>1.8794999999999995</v>
      </c>
      <c r="O95" s="289">
        <f t="shared" si="100"/>
        <v>2.085</v>
      </c>
      <c r="P95" s="289">
        <f t="shared" si="100"/>
        <v>1.4099999999999997</v>
      </c>
      <c r="Q95" s="289">
        <f>$B95*(Q77-Q$74-1.7)</f>
        <v>1.4880000000000002</v>
      </c>
      <c r="R95" s="291"/>
      <c r="S95" s="291"/>
      <c r="T95" s="291"/>
      <c r="U95" s="292"/>
      <c r="V95" s="292"/>
      <c r="W95" s="291"/>
      <c r="X95" s="291" t="e">
        <v>#REF!</v>
      </c>
      <c r="Y95" s="291"/>
      <c r="Z95" s="291"/>
      <c r="AA95" s="291"/>
      <c r="AB95" s="291"/>
      <c r="AC95" s="291"/>
      <c r="AD95" s="289">
        <f t="shared" si="101"/>
        <v>1.4929090909090914</v>
      </c>
      <c r="AE95" s="289">
        <f t="shared" si="101"/>
        <v>1.3500000000000005</v>
      </c>
      <c r="AF95" s="289"/>
      <c r="AG95" s="289">
        <f t="shared" si="101"/>
        <v>1.7249999999999994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99"/>
        <v>-0.66300000000000003</v>
      </c>
      <c r="G96" s="289">
        <f t="shared" si="99"/>
        <v>2.8040999999999974</v>
      </c>
      <c r="H96" s="289">
        <f t="shared" si="99"/>
        <v>3.0129552631578984</v>
      </c>
      <c r="I96" s="289">
        <f t="shared" si="99"/>
        <v>4.8371700000000013</v>
      </c>
      <c r="J96" s="290"/>
      <c r="K96" s="289">
        <f t="shared" si="100"/>
        <v>4.5435000000000008</v>
      </c>
      <c r="L96" s="289">
        <f t="shared" si="100"/>
        <v>4.6995000000000005</v>
      </c>
      <c r="M96" s="289">
        <f t="shared" si="100"/>
        <v>4.4343000000000004</v>
      </c>
      <c r="N96" s="289">
        <f t="shared" si="100"/>
        <v>4.8087000000000009</v>
      </c>
      <c r="O96" s="289">
        <f t="shared" si="100"/>
        <v>4.8555000000000001</v>
      </c>
      <c r="P96" s="289">
        <f t="shared" si="100"/>
        <v>2.9796</v>
      </c>
      <c r="Q96" s="289">
        <f>$B96*(Q78-Q$74-1.7)</f>
        <v>2.9094000000000002</v>
      </c>
      <c r="R96" s="291"/>
      <c r="S96" s="291"/>
      <c r="T96" s="291"/>
      <c r="U96" s="292"/>
      <c r="V96" s="292"/>
      <c r="W96" s="291"/>
      <c r="X96" s="291" t="e">
        <v>#REF!</v>
      </c>
      <c r="Y96" s="291"/>
      <c r="Z96" s="291"/>
      <c r="AA96" s="291"/>
      <c r="AB96" s="291"/>
      <c r="AC96" s="291"/>
      <c r="AD96" s="289">
        <f t="shared" si="101"/>
        <v>3.0908681818181818</v>
      </c>
      <c r="AE96" s="289">
        <f t="shared" si="101"/>
        <v>3.0757999999999996</v>
      </c>
      <c r="AF96" s="289"/>
      <c r="AG96" s="289">
        <f t="shared" si="101"/>
        <v>4.0170000000000003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102">$B$97*((K79/6.5)-(K$74-1.7))</f>
        <v>-0.88577076923076925</v>
      </c>
      <c r="L97" s="289">
        <f t="shared" si="102"/>
        <v>-0.88175538461538472</v>
      </c>
      <c r="M97" s="289">
        <f t="shared" si="102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2"/>
      <c r="V97" s="292"/>
      <c r="W97" s="291"/>
      <c r="X97" s="291" t="e">
        <v>#REF!</v>
      </c>
      <c r="Y97" s="291"/>
      <c r="Z97" s="291"/>
      <c r="AA97" s="291"/>
      <c r="AB97" s="291"/>
      <c r="AC97" s="291"/>
      <c r="AD97" s="289">
        <f t="shared" ref="AD97:AG97" si="103">$B$97*((AD79/6.5)-(AD$74-1.7))</f>
        <v>-0.48642909090909042</v>
      </c>
      <c r="AE97" s="289">
        <f t="shared" si="103"/>
        <v>-0.88387384615384568</v>
      </c>
      <c r="AF97" s="289"/>
      <c r="AG97" s="289">
        <f t="shared" si="103"/>
        <v>-0.83916923076923033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104">$B98*(K81-K$74-1.7)</f>
        <v>-1.5</v>
      </c>
      <c r="L98" s="289">
        <f t="shared" si="104"/>
        <v>-1.4565000000000001</v>
      </c>
      <c r="M98" s="289">
        <f t="shared" si="104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2"/>
      <c r="V98" s="292"/>
      <c r="W98" s="291"/>
      <c r="X98" s="291" t="e">
        <v>#REF!</v>
      </c>
      <c r="Y98" s="291"/>
      <c r="Z98" s="291"/>
      <c r="AA98" s="291"/>
      <c r="AB98" s="291"/>
      <c r="AC98" s="291"/>
      <c r="AD98" s="289">
        <f t="shared" ref="AD98:AG98" si="105">$B98*(AD81-AD$74-1.7)</f>
        <v>-0.96431818181818174</v>
      </c>
      <c r="AE98" s="289">
        <f t="shared" si="105"/>
        <v>-1.181</v>
      </c>
      <c r="AF98" s="289"/>
      <c r="AG98" s="289">
        <f t="shared" si="105"/>
        <v>-1.319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2"/>
      <c r="V99" s="292"/>
      <c r="W99" s="291"/>
      <c r="X99" s="291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106">SUM(H92:H98)</f>
        <v>-0.17026991934711599</v>
      </c>
      <c r="I100" s="289">
        <f>SUM(I92:I98)</f>
        <v>2.9612135099939429</v>
      </c>
      <c r="J100" s="290"/>
      <c r="K100" s="289" t="e">
        <f t="shared" ref="K100:M100" si="107">SUM(K92:K98)</f>
        <v>#REF!</v>
      </c>
      <c r="L100" s="289" t="e">
        <f t="shared" si="107"/>
        <v>#REF!</v>
      </c>
      <c r="M100" s="289">
        <f t="shared" si="107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108">SUM(Q92:Q98)</f>
        <v>4.6379910256410248</v>
      </c>
      <c r="R100" s="291"/>
      <c r="S100" s="291"/>
      <c r="T100" s="291"/>
      <c r="U100" s="292"/>
      <c r="V100" s="292"/>
      <c r="W100" s="291"/>
      <c r="X100" s="291" t="e">
        <v>#REF!</v>
      </c>
      <c r="Y100" s="291"/>
      <c r="Z100" s="291"/>
      <c r="AA100" s="291"/>
      <c r="AB100" s="291"/>
      <c r="AC100" s="291"/>
      <c r="AD100" s="289">
        <f t="shared" ref="AD100:AG100" si="109">SUM(AD92:AD98)</f>
        <v>5.4023138383838401</v>
      </c>
      <c r="AE100" s="289">
        <f t="shared" si="109"/>
        <v>4.3192594871794876</v>
      </c>
      <c r="AF100" s="289"/>
      <c r="AG100" s="289">
        <f t="shared" si="109"/>
        <v>5.1904974358974361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80"/>
      <c r="V101" s="280"/>
      <c r="W101" s="277"/>
      <c r="X101" s="279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80"/>
      <c r="V102" s="280"/>
      <c r="W102" s="277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80"/>
      <c r="V103" s="280"/>
      <c r="W103" s="277"/>
      <c r="X103" s="279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80"/>
      <c r="V104" s="280"/>
      <c r="W104" s="277"/>
      <c r="X104" s="279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80"/>
      <c r="V105" s="280"/>
      <c r="W105" s="277"/>
      <c r="X105" s="279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80"/>
      <c r="V106" s="280"/>
      <c r="W106" s="277"/>
      <c r="X106" s="279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80"/>
      <c r="V107" s="280"/>
      <c r="W107" s="277"/>
      <c r="X107" s="279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80"/>
      <c r="V108" s="280"/>
      <c r="W108" s="277"/>
      <c r="X108" s="279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80"/>
      <c r="V109" s="280"/>
      <c r="W109" s="277"/>
      <c r="X109" s="279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67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80"/>
      <c r="V110" s="280"/>
      <c r="W110" s="277"/>
      <c r="X110" s="279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67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80"/>
      <c r="V111" s="280"/>
      <c r="W111" s="277"/>
      <c r="X111" s="279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80"/>
      <c r="V112" s="280"/>
      <c r="W112" s="277"/>
      <c r="X112" s="279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80"/>
      <c r="V113" s="280"/>
      <c r="W113" s="277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80"/>
      <c r="V114" s="280"/>
      <c r="W114" s="277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80"/>
      <c r="V115" s="280"/>
      <c r="W115" s="277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80"/>
      <c r="V116" s="280"/>
      <c r="W116" s="277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80"/>
      <c r="V117" s="280"/>
      <c r="W117" s="277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80"/>
      <c r="V118" s="280"/>
      <c r="W118" s="277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80"/>
      <c r="V119" s="280"/>
      <c r="W119" s="277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80"/>
      <c r="V120" s="280"/>
      <c r="W120" s="277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80"/>
      <c r="V121" s="280"/>
      <c r="W121" s="277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80"/>
      <c r="V122" s="280"/>
      <c r="W122" s="277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80"/>
      <c r="V123" s="280"/>
      <c r="W123" s="277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5"/>
      <c r="V124" s="5"/>
      <c r="W124" s="3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W5:W6"/>
    <mergeCell ref="X5:X6"/>
    <mergeCell ref="Y5:Y6"/>
    <mergeCell ref="Z5:Z6"/>
    <mergeCell ref="AA5:AA6"/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MT124"/>
  <sheetViews>
    <sheetView zoomScale="80" zoomScaleNormal="80" workbookViewId="0">
      <pane xSplit="15" ySplit="6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08984375" defaultRowHeight="21" outlineLevelRow="1" outlineLevelCol="1"/>
  <cols>
    <col min="1" max="1" width="18.1796875" style="194" customWidth="1"/>
    <col min="2" max="2" width="24.90625" style="2" hidden="1" customWidth="1"/>
    <col min="3" max="3" width="21.36328125" style="2" hidden="1" customWidth="1"/>
    <col min="4" max="4" width="13.453125" style="1" hidden="1" customWidth="1"/>
    <col min="5" max="5" width="10.36328125" style="1" hidden="1" customWidth="1"/>
    <col min="6" max="9" width="11.08984375" style="3" hidden="1" customWidth="1"/>
    <col min="10" max="10" width="31.90625" style="4" hidden="1" customWidth="1"/>
    <col min="11" max="14" width="11.08984375" style="3" hidden="1" customWidth="1"/>
    <col min="15" max="15" width="15.453125" style="3" hidden="1" customWidth="1"/>
    <col min="16" max="16" width="9.1796875" style="3" customWidth="1"/>
    <col min="17" max="17" width="9.7265625" style="3" customWidth="1"/>
    <col min="18" max="18" width="10" style="3" customWidth="1"/>
    <col min="19" max="19" width="9.453125" style="3" customWidth="1"/>
    <col min="20" max="20" width="9.90625" style="3" customWidth="1"/>
    <col min="21" max="21" width="9.7265625" style="3" customWidth="1"/>
    <col min="22" max="23" width="30.08984375" style="5" hidden="1" customWidth="1" outlineLevel="1"/>
    <col min="24" max="24" width="9.08984375" style="6" customWidth="1" collapsed="1"/>
    <col min="25" max="29" width="9.08984375" style="6" customWidth="1"/>
    <col min="30" max="30" width="8.7265625" style="6" hidden="1" customWidth="1" outlineLevel="1"/>
    <col min="31" max="33" width="9.1796875" style="6" hidden="1" customWidth="1" outlineLevel="1"/>
    <col min="34" max="34" width="8.7265625" style="153" customWidth="1" collapsed="1"/>
    <col min="35" max="35" width="10.08984375" style="7" bestFit="1" customWidth="1"/>
    <col min="36" max="358" width="9.08984375" style="7"/>
    <col min="359" max="16384" width="9.08984375" style="8"/>
  </cols>
  <sheetData>
    <row r="1" spans="1:358" ht="21.75" hidden="1" customHeight="1" thickBot="1">
      <c r="AH1" s="7"/>
    </row>
    <row r="2" spans="1:358" ht="24.75" hidden="1" customHeight="1" thickBo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2"/>
      <c r="W2" s="12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7"/>
      <c r="W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8" t="s">
        <v>3</v>
      </c>
      <c r="F5" s="673" t="s">
        <v>4</v>
      </c>
      <c r="G5" s="673" t="s">
        <v>5</v>
      </c>
      <c r="H5" s="680" t="s">
        <v>6</v>
      </c>
      <c r="I5" s="673" t="s">
        <v>7</v>
      </c>
      <c r="J5" s="28" t="s">
        <v>2</v>
      </c>
      <c r="K5" s="673" t="s">
        <v>8</v>
      </c>
      <c r="L5" s="355" t="s">
        <v>9</v>
      </c>
      <c r="M5" s="355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673" t="s">
        <v>65</v>
      </c>
      <c r="U5" s="673" t="s">
        <v>66</v>
      </c>
      <c r="V5" s="29" t="s">
        <v>10</v>
      </c>
      <c r="W5" s="30" t="s">
        <v>11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97" t="s">
        <v>78</v>
      </c>
      <c r="AD5" s="699" t="s">
        <v>79</v>
      </c>
      <c r="AE5" s="688" t="s">
        <v>80</v>
      </c>
      <c r="AF5" s="688" t="s">
        <v>81</v>
      </c>
      <c r="AG5" s="695" t="s">
        <v>82</v>
      </c>
      <c r="AH5" s="685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79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674"/>
      <c r="V6" s="187">
        <v>42522</v>
      </c>
      <c r="W6" s="188">
        <v>42552</v>
      </c>
      <c r="X6" s="674"/>
      <c r="Y6" s="674"/>
      <c r="Z6" s="674"/>
      <c r="AA6" s="674"/>
      <c r="AB6" s="674"/>
      <c r="AC6" s="698"/>
      <c r="AD6" s="700"/>
      <c r="AE6" s="689"/>
      <c r="AF6" s="689"/>
      <c r="AG6" s="696"/>
      <c r="AH6" s="686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2"/>
      <c r="W7" s="22"/>
      <c r="X7" s="24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57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"/>
      <c r="V8" s="360"/>
      <c r="W8" s="215"/>
      <c r="X8" s="39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81"/>
      <c r="B9" s="682"/>
      <c r="C9" s="682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16"/>
      <c r="W9" s="217"/>
      <c r="X9" s="208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65.2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52">
        <v>26.81</v>
      </c>
      <c r="Q10" s="52">
        <v>29.38</v>
      </c>
      <c r="R10" s="56">
        <v>35.141818181818174</v>
      </c>
      <c r="S10" s="56">
        <v>39.03</v>
      </c>
      <c r="T10" s="189">
        <v>42.641111111111108</v>
      </c>
      <c r="U10" s="189">
        <v>43.5</v>
      </c>
      <c r="V10" s="185"/>
      <c r="W10" s="186"/>
      <c r="X10" s="189">
        <v>42</v>
      </c>
      <c r="Y10" s="189">
        <v>39</v>
      </c>
      <c r="Z10" s="189">
        <v>40</v>
      </c>
      <c r="AA10" s="189">
        <v>40.5</v>
      </c>
      <c r="AB10" s="189">
        <v>41</v>
      </c>
      <c r="AC10" s="297">
        <v>42</v>
      </c>
      <c r="AD10" s="308">
        <f>AVERAGE(P10:R10)</f>
        <v>30.443939393939388</v>
      </c>
      <c r="AE10" s="246">
        <f>AVERAGE(S10:T10:U10)</f>
        <v>41.723703703703706</v>
      </c>
      <c r="AF10" s="246">
        <f>AVERAGE(X10:Z10)</f>
        <v>40.333333333333336</v>
      </c>
      <c r="AG10" s="309">
        <f>AVERAGE(AA10:AC10)</f>
        <v>41.166666666666664</v>
      </c>
      <c r="AH10" s="241">
        <f>AVERAGE(P10:AC10)</f>
        <v>38.416910774410773</v>
      </c>
      <c r="AI10" s="267"/>
    </row>
    <row r="11" spans="1:358" ht="65.2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52">
        <v>26.81</v>
      </c>
      <c r="Q11" s="52">
        <v>29.38</v>
      </c>
      <c r="R11" s="50">
        <v>35.141818181818174</v>
      </c>
      <c r="S11" s="56">
        <v>39.03</v>
      </c>
      <c r="T11" s="183">
        <v>43.2</v>
      </c>
      <c r="U11" s="183">
        <v>42</v>
      </c>
      <c r="V11" s="185"/>
      <c r="W11" s="186"/>
      <c r="X11" s="183">
        <v>42</v>
      </c>
      <c r="Y11" s="183">
        <v>42.8</v>
      </c>
      <c r="Z11" s="183">
        <v>43</v>
      </c>
      <c r="AA11" s="183">
        <v>43</v>
      </c>
      <c r="AB11" s="183">
        <v>43.5</v>
      </c>
      <c r="AC11" s="298">
        <v>44</v>
      </c>
      <c r="AD11" s="308">
        <f>AVERAGE(P11:R11)</f>
        <v>30.443939393939388</v>
      </c>
      <c r="AE11" s="246">
        <f>AVERAGE(S11:T11:U11)</f>
        <v>41.410000000000004</v>
      </c>
      <c r="AF11" s="246">
        <f t="shared" ref="AF11:AF13" si="1">AVERAGE(X11:Z11)</f>
        <v>42.6</v>
      </c>
      <c r="AG11" s="309">
        <f t="shared" ref="AG11:AG13" si="2">AVERAGE(AA11:AC11)</f>
        <v>43.5</v>
      </c>
      <c r="AH11" s="241">
        <f>AVERAGE(P11:AC11)</f>
        <v>39.488484848484852</v>
      </c>
      <c r="AI11" s="267"/>
    </row>
    <row r="12" spans="1:358" ht="65.2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52">
        <v>26.81</v>
      </c>
      <c r="Q12" s="52">
        <v>29.38</v>
      </c>
      <c r="R12" s="56">
        <v>35.141818181818174</v>
      </c>
      <c r="S12" s="56">
        <v>39.03</v>
      </c>
      <c r="T12" s="183">
        <v>43.4</v>
      </c>
      <c r="U12" s="183">
        <v>44</v>
      </c>
      <c r="V12" s="185"/>
      <c r="W12" s="186"/>
      <c r="X12" s="183">
        <v>43</v>
      </c>
      <c r="Y12" s="189">
        <v>43</v>
      </c>
      <c r="Z12" s="189">
        <v>40</v>
      </c>
      <c r="AA12" s="189">
        <v>40</v>
      </c>
      <c r="AB12" s="189">
        <v>42</v>
      </c>
      <c r="AC12" s="297">
        <v>44</v>
      </c>
      <c r="AD12" s="308">
        <f>AVERAGE(P12:R12)</f>
        <v>30.443939393939388</v>
      </c>
      <c r="AE12" s="246">
        <f>AVERAGE(S12:T12:U12)</f>
        <v>42.143333333333338</v>
      </c>
      <c r="AF12" s="246">
        <f t="shared" si="1"/>
        <v>42</v>
      </c>
      <c r="AG12" s="309">
        <f t="shared" si="2"/>
        <v>42</v>
      </c>
      <c r="AH12" s="241">
        <f>AVERAGE(P12:AC12)</f>
        <v>39.146818181818183</v>
      </c>
      <c r="AI12" s="267"/>
    </row>
    <row r="13" spans="1:358" ht="65.2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52">
        <v>26.81</v>
      </c>
      <c r="Q13" s="52">
        <v>29.38</v>
      </c>
      <c r="R13" s="56">
        <v>35.141818181818174</v>
      </c>
      <c r="S13" s="56">
        <v>39.03</v>
      </c>
      <c r="T13" s="189">
        <v>42.16</v>
      </c>
      <c r="U13" s="189">
        <v>42.24</v>
      </c>
      <c r="V13" s="253"/>
      <c r="W13" s="254"/>
      <c r="X13" s="189">
        <v>43.3</v>
      </c>
      <c r="Y13" s="189">
        <v>46.05</v>
      </c>
      <c r="Z13" s="189">
        <v>46</v>
      </c>
      <c r="AA13" s="189">
        <v>46.93</v>
      </c>
      <c r="AB13" s="189">
        <v>48.8</v>
      </c>
      <c r="AC13" s="297">
        <v>49.2</v>
      </c>
      <c r="AD13" s="308">
        <f>AVERAGE(P13:R13)</f>
        <v>30.443939393939388</v>
      </c>
      <c r="AE13" s="246">
        <f>AVERAGE(S13:T13:U13)</f>
        <v>41.143333333333338</v>
      </c>
      <c r="AF13" s="246">
        <f t="shared" si="1"/>
        <v>45.116666666666667</v>
      </c>
      <c r="AG13" s="309">
        <f t="shared" si="2"/>
        <v>48.31</v>
      </c>
      <c r="AH13" s="241">
        <f>AVERAGE(P13:AC13)</f>
        <v>41.253484848484852</v>
      </c>
      <c r="AI13" s="267"/>
    </row>
    <row r="14" spans="1:358" s="62" customFormat="1" ht="19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42.850277777777777</v>
      </c>
      <c r="U14" s="59">
        <f t="shared" ref="U14:AC14" si="5">AVERAGE(U10:U13)</f>
        <v>42.935000000000002</v>
      </c>
      <c r="V14" s="369"/>
      <c r="W14" s="369"/>
      <c r="X14" s="59">
        <f t="shared" si="5"/>
        <v>42.575000000000003</v>
      </c>
      <c r="Y14" s="59">
        <f t="shared" si="5"/>
        <v>42.712499999999999</v>
      </c>
      <c r="Z14" s="59">
        <f t="shared" si="5"/>
        <v>42.25</v>
      </c>
      <c r="AA14" s="59">
        <f t="shared" si="5"/>
        <v>42.607500000000002</v>
      </c>
      <c r="AB14" s="59">
        <f t="shared" si="5"/>
        <v>43.825000000000003</v>
      </c>
      <c r="AC14" s="234">
        <f t="shared" si="5"/>
        <v>44.8</v>
      </c>
      <c r="AD14" s="310">
        <f>AVERAGE(AD10:AD13)</f>
        <v>30.443939393939388</v>
      </c>
      <c r="AE14" s="59">
        <f t="shared" ref="AE14" si="6">AVERAGE(AE10:AE13)</f>
        <v>41.605092592592598</v>
      </c>
      <c r="AF14" s="59">
        <f>AVERAGE(AF10:AF13)</f>
        <v>42.512500000000003</v>
      </c>
      <c r="AG14" s="311">
        <f>AVERAGE(AG10:AG13)</f>
        <v>43.744166666666665</v>
      </c>
      <c r="AH14" s="242">
        <f>AVERAGE(AH10:AH13)</f>
        <v>39.576424663299662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39.03</v>
      </c>
      <c r="T15" s="164">
        <v>44.5</v>
      </c>
      <c r="U15" s="164">
        <v>43</v>
      </c>
      <c r="V15" s="370"/>
      <c r="W15" s="370"/>
      <c r="X15" s="164">
        <v>43</v>
      </c>
      <c r="Y15" s="164">
        <v>42</v>
      </c>
      <c r="Z15" s="164">
        <v>41</v>
      </c>
      <c r="AA15" s="164">
        <v>43</v>
      </c>
      <c r="AB15" s="164">
        <v>44</v>
      </c>
      <c r="AC15" s="229">
        <v>45</v>
      </c>
      <c r="AD15" s="312">
        <f>AVERAGE(P15:R15)</f>
        <v>30.443939393939388</v>
      </c>
      <c r="AE15" s="164">
        <f>AVERAGE(S15:T15:U15)</f>
        <v>42.176666666666669</v>
      </c>
      <c r="AF15" s="164">
        <f>AVERAGE(X15:Z15)</f>
        <v>42</v>
      </c>
      <c r="AG15" s="313">
        <f>AVERAGE(AA15:AC15)</f>
        <v>44</v>
      </c>
      <c r="AH15" s="242">
        <f>AVERAGE(P15:AC15)</f>
        <v>39.655151515151516</v>
      </c>
      <c r="AI15" s="271">
        <v>54</v>
      </c>
      <c r="AJ15" s="179"/>
      <c r="AK15" s="179"/>
    </row>
    <row r="16" spans="1:358" ht="21.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371"/>
      <c r="W16" s="371"/>
      <c r="X16" s="24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"/>
      <c r="V17" s="372"/>
      <c r="W17" s="372"/>
      <c r="X17" s="39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5"/>
      <c r="B18" s="676"/>
      <c r="C18" s="676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373"/>
      <c r="W18" s="374"/>
      <c r="X18" s="4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60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56">
        <v>9.7899999999999991</v>
      </c>
      <c r="Q19" s="56">
        <v>4.5627777777777778</v>
      </c>
      <c r="R19" s="56">
        <v>3.8622727272727388</v>
      </c>
      <c r="S19" s="56">
        <v>3.33</v>
      </c>
      <c r="T19" s="189">
        <v>-0.2166666666666662</v>
      </c>
      <c r="U19" s="189">
        <v>0</v>
      </c>
      <c r="V19" s="185"/>
      <c r="W19" s="186"/>
      <c r="X19" s="189">
        <v>0.25</v>
      </c>
      <c r="Y19" s="189">
        <v>0.5</v>
      </c>
      <c r="Z19" s="189">
        <v>1.5</v>
      </c>
      <c r="AA19" s="189">
        <v>2</v>
      </c>
      <c r="AB19" s="189">
        <v>2.5</v>
      </c>
      <c r="AC19" s="297">
        <v>3</v>
      </c>
      <c r="AD19" s="308">
        <f>AVERAGE(P19:R19)</f>
        <v>6.0716835016835056</v>
      </c>
      <c r="AE19" s="246">
        <f>AVERAGE(S19:T19:U19)</f>
        <v>1.0377777777777779</v>
      </c>
      <c r="AF19" s="246">
        <f>AVERAGE(X19:Z19)</f>
        <v>0.75</v>
      </c>
      <c r="AG19" s="309">
        <f>AVERAGE(AA19:AC19)</f>
        <v>2.5</v>
      </c>
      <c r="AH19" s="241">
        <f>AVERAGE(P19:AC19)</f>
        <v>2.589865319865321</v>
      </c>
      <c r="AI19" s="272"/>
    </row>
    <row r="20" spans="1:358" ht="66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56">
        <v>9.7899999999999991</v>
      </c>
      <c r="Q20" s="50">
        <v>4.5627777777777778</v>
      </c>
      <c r="R20" s="50">
        <v>3.8622727272727388</v>
      </c>
      <c r="S20" s="56">
        <v>3.33</v>
      </c>
      <c r="T20" s="183">
        <v>0.4</v>
      </c>
      <c r="U20" s="183">
        <v>2.5</v>
      </c>
      <c r="V20" s="185"/>
      <c r="W20" s="186"/>
      <c r="X20" s="183">
        <v>2.5</v>
      </c>
      <c r="Y20" s="183">
        <v>1.8</v>
      </c>
      <c r="Z20" s="183">
        <v>1.5</v>
      </c>
      <c r="AA20" s="183">
        <v>2</v>
      </c>
      <c r="AB20" s="183">
        <v>2.7</v>
      </c>
      <c r="AC20" s="298">
        <v>3</v>
      </c>
      <c r="AD20" s="308">
        <f>AVERAGE(P20:R20)</f>
        <v>6.0716835016835056</v>
      </c>
      <c r="AE20" s="246">
        <f>AVERAGE(S20:T20:U20)</f>
        <v>2.0766666666666667</v>
      </c>
      <c r="AF20" s="246">
        <f t="shared" ref="AF20:AF22" si="9">AVERAGE(X20:Z20)</f>
        <v>1.9333333333333333</v>
      </c>
      <c r="AG20" s="309">
        <f t="shared" ref="AG20:AG22" si="10">AVERAGE(AA20:AC20)</f>
        <v>2.5666666666666669</v>
      </c>
      <c r="AH20" s="241">
        <f>AVERAGE(P20:AC20)</f>
        <v>3.1620875420875429</v>
      </c>
      <c r="AI20" s="272"/>
    </row>
    <row r="21" spans="1:358" ht="62.2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56">
        <v>9.7899999999999991</v>
      </c>
      <c r="Q21" s="56">
        <v>4.5627777777777778</v>
      </c>
      <c r="R21" s="56">
        <v>3.8622727272727388</v>
      </c>
      <c r="S21" s="56">
        <v>3.33</v>
      </c>
      <c r="T21" s="189">
        <v>-0.25</v>
      </c>
      <c r="U21" s="189">
        <v>0</v>
      </c>
      <c r="V21" s="185"/>
      <c r="W21" s="186"/>
      <c r="X21" s="189">
        <v>0</v>
      </c>
      <c r="Y21" s="189">
        <v>0</v>
      </c>
      <c r="Z21" s="189">
        <v>0</v>
      </c>
      <c r="AA21" s="189">
        <v>2</v>
      </c>
      <c r="AB21" s="189">
        <v>2</v>
      </c>
      <c r="AC21" s="297">
        <v>2</v>
      </c>
      <c r="AD21" s="308">
        <f>AVERAGE(P21:R21)</f>
        <v>6.0716835016835056</v>
      </c>
      <c r="AE21" s="246">
        <f>AVERAGE(S21:T21:U21)</f>
        <v>1.0266666666666666</v>
      </c>
      <c r="AF21" s="246">
        <f t="shared" si="9"/>
        <v>0</v>
      </c>
      <c r="AG21" s="309">
        <f t="shared" si="10"/>
        <v>2</v>
      </c>
      <c r="AH21" s="241">
        <f>AVERAGE(P21:AC21)</f>
        <v>2.2745875420875432</v>
      </c>
      <c r="AI21" s="272"/>
    </row>
    <row r="22" spans="1:358" ht="66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56">
        <v>9.7899999999999991</v>
      </c>
      <c r="Q22" s="56">
        <v>4.5627777777777778</v>
      </c>
      <c r="R22" s="56">
        <v>3.8622727272727388</v>
      </c>
      <c r="S22" s="56">
        <v>3.33</v>
      </c>
      <c r="T22" s="189">
        <v>3.5</v>
      </c>
      <c r="U22" s="189">
        <v>3.5</v>
      </c>
      <c r="V22" s="185"/>
      <c r="W22" s="186"/>
      <c r="X22" s="189">
        <v>3</v>
      </c>
      <c r="Y22" s="189">
        <v>2.5</v>
      </c>
      <c r="Z22" s="189">
        <v>2.2000000000000002</v>
      </c>
      <c r="AA22" s="189">
        <v>2</v>
      </c>
      <c r="AB22" s="189">
        <v>2.5</v>
      </c>
      <c r="AC22" s="297">
        <v>2.5</v>
      </c>
      <c r="AD22" s="308">
        <f>AVERAGE(P22:R22)</f>
        <v>6.0716835016835056</v>
      </c>
      <c r="AE22" s="246">
        <f>AVERAGE(S22:T22:U22)</f>
        <v>3.4433333333333334</v>
      </c>
      <c r="AF22" s="246">
        <f t="shared" si="9"/>
        <v>2.5666666666666669</v>
      </c>
      <c r="AG22" s="309">
        <f t="shared" si="10"/>
        <v>2.3333333333333335</v>
      </c>
      <c r="AH22" s="241">
        <f>AVERAGE(P22:AC22)</f>
        <v>3.6037542087542103</v>
      </c>
      <c r="AI22" s="272"/>
    </row>
    <row r="23" spans="1:358" ht="26.2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3.33</v>
      </c>
      <c r="T23" s="59">
        <f>AVERAGE(T19:T22)</f>
        <v>0.8583333333333335</v>
      </c>
      <c r="U23" s="59">
        <f t="shared" ref="U23:AC23" si="13">AVERAGE(U19:U22)</f>
        <v>1.5</v>
      </c>
      <c r="V23" s="375"/>
      <c r="W23" s="375"/>
      <c r="X23" s="59">
        <f t="shared" si="13"/>
        <v>1.4375</v>
      </c>
      <c r="Y23" s="59">
        <f t="shared" si="13"/>
        <v>1.2</v>
      </c>
      <c r="Z23" s="59">
        <f t="shared" si="13"/>
        <v>1.3</v>
      </c>
      <c r="AA23" s="59">
        <f t="shared" si="13"/>
        <v>2</v>
      </c>
      <c r="AB23" s="59">
        <f t="shared" si="13"/>
        <v>2.4249999999999998</v>
      </c>
      <c r="AC23" s="234">
        <f t="shared" si="13"/>
        <v>2.625</v>
      </c>
      <c r="AD23" s="310">
        <f>AVERAGE(AD19:AD22)</f>
        <v>6.0716835016835056</v>
      </c>
      <c r="AE23" s="59">
        <f>AVERAGE(AE19:AE22)</f>
        <v>1.8961111111111111</v>
      </c>
      <c r="AF23" s="59">
        <f t="shared" ref="AF23:AG23" si="14">AVERAGE(AF19:AF22)</f>
        <v>1.3125</v>
      </c>
      <c r="AG23" s="311">
        <f t="shared" si="14"/>
        <v>2.35</v>
      </c>
      <c r="AH23" s="242">
        <f>AVERAGE(AH19:AH22)</f>
        <v>2.9075736531986545</v>
      </c>
      <c r="AI23" s="272"/>
    </row>
    <row r="24" spans="1:358" ht="19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3.33</v>
      </c>
      <c r="T24" s="164">
        <v>0</v>
      </c>
      <c r="U24" s="164">
        <v>2</v>
      </c>
      <c r="V24" s="370"/>
      <c r="W24" s="370"/>
      <c r="X24" s="164">
        <v>2</v>
      </c>
      <c r="Y24" s="164">
        <v>1.5</v>
      </c>
      <c r="Z24" s="164">
        <v>1.5</v>
      </c>
      <c r="AA24" s="164">
        <v>2</v>
      </c>
      <c r="AB24" s="164">
        <v>2.5</v>
      </c>
      <c r="AC24" s="229">
        <v>3</v>
      </c>
      <c r="AD24" s="312">
        <f>AVERAGE(P24:R24)</f>
        <v>6.0716835016835056</v>
      </c>
      <c r="AE24" s="164">
        <f>AVERAGE(S24:T24:U24)</f>
        <v>1.7766666666666666</v>
      </c>
      <c r="AF24" s="164">
        <f>AVERAGE(X24:Z24)</f>
        <v>1.6666666666666667</v>
      </c>
      <c r="AG24" s="313">
        <f>AVERAGE(AA24:AC24)</f>
        <v>2.5</v>
      </c>
      <c r="AH24" s="242">
        <f>AVERAGE(P24:AC24)</f>
        <v>3.0037542087542097</v>
      </c>
      <c r="AI24" s="271">
        <v>-1</v>
      </c>
    </row>
    <row r="25" spans="1:358" ht="21.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371"/>
      <c r="W25" s="371"/>
      <c r="X25" s="24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"/>
      <c r="V26" s="372"/>
      <c r="W26" s="372"/>
      <c r="X26" s="39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83"/>
      <c r="B27" s="684"/>
      <c r="C27" s="684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376"/>
      <c r="W27" s="377"/>
      <c r="X27" s="44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56">
        <v>23.61</v>
      </c>
      <c r="Q28" s="56">
        <v>15.2</v>
      </c>
      <c r="R28" s="56">
        <v>17.63000000000001</v>
      </c>
      <c r="S28" s="56">
        <v>15.56</v>
      </c>
      <c r="T28" s="189">
        <v>14.177777777777781</v>
      </c>
      <c r="U28" s="189">
        <v>15.5</v>
      </c>
      <c r="V28" s="185"/>
      <c r="W28" s="186"/>
      <c r="X28" s="189">
        <v>15</v>
      </c>
      <c r="Y28" s="189">
        <v>14.5</v>
      </c>
      <c r="Z28" s="189">
        <v>14.25</v>
      </c>
      <c r="AA28" s="189">
        <v>14</v>
      </c>
      <c r="AB28" s="189">
        <v>13.75</v>
      </c>
      <c r="AC28" s="297">
        <v>13.5</v>
      </c>
      <c r="AD28" s="308">
        <f>AVERAGE(P28:R28)</f>
        <v>18.813333333333336</v>
      </c>
      <c r="AE28" s="246">
        <f>AVERAGE(S28:T28:U28)</f>
        <v>15.07925925925926</v>
      </c>
      <c r="AF28" s="246">
        <f>AVERAGE(X28:Z28)</f>
        <v>14.583333333333334</v>
      </c>
      <c r="AG28" s="309">
        <f>AVERAGE(AA28:AC28)</f>
        <v>13.75</v>
      </c>
      <c r="AH28" s="241">
        <f>AVERAGE(P28:AC28)</f>
        <v>15.556481481481484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56">
        <v>23.61</v>
      </c>
      <c r="Q29" s="56">
        <v>15.2</v>
      </c>
      <c r="R29" s="50">
        <v>17.63000000000001</v>
      </c>
      <c r="S29" s="56">
        <v>15.56</v>
      </c>
      <c r="T29" s="183">
        <v>14.8</v>
      </c>
      <c r="U29" s="183">
        <v>18</v>
      </c>
      <c r="V29" s="185"/>
      <c r="W29" s="186"/>
      <c r="X29" s="183">
        <v>17.7</v>
      </c>
      <c r="Y29" s="183">
        <v>17.5</v>
      </c>
      <c r="Z29" s="183">
        <v>17</v>
      </c>
      <c r="AA29" s="183">
        <v>16</v>
      </c>
      <c r="AB29" s="183">
        <v>15.5</v>
      </c>
      <c r="AC29" s="298">
        <v>14.5</v>
      </c>
      <c r="AD29" s="308">
        <f>AVERAGE(P29:R29)</f>
        <v>18.813333333333336</v>
      </c>
      <c r="AE29" s="246">
        <f>AVERAGE(S29:T29:U29)</f>
        <v>16.12</v>
      </c>
      <c r="AF29" s="246">
        <f t="shared" ref="AF29:AF31" si="17">AVERAGE(X29:Z29)</f>
        <v>17.400000000000002</v>
      </c>
      <c r="AG29" s="309">
        <f t="shared" ref="AG29:AG31" si="18">AVERAGE(AA29:AC29)</f>
        <v>15.333333333333334</v>
      </c>
      <c r="AH29" s="241">
        <f>AVERAGE(P29:AC29)</f>
        <v>16.916666666666668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56">
        <v>23.61</v>
      </c>
      <c r="Q30" s="56">
        <v>15.2</v>
      </c>
      <c r="R30" s="56">
        <v>17.63000000000001</v>
      </c>
      <c r="S30" s="56">
        <v>15.56</v>
      </c>
      <c r="T30" s="189">
        <v>14.5</v>
      </c>
      <c r="U30" s="189">
        <v>14.5</v>
      </c>
      <c r="V30" s="185"/>
      <c r="W30" s="186"/>
      <c r="X30" s="189">
        <v>14.5</v>
      </c>
      <c r="Y30" s="189">
        <v>14.5</v>
      </c>
      <c r="Z30" s="189">
        <v>14.5</v>
      </c>
      <c r="AA30" s="189">
        <v>14.5</v>
      </c>
      <c r="AB30" s="189">
        <v>14.5</v>
      </c>
      <c r="AC30" s="297">
        <v>14.5</v>
      </c>
      <c r="AD30" s="308">
        <f>AVERAGE(P30:R30)</f>
        <v>18.813333333333336</v>
      </c>
      <c r="AE30" s="246">
        <f>AVERAGE(S30:T30:U30)</f>
        <v>14.853333333333333</v>
      </c>
      <c r="AF30" s="246">
        <f t="shared" si="17"/>
        <v>14.5</v>
      </c>
      <c r="AG30" s="309">
        <f t="shared" si="18"/>
        <v>14.5</v>
      </c>
      <c r="AH30" s="241">
        <f>AVERAGE(P30:AC30)</f>
        <v>15.666666666666666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56">
        <v>23.61</v>
      </c>
      <c r="Q31" s="56">
        <v>15.2</v>
      </c>
      <c r="R31" s="56">
        <v>17.63000000000001</v>
      </c>
      <c r="S31" s="56">
        <v>15.56</v>
      </c>
      <c r="T31" s="189">
        <v>14.77</v>
      </c>
      <c r="U31" s="189">
        <v>16.600000000000001</v>
      </c>
      <c r="V31" s="185"/>
      <c r="W31" s="186"/>
      <c r="X31" s="189">
        <v>15.1</v>
      </c>
      <c r="Y31" s="189">
        <v>14</v>
      </c>
      <c r="Z31" s="189">
        <v>13.3</v>
      </c>
      <c r="AA31" s="189">
        <v>13.4</v>
      </c>
      <c r="AB31" s="189">
        <v>13</v>
      </c>
      <c r="AC31" s="297">
        <v>13</v>
      </c>
      <c r="AD31" s="308">
        <f>AVERAGE(P31:R31)</f>
        <v>18.813333333333336</v>
      </c>
      <c r="AE31" s="246">
        <f>AVERAGE(S31:T31:U31)</f>
        <v>15.643333333333333</v>
      </c>
      <c r="AF31" s="246">
        <f t="shared" si="17"/>
        <v>14.133333333333335</v>
      </c>
      <c r="AG31" s="309">
        <f t="shared" si="18"/>
        <v>13.133333333333333</v>
      </c>
      <c r="AH31" s="241">
        <f>AVERAGE(P31:AC31)</f>
        <v>15.430833333333334</v>
      </c>
      <c r="AI31" s="272"/>
    </row>
    <row r="32" spans="1:358" s="62" customFormat="1" ht="19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15.56</v>
      </c>
      <c r="T32" s="59">
        <f>AVERAGE(T28:T31)</f>
        <v>14.561944444444446</v>
      </c>
      <c r="U32" s="59">
        <f t="shared" si="20"/>
        <v>16.149999999999999</v>
      </c>
      <c r="V32" s="369"/>
      <c r="W32" s="369"/>
      <c r="X32" s="59">
        <f t="shared" si="20"/>
        <v>15.575000000000001</v>
      </c>
      <c r="Y32" s="59">
        <f t="shared" si="20"/>
        <v>15.125</v>
      </c>
      <c r="Z32" s="59">
        <f t="shared" si="20"/>
        <v>14.762499999999999</v>
      </c>
      <c r="AA32" s="59">
        <f t="shared" si="20"/>
        <v>14.475</v>
      </c>
      <c r="AB32" s="59">
        <f t="shared" si="20"/>
        <v>14.1875</v>
      </c>
      <c r="AC32" s="234">
        <f t="shared" si="20"/>
        <v>13.875</v>
      </c>
      <c r="AD32" s="310">
        <f>AVERAGE(AD28:AD31)</f>
        <v>18.813333333333336</v>
      </c>
      <c r="AE32" s="59">
        <f t="shared" ref="AE32:AG32" si="21">AVERAGE(AE28:AE31)</f>
        <v>15.423981481481482</v>
      </c>
      <c r="AF32" s="59">
        <f t="shared" si="21"/>
        <v>15.154166666666667</v>
      </c>
      <c r="AG32" s="311">
        <f t="shared" si="21"/>
        <v>14.179166666666667</v>
      </c>
      <c r="AH32" s="242">
        <f>AVERAGE(AH28:AH31)</f>
        <v>15.892662037037038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15.56</v>
      </c>
      <c r="T33" s="164">
        <v>14.6</v>
      </c>
      <c r="U33" s="164">
        <v>16</v>
      </c>
      <c r="V33" s="370"/>
      <c r="W33" s="370"/>
      <c r="X33" s="164">
        <v>15.5</v>
      </c>
      <c r="Y33" s="164">
        <v>14.5</v>
      </c>
      <c r="Z33" s="164">
        <v>14</v>
      </c>
      <c r="AA33" s="164">
        <v>14</v>
      </c>
      <c r="AB33" s="164">
        <v>13.5</v>
      </c>
      <c r="AC33" s="229">
        <v>13</v>
      </c>
      <c r="AD33" s="312">
        <f>AVERAGE(P33:R33)</f>
        <v>18.813333333333336</v>
      </c>
      <c r="AE33" s="164">
        <f>AVERAGE(S33:T33:U33)</f>
        <v>15.386666666666665</v>
      </c>
      <c r="AF33" s="164">
        <f>AVERAGE(X33:Z33)</f>
        <v>14.666666666666666</v>
      </c>
      <c r="AG33" s="313">
        <f>AVERAGE(AA33:AC33)</f>
        <v>13.5</v>
      </c>
      <c r="AH33" s="242">
        <f>AVERAGE(P33:AC33)</f>
        <v>15.591666666666669</v>
      </c>
      <c r="AI33" s="271">
        <v>16</v>
      </c>
    </row>
    <row r="34" spans="1:358" ht="21.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371"/>
      <c r="W34" s="371"/>
      <c r="X34" s="24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"/>
      <c r="V35" s="378"/>
      <c r="W35" s="378"/>
      <c r="X35" s="39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5"/>
      <c r="B36" s="676"/>
      <c r="C36" s="676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373"/>
      <c r="W36" s="374"/>
      <c r="X36" s="4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60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56">
        <v>11.1</v>
      </c>
      <c r="Q37" s="56">
        <v>11.62</v>
      </c>
      <c r="R37" s="52">
        <v>12.238181818181829</v>
      </c>
      <c r="S37" s="52">
        <v>10.5</v>
      </c>
      <c r="T37" s="181">
        <v>9.6788888888888884</v>
      </c>
      <c r="U37" s="181">
        <v>10</v>
      </c>
      <c r="V37" s="185"/>
      <c r="W37" s="186"/>
      <c r="X37" s="181">
        <v>10.199999999999999</v>
      </c>
      <c r="Y37" s="181">
        <v>10</v>
      </c>
      <c r="Z37" s="181">
        <v>10.75</v>
      </c>
      <c r="AA37" s="181">
        <v>11.5</v>
      </c>
      <c r="AB37" s="181">
        <v>12.5</v>
      </c>
      <c r="AC37" s="299">
        <v>13.5</v>
      </c>
      <c r="AD37" s="308">
        <f>AVERAGE(P37:R37)</f>
        <v>11.652727272727276</v>
      </c>
      <c r="AE37" s="246">
        <f>AVERAGE(S37:T37:U37)</f>
        <v>10.059629629629629</v>
      </c>
      <c r="AF37" s="246">
        <f>AVERAGE(X37:Z37)</f>
        <v>10.316666666666666</v>
      </c>
      <c r="AG37" s="309">
        <f>AVERAGE(AA37:AC37)</f>
        <v>12.5</v>
      </c>
      <c r="AH37" s="241">
        <f>AVERAGE(P37:AC37)</f>
        <v>11.132255892255893</v>
      </c>
      <c r="AI37" s="272"/>
    </row>
    <row r="38" spans="1:358" ht="60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56">
        <v>11.1</v>
      </c>
      <c r="Q38" s="56">
        <v>11.62</v>
      </c>
      <c r="R38" s="296">
        <v>12.238181818181829</v>
      </c>
      <c r="S38" s="52">
        <v>10.5</v>
      </c>
      <c r="T38" s="175">
        <v>9.9</v>
      </c>
      <c r="U38" s="175">
        <v>10</v>
      </c>
      <c r="V38" s="185"/>
      <c r="W38" s="186"/>
      <c r="X38" s="175">
        <v>10</v>
      </c>
      <c r="Y38" s="175">
        <v>10</v>
      </c>
      <c r="Z38" s="175">
        <v>11.5</v>
      </c>
      <c r="AA38" s="175">
        <v>12.8</v>
      </c>
      <c r="AB38" s="175">
        <v>13</v>
      </c>
      <c r="AC38" s="300">
        <v>12.8</v>
      </c>
      <c r="AD38" s="308">
        <f>AVERAGE(P38:R38)</f>
        <v>11.652727272727276</v>
      </c>
      <c r="AE38" s="246">
        <f>AVERAGE(S38:T38:U38)</f>
        <v>10.133333333333333</v>
      </c>
      <c r="AF38" s="246">
        <f t="shared" ref="AF38:AF40" si="24">AVERAGE(X38:Z38)</f>
        <v>10.5</v>
      </c>
      <c r="AG38" s="309">
        <f t="shared" ref="AG38:AG40" si="25">AVERAGE(AA38:AC38)</f>
        <v>12.866666666666667</v>
      </c>
      <c r="AH38" s="241">
        <f>AVERAGE(P38:AC38)</f>
        <v>11.288181818181819</v>
      </c>
      <c r="AI38" s="272"/>
    </row>
    <row r="39" spans="1:358" ht="60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56">
        <v>11.1</v>
      </c>
      <c r="Q39" s="56">
        <v>11.62</v>
      </c>
      <c r="R39" s="56">
        <v>12.238181818181829</v>
      </c>
      <c r="S39" s="52">
        <v>10.5</v>
      </c>
      <c r="T39" s="181">
        <v>10.5</v>
      </c>
      <c r="U39" s="181">
        <v>10.5</v>
      </c>
      <c r="V39" s="185"/>
      <c r="W39" s="186"/>
      <c r="X39" s="181">
        <v>11</v>
      </c>
      <c r="Y39" s="181">
        <v>11</v>
      </c>
      <c r="Z39" s="181">
        <v>11.5</v>
      </c>
      <c r="AA39" s="181">
        <v>11</v>
      </c>
      <c r="AB39" s="181">
        <v>11.5</v>
      </c>
      <c r="AC39" s="299">
        <v>11.5</v>
      </c>
      <c r="AD39" s="308">
        <f>AVERAGE(P39:R39)</f>
        <v>11.652727272727276</v>
      </c>
      <c r="AE39" s="246">
        <f>AVERAGE(S39:T39:U39)</f>
        <v>10.5</v>
      </c>
      <c r="AF39" s="246">
        <f t="shared" si="24"/>
        <v>11.166666666666666</v>
      </c>
      <c r="AG39" s="309">
        <f t="shared" si="25"/>
        <v>11.333333333333334</v>
      </c>
      <c r="AH39" s="241">
        <f>AVERAGE(P39:AC39)</f>
        <v>11.163181818181819</v>
      </c>
      <c r="AI39" s="272"/>
    </row>
    <row r="40" spans="1:358" ht="60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56">
        <v>11.1</v>
      </c>
      <c r="Q40" s="56">
        <v>11.62</v>
      </c>
      <c r="R40" s="52">
        <v>12.238181818181829</v>
      </c>
      <c r="S40" s="52">
        <v>10.5</v>
      </c>
      <c r="T40" s="181">
        <v>9.74</v>
      </c>
      <c r="U40" s="181">
        <v>11.15</v>
      </c>
      <c r="V40" s="185"/>
      <c r="W40" s="186"/>
      <c r="X40" s="181">
        <v>10.84</v>
      </c>
      <c r="Y40" s="181">
        <v>10.7</v>
      </c>
      <c r="Z40" s="181">
        <v>10.299999999999999</v>
      </c>
      <c r="AA40" s="181">
        <v>12.7</v>
      </c>
      <c r="AB40" s="181">
        <v>14.4</v>
      </c>
      <c r="AC40" s="299">
        <v>14.6</v>
      </c>
      <c r="AD40" s="308">
        <f>AVERAGE(P40:R40)</f>
        <v>11.652727272727276</v>
      </c>
      <c r="AE40" s="246">
        <f>AVERAGE(S40:T40:U40)</f>
        <v>10.463333333333333</v>
      </c>
      <c r="AF40" s="246">
        <f t="shared" si="24"/>
        <v>10.613333333333332</v>
      </c>
      <c r="AG40" s="309">
        <f t="shared" si="25"/>
        <v>13.9</v>
      </c>
      <c r="AH40" s="241">
        <f>AVERAGE(P40:AC40)</f>
        <v>11.657348484848486</v>
      </c>
      <c r="AI40" s="272"/>
    </row>
    <row r="41" spans="1:358" s="62" customFormat="1" ht="19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10.5</v>
      </c>
      <c r="T41" s="59">
        <f>AVERAGE(T37:T40)</f>
        <v>9.9547222222222231</v>
      </c>
      <c r="U41" s="59">
        <f t="shared" si="27"/>
        <v>10.4125</v>
      </c>
      <c r="V41" s="379"/>
      <c r="W41" s="379"/>
      <c r="X41" s="59">
        <f t="shared" si="27"/>
        <v>10.51</v>
      </c>
      <c r="Y41" s="59">
        <f t="shared" si="27"/>
        <v>10.425000000000001</v>
      </c>
      <c r="Z41" s="59">
        <f t="shared" si="27"/>
        <v>11.012499999999999</v>
      </c>
      <c r="AA41" s="59">
        <f t="shared" si="27"/>
        <v>12</v>
      </c>
      <c r="AB41" s="59">
        <f t="shared" si="27"/>
        <v>12.85</v>
      </c>
      <c r="AC41" s="234">
        <f t="shared" si="27"/>
        <v>13.1</v>
      </c>
      <c r="AD41" s="310">
        <f t="shared" si="27"/>
        <v>11.652727272727276</v>
      </c>
      <c r="AE41" s="59">
        <f t="shared" si="27"/>
        <v>10.289074074074074</v>
      </c>
      <c r="AF41" s="59">
        <f t="shared" si="27"/>
        <v>10.649166666666666</v>
      </c>
      <c r="AG41" s="311">
        <f t="shared" si="27"/>
        <v>12.65</v>
      </c>
      <c r="AH41" s="242">
        <f>AVERAGE(AH37:AH40)</f>
        <v>11.310242003367003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20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10.5</v>
      </c>
      <c r="T42" s="164">
        <f>T41</f>
        <v>9.9547222222222231</v>
      </c>
      <c r="U42" s="164">
        <v>10</v>
      </c>
      <c r="V42" s="370"/>
      <c r="W42" s="370"/>
      <c r="X42" s="164">
        <v>9.5</v>
      </c>
      <c r="Y42" s="164">
        <v>9.5</v>
      </c>
      <c r="Z42" s="164">
        <v>11</v>
      </c>
      <c r="AA42" s="164">
        <v>13</v>
      </c>
      <c r="AB42" s="164">
        <v>14</v>
      </c>
      <c r="AC42" s="164">
        <v>15</v>
      </c>
      <c r="AD42" s="312">
        <f>AVERAGE(P42:R42)</f>
        <v>11.652727272727276</v>
      </c>
      <c r="AE42" s="164">
        <f>AVERAGE(S42:T42:U42)</f>
        <v>10.151574074074075</v>
      </c>
      <c r="AF42" s="164">
        <f>AVERAGE(X42:Z42)</f>
        <v>10</v>
      </c>
      <c r="AG42" s="313">
        <f>AVERAGE(AA42:AC42)</f>
        <v>14</v>
      </c>
      <c r="AH42" s="242">
        <f>AVERAGE(P42:AC42)</f>
        <v>11.451075336700336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21.5" hidden="1" thickBo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T43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1.4499999999999993</v>
      </c>
      <c r="T43" s="157">
        <f t="shared" si="29"/>
        <v>-7.277777777777672E-2</v>
      </c>
      <c r="U43" s="157">
        <f t="shared" ref="U43:AH43" si="30">U41-U52</f>
        <v>-7.7499999999998792E-2</v>
      </c>
      <c r="V43" s="380"/>
      <c r="W43" s="380"/>
      <c r="X43" s="157">
        <f t="shared" si="30"/>
        <v>0.33499999999999908</v>
      </c>
      <c r="Y43" s="157">
        <f t="shared" si="30"/>
        <v>0.48750000000000071</v>
      </c>
      <c r="Z43" s="157">
        <f t="shared" si="30"/>
        <v>0.67499999999999893</v>
      </c>
      <c r="AA43" s="157">
        <f t="shared" si="30"/>
        <v>0.72499999999999964</v>
      </c>
      <c r="AB43" s="157">
        <f t="shared" si="30"/>
        <v>0.50750000000000028</v>
      </c>
      <c r="AC43" s="236">
        <f t="shared" si="30"/>
        <v>0.49500000000000099</v>
      </c>
      <c r="AD43" s="317">
        <f t="shared" si="30"/>
        <v>2.0274242424242441</v>
      </c>
      <c r="AE43" s="157">
        <f t="shared" si="30"/>
        <v>0.43324074074074126</v>
      </c>
      <c r="AF43" s="157">
        <f t="shared" si="30"/>
        <v>0.49916666666666742</v>
      </c>
      <c r="AG43" s="318">
        <f t="shared" si="30"/>
        <v>0.57583333333333364</v>
      </c>
      <c r="AH43" s="242">
        <f t="shared" si="30"/>
        <v>0.88391624579124439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ref="N44:T44" si="31">N42-N53</f>
        <v>0.19999999999999929</v>
      </c>
      <c r="O44" s="164">
        <f t="shared" si="31"/>
        <v>1.4499999999999993</v>
      </c>
      <c r="P44" s="164">
        <f t="shared" si="31"/>
        <v>1.7599999999999998</v>
      </c>
      <c r="Q44" s="164">
        <f t="shared" si="31"/>
        <v>2.4599999999999991</v>
      </c>
      <c r="R44" s="164">
        <f t="shared" si="31"/>
        <v>1.8622727272727317</v>
      </c>
      <c r="S44" s="164">
        <f t="shared" si="31"/>
        <v>1.4499999999999993</v>
      </c>
      <c r="T44" s="164">
        <f t="shared" si="31"/>
        <v>-4.5277777777776862E-2</v>
      </c>
      <c r="U44" s="164">
        <f t="shared" ref="U44:AC44" si="32">U42-U53</f>
        <v>0</v>
      </c>
      <c r="V44" s="370"/>
      <c r="W44" s="370"/>
      <c r="X44" s="164">
        <f t="shared" si="32"/>
        <v>0</v>
      </c>
      <c r="Y44" s="164">
        <f t="shared" si="32"/>
        <v>0</v>
      </c>
      <c r="Z44" s="164">
        <f t="shared" si="32"/>
        <v>0.5</v>
      </c>
      <c r="AA44" s="164">
        <f t="shared" si="32"/>
        <v>1</v>
      </c>
      <c r="AB44" s="164">
        <f t="shared" si="32"/>
        <v>1</v>
      </c>
      <c r="AC44" s="229">
        <f t="shared" si="32"/>
        <v>1</v>
      </c>
      <c r="AD44" s="312">
        <f>AVERAGE(P44:R44)</f>
        <v>2.0274242424242437</v>
      </c>
      <c r="AE44" s="164">
        <f>AE42-AE53</f>
        <v>0.4682407407407414</v>
      </c>
      <c r="AF44" s="164">
        <f>AF42-AF53</f>
        <v>0.16666666666666607</v>
      </c>
      <c r="AG44" s="313">
        <f>AG42-AG53</f>
        <v>1</v>
      </c>
      <c r="AH44" s="243">
        <f>AH42-AH53</f>
        <v>0.91558291245791068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371"/>
      <c r="W45" s="371"/>
      <c r="X45" s="24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0.91558291245791068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"/>
      <c r="V46" s="381"/>
      <c r="W46" s="381"/>
      <c r="X46" s="39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75"/>
      <c r="B47" s="676"/>
      <c r="C47" s="676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382"/>
      <c r="W47" s="383"/>
      <c r="X47" s="44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56">
        <v>9.34</v>
      </c>
      <c r="Q48" s="56">
        <v>9.16</v>
      </c>
      <c r="R48" s="56">
        <v>10.375909090909097</v>
      </c>
      <c r="S48" s="56">
        <v>9.0500000000000007</v>
      </c>
      <c r="T48" s="189">
        <v>9.67</v>
      </c>
      <c r="U48" s="189">
        <v>10.1</v>
      </c>
      <c r="V48" s="185"/>
      <c r="W48" s="186"/>
      <c r="X48" s="189">
        <v>10</v>
      </c>
      <c r="Y48" s="189">
        <v>9.75</v>
      </c>
      <c r="Z48" s="189">
        <v>10.25</v>
      </c>
      <c r="AA48" s="189">
        <v>10.5</v>
      </c>
      <c r="AB48" s="189">
        <v>11.5</v>
      </c>
      <c r="AC48" s="297">
        <v>12.5</v>
      </c>
      <c r="AD48" s="308">
        <f>AVERAGE(P48:R48)</f>
        <v>9.6253030303030318</v>
      </c>
      <c r="AE48" s="246">
        <f>AVERAGE(S48:T48:U48)</f>
        <v>9.6066666666666674</v>
      </c>
      <c r="AF48" s="246">
        <f>AVERAGE(X48:Z48)</f>
        <v>10</v>
      </c>
      <c r="AG48" s="309">
        <f>AVERAGE(AA48:AC48)</f>
        <v>11.5</v>
      </c>
      <c r="AH48" s="241">
        <f>AVERAGE(P48:AC48)</f>
        <v>10.182992424242427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56">
        <v>9.34</v>
      </c>
      <c r="Q49" s="56">
        <v>9.16</v>
      </c>
      <c r="R49" s="50">
        <v>10.375909090909097</v>
      </c>
      <c r="S49" s="56">
        <v>9.0500000000000007</v>
      </c>
      <c r="T49" s="183">
        <v>9.9</v>
      </c>
      <c r="U49" s="183">
        <v>9.6999999999999993</v>
      </c>
      <c r="V49" s="185"/>
      <c r="W49" s="186"/>
      <c r="X49" s="183">
        <v>9.5</v>
      </c>
      <c r="Y49" s="183">
        <v>9.5</v>
      </c>
      <c r="Z49" s="183">
        <v>11</v>
      </c>
      <c r="AA49" s="183">
        <v>12</v>
      </c>
      <c r="AB49" s="183">
        <v>12.5</v>
      </c>
      <c r="AC49" s="298">
        <v>12.3</v>
      </c>
      <c r="AD49" s="308">
        <f>AVERAGE(P49:R49)</f>
        <v>9.6253030303030318</v>
      </c>
      <c r="AE49" s="246">
        <f>AVERAGE(S49:T49:U49)</f>
        <v>9.5500000000000007</v>
      </c>
      <c r="AF49" s="246">
        <f t="shared" ref="AF49:AF51" si="33">AVERAGE(X49:Z49)</f>
        <v>10</v>
      </c>
      <c r="AG49" s="309">
        <f t="shared" ref="AG49:AG51" si="34">AVERAGE(AA49:AC49)</f>
        <v>12.266666666666666</v>
      </c>
      <c r="AH49" s="241">
        <f>AVERAGE(P49:AC49)</f>
        <v>10.360492424242425</v>
      </c>
      <c r="AI49" s="267"/>
    </row>
    <row r="50" spans="1:358" ht="50.25" hidden="1" customHeight="1" outlineLevel="1">
      <c r="A50" s="47" t="s">
        <v>25</v>
      </c>
      <c r="B50" s="78">
        <f t="shared" ref="B50" si="35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56">
        <v>9.34</v>
      </c>
      <c r="Q50" s="56">
        <v>9.16</v>
      </c>
      <c r="R50" s="56">
        <v>10.375909090909097</v>
      </c>
      <c r="S50" s="56">
        <v>9.0500000000000007</v>
      </c>
      <c r="T50" s="189">
        <v>10.5</v>
      </c>
      <c r="U50" s="189">
        <v>10.5</v>
      </c>
      <c r="V50" s="185"/>
      <c r="W50" s="186"/>
      <c r="X50" s="189">
        <v>10.5</v>
      </c>
      <c r="Y50" s="189">
        <v>10.5</v>
      </c>
      <c r="Z50" s="189">
        <v>11</v>
      </c>
      <c r="AA50" s="189">
        <v>11</v>
      </c>
      <c r="AB50" s="189">
        <v>11.5</v>
      </c>
      <c r="AC50" s="297">
        <v>11.5</v>
      </c>
      <c r="AD50" s="308">
        <f>AVERAGE(P50:R50)</f>
        <v>9.6253030303030318</v>
      </c>
      <c r="AE50" s="246">
        <f>AVERAGE(S50:T50:U50)</f>
        <v>10.016666666666667</v>
      </c>
      <c r="AF50" s="246">
        <f t="shared" si="33"/>
        <v>10.666666666666666</v>
      </c>
      <c r="AG50" s="309">
        <f t="shared" si="34"/>
        <v>11.333333333333334</v>
      </c>
      <c r="AH50" s="241">
        <f>AVERAGE(P50:AC50)</f>
        <v>10.410492424242426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56">
        <v>9.34</v>
      </c>
      <c r="Q51" s="56">
        <v>9.16</v>
      </c>
      <c r="R51" s="50">
        <v>10.375909090909097</v>
      </c>
      <c r="S51" s="56">
        <v>9.0500000000000007</v>
      </c>
      <c r="T51" s="183">
        <v>10.039999999999999</v>
      </c>
      <c r="U51" s="189">
        <v>11.66</v>
      </c>
      <c r="V51" s="224"/>
      <c r="W51" s="186"/>
      <c r="X51" s="189">
        <v>10.7</v>
      </c>
      <c r="Y51" s="183">
        <v>10</v>
      </c>
      <c r="Z51" s="183">
        <v>9.1</v>
      </c>
      <c r="AA51" s="183">
        <v>11.6</v>
      </c>
      <c r="AB51" s="183">
        <v>13.87</v>
      </c>
      <c r="AC51" s="298">
        <v>14.12</v>
      </c>
      <c r="AD51" s="308">
        <f>AVERAGE(P51:R51)</f>
        <v>9.6253030303030318</v>
      </c>
      <c r="AE51" s="246">
        <f>AVERAGE(S51:T51:U51)</f>
        <v>10.25</v>
      </c>
      <c r="AF51" s="246">
        <f t="shared" si="33"/>
        <v>9.9333333333333318</v>
      </c>
      <c r="AG51" s="309">
        <f t="shared" si="34"/>
        <v>13.196666666666665</v>
      </c>
      <c r="AH51" s="241">
        <f>AVERAGE(P51:AC51)</f>
        <v>10.751325757575758</v>
      </c>
      <c r="AI51" s="267"/>
    </row>
    <row r="52" spans="1:358" s="62" customFormat="1" ht="19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6">AVERAGE(J48:J51)</f>
        <v>#DIV/0!</v>
      </c>
      <c r="K52" s="157">
        <f t="shared" si="36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7">AVERAGE(R48:R51)</f>
        <v>10.375909090909097</v>
      </c>
      <c r="S52" s="59">
        <f t="shared" si="37"/>
        <v>9.0500000000000007</v>
      </c>
      <c r="T52" s="59">
        <f>AVERAGE(T48:T51)</f>
        <v>10.0275</v>
      </c>
      <c r="U52" s="59">
        <f t="shared" si="37"/>
        <v>10.489999999999998</v>
      </c>
      <c r="V52" s="379"/>
      <c r="W52" s="379"/>
      <c r="X52" s="59">
        <f t="shared" si="37"/>
        <v>10.175000000000001</v>
      </c>
      <c r="Y52" s="59">
        <f t="shared" si="37"/>
        <v>9.9375</v>
      </c>
      <c r="Z52" s="59">
        <f t="shared" si="37"/>
        <v>10.3375</v>
      </c>
      <c r="AA52" s="59">
        <f t="shared" si="37"/>
        <v>11.275</v>
      </c>
      <c r="AB52" s="59">
        <f t="shared" si="37"/>
        <v>12.342499999999999</v>
      </c>
      <c r="AC52" s="234">
        <f t="shared" si="37"/>
        <v>12.604999999999999</v>
      </c>
      <c r="AD52" s="310">
        <f t="shared" si="37"/>
        <v>9.6253030303030318</v>
      </c>
      <c r="AE52" s="59">
        <f t="shared" si="37"/>
        <v>9.855833333333333</v>
      </c>
      <c r="AF52" s="59">
        <f t="shared" si="37"/>
        <v>10.149999999999999</v>
      </c>
      <c r="AG52" s="311">
        <f t="shared" si="37"/>
        <v>12.074166666666667</v>
      </c>
      <c r="AH52" s="242">
        <f>AVERAGE(AH48:AH51)</f>
        <v>10.426325757575759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8">O52</f>
        <v>14.15</v>
      </c>
      <c r="P53" s="164">
        <f>P52</f>
        <v>9.34</v>
      </c>
      <c r="Q53" s="164">
        <f t="shared" ref="Q53" si="39">Q52</f>
        <v>9.16</v>
      </c>
      <c r="R53" s="164">
        <f>R52</f>
        <v>10.375909090909097</v>
      </c>
      <c r="S53" s="164">
        <f>S52</f>
        <v>9.0500000000000007</v>
      </c>
      <c r="T53" s="164">
        <v>10</v>
      </c>
      <c r="U53" s="164">
        <v>10</v>
      </c>
      <c r="V53" s="370"/>
      <c r="W53" s="370"/>
      <c r="X53" s="164">
        <v>9.5</v>
      </c>
      <c r="Y53" s="164">
        <v>9.5</v>
      </c>
      <c r="Z53" s="164">
        <v>10.5</v>
      </c>
      <c r="AA53" s="164">
        <v>12</v>
      </c>
      <c r="AB53" s="164">
        <v>13</v>
      </c>
      <c r="AC53" s="164">
        <v>14</v>
      </c>
      <c r="AD53" s="312">
        <f>AVERAGE(P53:R53)</f>
        <v>9.6253030303030318</v>
      </c>
      <c r="AE53" s="164">
        <f>AVERAGE(S53:T53:U53)</f>
        <v>9.6833333333333336</v>
      </c>
      <c r="AF53" s="164">
        <f>AVERAGE(X53:Z53)</f>
        <v>9.8333333333333339</v>
      </c>
      <c r="AG53" s="313">
        <f>AVERAGE(AA53:AC53)</f>
        <v>13</v>
      </c>
      <c r="AH53" s="242">
        <f>AVERAGE(P53:AC53)</f>
        <v>10.535492424242426</v>
      </c>
      <c r="AI53" s="275">
        <v>12.8</v>
      </c>
    </row>
    <row r="54" spans="1:358" ht="21.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371"/>
      <c r="W54" s="371"/>
      <c r="X54" s="24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idden="1" outlineLevel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"/>
      <c r="V55" s="372"/>
      <c r="W55" s="372"/>
      <c r="X55" s="39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.5" hidden="1" outlineLevel="1">
      <c r="A56" s="675"/>
      <c r="B56" s="676"/>
      <c r="C56" s="676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376"/>
      <c r="W56" s="377"/>
      <c r="X56" s="44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4.75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50">
        <v>-3.13</v>
      </c>
      <c r="Q57" s="50">
        <v>-5.08</v>
      </c>
      <c r="R57" s="50">
        <v>-7.3010164638511021</v>
      </c>
      <c r="S57" s="50">
        <v>-8.77</v>
      </c>
      <c r="T57" s="189">
        <v>-8.5933420822397171</v>
      </c>
      <c r="U57" s="189">
        <v>-8</v>
      </c>
      <c r="V57" s="185"/>
      <c r="W57" s="186"/>
      <c r="X57" s="189">
        <v>-8.1999999999999993</v>
      </c>
      <c r="Y57" s="189">
        <v>-8.1999999999999993</v>
      </c>
      <c r="Z57" s="189">
        <v>-8.3000000000000007</v>
      </c>
      <c r="AA57" s="189">
        <v>-8.1</v>
      </c>
      <c r="AB57" s="189">
        <v>-8</v>
      </c>
      <c r="AC57" s="297">
        <v>-7.9</v>
      </c>
      <c r="AD57" s="308">
        <f>AVERAGE(P57:R57)</f>
        <v>-5.1703388212837007</v>
      </c>
      <c r="AE57" s="246">
        <f>AVERAGE(S57:T57:U57)</f>
        <v>-8.4544473607465722</v>
      </c>
      <c r="AF57" s="246">
        <f>AVERAGE(X57:Z57)</f>
        <v>-8.2333333333333325</v>
      </c>
      <c r="AG57" s="309">
        <f>AVERAGE(AA57:AC57)</f>
        <v>-8</v>
      </c>
      <c r="AH57" s="241">
        <f>AVERAGE(P57:AC57)</f>
        <v>-7.464529878840902</v>
      </c>
      <c r="AI57" s="267"/>
    </row>
    <row r="58" spans="1:358" ht="54.75" hidden="1" customHeight="1" outlineLevel="1">
      <c r="A58" s="47" t="s">
        <v>24</v>
      </c>
      <c r="B58" s="78">
        <f t="shared" ref="B58" si="40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50">
        <v>-3.13</v>
      </c>
      <c r="Q58" s="50">
        <v>-5.08</v>
      </c>
      <c r="R58" s="56">
        <v>-7.3010164638511021</v>
      </c>
      <c r="S58" s="56">
        <v>-8.77</v>
      </c>
      <c r="T58" s="189">
        <v>-8.5</v>
      </c>
      <c r="U58" s="189">
        <v>-7.5</v>
      </c>
      <c r="V58" s="185"/>
      <c r="W58" s="186"/>
      <c r="X58" s="189">
        <v>-7.5</v>
      </c>
      <c r="Y58" s="189">
        <v>-7.7</v>
      </c>
      <c r="Z58" s="189">
        <v>-7.3</v>
      </c>
      <c r="AA58" s="189">
        <v>-7.1</v>
      </c>
      <c r="AB58" s="189">
        <v>-6.9</v>
      </c>
      <c r="AC58" s="297">
        <v>-6.7</v>
      </c>
      <c r="AD58" s="308">
        <f>AVERAGE(P58:R58)</f>
        <v>-5.1703388212837007</v>
      </c>
      <c r="AE58" s="246">
        <f>AVERAGE(S58:T58:U58)</f>
        <v>-8.2566666666666659</v>
      </c>
      <c r="AF58" s="246">
        <f t="shared" ref="AF58:AF60" si="41">AVERAGE(X58:Z58)</f>
        <v>-7.5</v>
      </c>
      <c r="AG58" s="309">
        <f t="shared" ref="AG58:AG60" si="42">AVERAGE(AA58:AC58)</f>
        <v>-6.8999999999999995</v>
      </c>
      <c r="AH58" s="241">
        <f>AVERAGE(P58:AC58)</f>
        <v>-6.9567513719875924</v>
      </c>
      <c r="AI58" s="267"/>
    </row>
    <row r="59" spans="1:358" ht="54.75" hidden="1" customHeight="1" outlineLevel="1">
      <c r="A59" s="47" t="s">
        <v>25</v>
      </c>
      <c r="B59" s="78">
        <f t="shared" ref="B59" si="43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50">
        <v>-3.13</v>
      </c>
      <c r="Q59" s="50">
        <v>-5.08</v>
      </c>
      <c r="R59" s="50">
        <v>-7.3010164638511021</v>
      </c>
      <c r="S59" s="50">
        <v>-8.77</v>
      </c>
      <c r="T59" s="189">
        <v>-8.5</v>
      </c>
      <c r="U59" s="189">
        <v>-8.5</v>
      </c>
      <c r="V59" s="185"/>
      <c r="W59" s="186"/>
      <c r="X59" s="189">
        <v>-8.5</v>
      </c>
      <c r="Y59" s="189">
        <v>-8</v>
      </c>
      <c r="Z59" s="189">
        <v>-7.5</v>
      </c>
      <c r="AA59" s="189">
        <v>-7.5</v>
      </c>
      <c r="AB59" s="189">
        <v>-7.5</v>
      </c>
      <c r="AC59" s="297">
        <v>-7.5</v>
      </c>
      <c r="AD59" s="308">
        <f>AVERAGE(P59:R59)</f>
        <v>-5.1703388212837007</v>
      </c>
      <c r="AE59" s="246">
        <f>AVERAGE(S59:T59:U59)</f>
        <v>-8.59</v>
      </c>
      <c r="AF59" s="246">
        <f t="shared" si="41"/>
        <v>-8</v>
      </c>
      <c r="AG59" s="309">
        <f t="shared" si="42"/>
        <v>-7.5</v>
      </c>
      <c r="AH59" s="241">
        <f>AVERAGE(P59:AC59)</f>
        <v>-7.3150847053209249</v>
      </c>
      <c r="AI59" s="267"/>
    </row>
    <row r="60" spans="1:358" ht="54.75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50">
        <v>-3.13</v>
      </c>
      <c r="Q60" s="50">
        <v>-5.08</v>
      </c>
      <c r="R60" s="56">
        <v>-7.3010164638511021</v>
      </c>
      <c r="S60" s="56">
        <v>-8.77</v>
      </c>
      <c r="T60" s="189">
        <v>-8.43</v>
      </c>
      <c r="U60" s="189">
        <v>-8.3000000000000007</v>
      </c>
      <c r="V60" s="185"/>
      <c r="W60" s="186"/>
      <c r="X60" s="189">
        <v>-8.43</v>
      </c>
      <c r="Y60" s="189">
        <v>-8.56</v>
      </c>
      <c r="Z60" s="189">
        <v>-9</v>
      </c>
      <c r="AA60" s="189">
        <v>-8.6999999999999993</v>
      </c>
      <c r="AB60" s="189">
        <v>-8.23</v>
      </c>
      <c r="AC60" s="297">
        <v>-8</v>
      </c>
      <c r="AD60" s="308">
        <f>AVERAGE(P60:R60)</f>
        <v>-5.1703388212837007</v>
      </c>
      <c r="AE60" s="246">
        <f>AVERAGE(S60:T60:U60)</f>
        <v>-8.5</v>
      </c>
      <c r="AF60" s="246">
        <f t="shared" si="41"/>
        <v>-8.663333333333334</v>
      </c>
      <c r="AG60" s="309">
        <f t="shared" si="42"/>
        <v>-8.31</v>
      </c>
      <c r="AH60" s="241">
        <f>AVERAGE(P60:AC60)</f>
        <v>-7.660918038654259</v>
      </c>
      <c r="AI60" s="267"/>
    </row>
    <row r="61" spans="1:358" s="62" customFormat="1" ht="19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4">AVERAGE(K57:K60)</f>
        <v>-8.1550000000000011</v>
      </c>
      <c r="L61" s="59">
        <f t="shared" si="44"/>
        <v>-8.1550000000000011</v>
      </c>
      <c r="M61" s="59">
        <f t="shared" si="44"/>
        <v>-8.33</v>
      </c>
      <c r="N61" s="59">
        <f t="shared" si="44"/>
        <v>-6.9175000000000004</v>
      </c>
      <c r="O61" s="59">
        <f t="shared" si="44"/>
        <v>-6.7333333333333334</v>
      </c>
      <c r="P61" s="59">
        <f>AVERAGE(P57:P60)</f>
        <v>-3.13</v>
      </c>
      <c r="Q61" s="59">
        <f t="shared" si="44"/>
        <v>-5.08</v>
      </c>
      <c r="R61" s="59">
        <f t="shared" si="44"/>
        <v>-7.3010164638511021</v>
      </c>
      <c r="S61" s="59">
        <f t="shared" si="44"/>
        <v>-8.77</v>
      </c>
      <c r="T61" s="59">
        <f>AVERAGE(T57:T60)</f>
        <v>-8.5058355205599288</v>
      </c>
      <c r="U61" s="59">
        <f t="shared" si="44"/>
        <v>-8.0749999999999993</v>
      </c>
      <c r="V61" s="369"/>
      <c r="W61" s="369"/>
      <c r="X61" s="59">
        <f t="shared" si="44"/>
        <v>-8.1574999999999989</v>
      </c>
      <c r="Y61" s="59">
        <f t="shared" si="44"/>
        <v>-8.1150000000000002</v>
      </c>
      <c r="Z61" s="59">
        <f t="shared" si="44"/>
        <v>-8.0250000000000004</v>
      </c>
      <c r="AA61" s="59">
        <f t="shared" si="44"/>
        <v>-7.85</v>
      </c>
      <c r="AB61" s="59">
        <f t="shared" si="44"/>
        <v>-7.6574999999999998</v>
      </c>
      <c r="AC61" s="234">
        <f t="shared" si="44"/>
        <v>-7.5250000000000004</v>
      </c>
      <c r="AD61" s="310">
        <f t="shared" si="44"/>
        <v>-5.1703388212837007</v>
      </c>
      <c r="AE61" s="59">
        <f t="shared" si="44"/>
        <v>-8.4502785068533086</v>
      </c>
      <c r="AF61" s="59">
        <f t="shared" si="44"/>
        <v>-8.0991666666666671</v>
      </c>
      <c r="AG61" s="311">
        <f t="shared" si="44"/>
        <v>-7.6775000000000002</v>
      </c>
      <c r="AH61" s="242">
        <f>AVERAGE(AH57:AH60)</f>
        <v>-7.3493209987009198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5">Q61</f>
        <v>-5.08</v>
      </c>
      <c r="R62" s="164">
        <f>R61</f>
        <v>-7.3010164638511021</v>
      </c>
      <c r="S62" s="164">
        <f>S61</f>
        <v>-8.77</v>
      </c>
      <c r="T62" s="164">
        <v>-8.5</v>
      </c>
      <c r="U62" s="164">
        <v>-8</v>
      </c>
      <c r="V62" s="370"/>
      <c r="W62" s="370"/>
      <c r="X62" s="164">
        <v>-8.1999999999999993</v>
      </c>
      <c r="Y62" s="164">
        <v>-8.1</v>
      </c>
      <c r="Z62" s="164">
        <v>-8</v>
      </c>
      <c r="AA62" s="164">
        <v>-7.9</v>
      </c>
      <c r="AB62" s="164">
        <v>-7.65</v>
      </c>
      <c r="AC62" s="229">
        <v>-7.5</v>
      </c>
      <c r="AD62" s="312">
        <f>AVERAGE(P62:R62)</f>
        <v>-5.1703388212837007</v>
      </c>
      <c r="AE62" s="164">
        <f>AVERAGE(S62:T62:U62)</f>
        <v>-8.4233333333333338</v>
      </c>
      <c r="AF62" s="164">
        <f>AVERAGE(X62:Z62)</f>
        <v>-8.1</v>
      </c>
      <c r="AG62" s="313">
        <f>AVERAGE(AA62:AC62)</f>
        <v>-7.6833333333333336</v>
      </c>
      <c r="AH62" s="242">
        <f>AVERAGE(P62:AC62)</f>
        <v>-7.3442513719875935</v>
      </c>
      <c r="AI62" s="275">
        <v>-6.5</v>
      </c>
    </row>
    <row r="63" spans="1:358" ht="21.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371"/>
      <c r="W63" s="371"/>
      <c r="X63" s="24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idden="1" outlineLevel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"/>
      <c r="V64" s="384"/>
      <c r="W64" s="384"/>
      <c r="X64" s="39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75"/>
      <c r="B65" s="676"/>
      <c r="C65" s="676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373"/>
      <c r="W65" s="374"/>
      <c r="X65" s="4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2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56">
        <v>3.5</v>
      </c>
      <c r="Q66" s="56">
        <v>3.18</v>
      </c>
      <c r="R66" s="56">
        <v>3.3497727272727289</v>
      </c>
      <c r="S66" s="56">
        <v>2.4500000000000002</v>
      </c>
      <c r="T66" s="189">
        <v>1.9888888888888943</v>
      </c>
      <c r="U66" s="189">
        <v>3.0199999999999947</v>
      </c>
      <c r="V66" s="255"/>
      <c r="W66" s="255"/>
      <c r="X66" s="189">
        <v>3.3129978354978165</v>
      </c>
      <c r="Y66" s="189">
        <v>3.4653063241106694</v>
      </c>
      <c r="Z66" s="189">
        <v>3.4618181818181797</v>
      </c>
      <c r="AA66" s="189">
        <v>3.4546645021645035</v>
      </c>
      <c r="AB66" s="189">
        <v>3.4190909090909103</v>
      </c>
      <c r="AC66" s="297">
        <v>3.4090909090909123</v>
      </c>
      <c r="AD66" s="308">
        <f>AVERAGE(P66:R66)</f>
        <v>3.3432575757575762</v>
      </c>
      <c r="AE66" s="246">
        <f>AVERAGE(S66:T66:U66)</f>
        <v>2.4862962962962967</v>
      </c>
      <c r="AF66" s="246">
        <f>AVERAGE(X66:Z66)</f>
        <v>3.4133741138088887</v>
      </c>
      <c r="AG66" s="309">
        <f>AVERAGE(AA66:AC66)</f>
        <v>3.4276154401154422</v>
      </c>
      <c r="AH66" s="241">
        <f>AVERAGE(P66:AC66)</f>
        <v>3.167635856494551</v>
      </c>
      <c r="AI66" s="267"/>
    </row>
    <row r="67" spans="1:358" ht="42.75" hidden="1" customHeight="1" outlineLevel="1">
      <c r="A67" s="47" t="s">
        <v>24</v>
      </c>
      <c r="B67" s="78">
        <f t="shared" ref="B67" si="46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56">
        <v>3.5</v>
      </c>
      <c r="Q67" s="56">
        <v>3.18</v>
      </c>
      <c r="R67" s="56">
        <v>3.3497727272727289</v>
      </c>
      <c r="S67" s="56">
        <v>2.4500000000000002</v>
      </c>
      <c r="T67" s="189">
        <v>2.2000000000000002</v>
      </c>
      <c r="U67" s="189">
        <v>2.7</v>
      </c>
      <c r="V67" s="255"/>
      <c r="W67" s="255"/>
      <c r="X67" s="189">
        <v>3.012218722136681</v>
      </c>
      <c r="Y67" s="189">
        <v>2.9</v>
      </c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2.4500000000000002</v>
      </c>
      <c r="AF67" s="246">
        <f t="shared" ref="AF67:AF69" si="47">AVERAGE(X67:Z67)</f>
        <v>2.9374062407122268</v>
      </c>
      <c r="AG67" s="309">
        <f t="shared" ref="AG67:AG69" si="48">AVERAGE(AA67:AC67)</f>
        <v>2.6333333333333333</v>
      </c>
      <c r="AH67" s="241">
        <f>AVERAGE(P67:AC67)</f>
        <v>2.8409992874507837</v>
      </c>
      <c r="AI67" s="267"/>
    </row>
    <row r="68" spans="1:358" ht="42.75" hidden="1" customHeight="1" outlineLevel="1">
      <c r="A68" s="47" t="s">
        <v>25</v>
      </c>
      <c r="B68" s="78">
        <f t="shared" ref="B68" si="49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56">
        <v>3.5</v>
      </c>
      <c r="Q68" s="56">
        <v>3.18</v>
      </c>
      <c r="R68" s="56">
        <v>3.3497727272727289</v>
      </c>
      <c r="S68" s="56">
        <v>2.4500000000000002</v>
      </c>
      <c r="T68" s="189">
        <v>3</v>
      </c>
      <c r="U68" s="189">
        <v>3</v>
      </c>
      <c r="V68" s="185"/>
      <c r="W68" s="186"/>
      <c r="X68" s="189">
        <v>3</v>
      </c>
      <c r="Y68" s="189">
        <v>3</v>
      </c>
      <c r="Z68" s="189">
        <v>3</v>
      </c>
      <c r="AA68" s="189">
        <v>3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AVERAGE(S68:T68:U68)</f>
        <v>2.8166666666666664</v>
      </c>
      <c r="AF68" s="246">
        <f t="shared" si="47"/>
        <v>3</v>
      </c>
      <c r="AG68" s="309">
        <f t="shared" si="48"/>
        <v>3</v>
      </c>
      <c r="AH68" s="241">
        <f>AVERAGE(P68:AC68)</f>
        <v>3.0399810606060611</v>
      </c>
      <c r="AI68" s="267"/>
    </row>
    <row r="69" spans="1:358" ht="42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56">
        <v>3.5</v>
      </c>
      <c r="Q69" s="56">
        <v>3.18</v>
      </c>
      <c r="R69" s="56">
        <v>3.3497727272727289</v>
      </c>
      <c r="S69" s="56">
        <v>2.4500000000000002</v>
      </c>
      <c r="T69" s="189">
        <v>2.64</v>
      </c>
      <c r="U69" s="189">
        <v>3.1</v>
      </c>
      <c r="V69" s="256"/>
      <c r="W69" s="256"/>
      <c r="X69" s="189">
        <v>3.1</v>
      </c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2.73</v>
      </c>
      <c r="AF69" s="246">
        <f t="shared" si="47"/>
        <v>2.8333333333333335</v>
      </c>
      <c r="AG69" s="309">
        <f t="shared" si="48"/>
        <v>2.7000000000000006</v>
      </c>
      <c r="AH69" s="241">
        <f>AVERAGE(P69:AC69)</f>
        <v>2.9016477272727279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50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51">AVERAGE(S66:S69)</f>
        <v>2.4500000000000002</v>
      </c>
      <c r="T70" s="59">
        <f>AVERAGE(T66:T69)</f>
        <v>2.4572222222222235</v>
      </c>
      <c r="U70" s="59">
        <f t="shared" si="51"/>
        <v>2.9549999999999987</v>
      </c>
      <c r="V70" s="60"/>
      <c r="W70" s="60"/>
      <c r="X70" s="59">
        <f t="shared" si="51"/>
        <v>3.1063041394086244</v>
      </c>
      <c r="Y70" s="59">
        <f t="shared" si="51"/>
        <v>3.0163265810276672</v>
      </c>
      <c r="Z70" s="59">
        <f t="shared" si="51"/>
        <v>3.0154545454545447</v>
      </c>
      <c r="AA70" s="59">
        <f t="shared" si="51"/>
        <v>2.913666125541126</v>
      </c>
      <c r="AB70" s="59">
        <f t="shared" si="51"/>
        <v>2.9297727272727272</v>
      </c>
      <c r="AC70" s="234">
        <f t="shared" si="51"/>
        <v>2.9772727272727284</v>
      </c>
      <c r="AD70" s="310">
        <f t="shared" si="51"/>
        <v>3.3432575757575762</v>
      </c>
      <c r="AE70" s="59">
        <f>AVERAGE(AE66:AE69)</f>
        <v>2.6207407407407408</v>
      </c>
      <c r="AF70" s="59">
        <f t="shared" ref="AF70:AG70" si="52">AVERAGE(AF66:AF69)</f>
        <v>3.0460284219636122</v>
      </c>
      <c r="AG70" s="311">
        <f t="shared" si="52"/>
        <v>2.940237193362194</v>
      </c>
      <c r="AH70" s="242">
        <f>AVERAGE(AH66:AH69)</f>
        <v>2.9875659829560308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3">Q70</f>
        <v>3.18</v>
      </c>
      <c r="R71" s="164">
        <f>R70</f>
        <v>3.3497727272727289</v>
      </c>
      <c r="S71" s="164">
        <f>S70</f>
        <v>2.4500000000000002</v>
      </c>
      <c r="T71" s="164">
        <v>2.5</v>
      </c>
      <c r="U71" s="164">
        <v>3</v>
      </c>
      <c r="V71" s="164"/>
      <c r="W71" s="164"/>
      <c r="X71" s="164">
        <v>3</v>
      </c>
      <c r="Y71" s="164">
        <v>3</v>
      </c>
      <c r="Z71" s="164">
        <v>3</v>
      </c>
      <c r="AA71" s="164">
        <v>3.2</v>
      </c>
      <c r="AB71" s="164">
        <v>3.2</v>
      </c>
      <c r="AC71" s="229">
        <v>3.2</v>
      </c>
      <c r="AD71" s="312">
        <f>AVERAGE(P71:R71)</f>
        <v>3.3432575757575762</v>
      </c>
      <c r="AE71" s="164">
        <f>AVERAGE(S71:T71:U71)</f>
        <v>2.65</v>
      </c>
      <c r="AF71" s="164">
        <f>AVERAGE(X71:Z71)</f>
        <v>3</v>
      </c>
      <c r="AG71" s="313">
        <f>AVERAGE(AA71:AC71)</f>
        <v>3.2000000000000006</v>
      </c>
      <c r="AH71" s="242">
        <f>AVERAGE(P71:AC71)</f>
        <v>3.0483143939393944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6"/>
      <c r="V72" s="125"/>
      <c r="W72" s="125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30"/>
      <c r="W73" s="330"/>
      <c r="X73" s="329" t="s">
        <v>67</v>
      </c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T74" si="54">O15</f>
        <v>0</v>
      </c>
      <c r="P74" s="36">
        <f t="shared" si="54"/>
        <v>26.81</v>
      </c>
      <c r="Q74" s="36">
        <f t="shared" si="54"/>
        <v>29.38</v>
      </c>
      <c r="R74" s="36">
        <f t="shared" si="54"/>
        <v>35.141818181818174</v>
      </c>
      <c r="S74" s="36">
        <f t="shared" si="54"/>
        <v>39.03</v>
      </c>
      <c r="T74" s="36">
        <f t="shared" si="54"/>
        <v>44.5</v>
      </c>
      <c r="U74" s="36">
        <f t="shared" ref="U74:AG74" si="55">U15</f>
        <v>43</v>
      </c>
      <c r="V74" s="36"/>
      <c r="W74" s="36"/>
      <c r="X74" s="36">
        <f t="shared" si="55"/>
        <v>43</v>
      </c>
      <c r="Y74" s="36">
        <f t="shared" si="55"/>
        <v>42</v>
      </c>
      <c r="Z74" s="36">
        <f t="shared" si="55"/>
        <v>41</v>
      </c>
      <c r="AA74" s="36">
        <f t="shared" si="55"/>
        <v>43</v>
      </c>
      <c r="AB74" s="36">
        <f t="shared" si="55"/>
        <v>44</v>
      </c>
      <c r="AC74" s="322">
        <f t="shared" si="55"/>
        <v>45</v>
      </c>
      <c r="AD74" s="319">
        <f t="shared" si="55"/>
        <v>30.443939393939388</v>
      </c>
      <c r="AE74" s="258">
        <f t="shared" si="55"/>
        <v>42.176666666666669</v>
      </c>
      <c r="AF74" s="258">
        <f t="shared" si="55"/>
        <v>42</v>
      </c>
      <c r="AG74" s="258">
        <f t="shared" si="55"/>
        <v>44</v>
      </c>
      <c r="AH74" s="334">
        <f t="shared" ref="AH74:AH80" si="56">AVERAGE(P74:AC74)</f>
        <v>39.655151515151516</v>
      </c>
    </row>
    <row r="75" spans="1:358" ht="18.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T75" si="57">O15+O24</f>
        <v>6</v>
      </c>
      <c r="P75" s="36">
        <f t="shared" si="57"/>
        <v>36.599999999999994</v>
      </c>
      <c r="Q75" s="36">
        <f t="shared" si="57"/>
        <v>33.942777777777778</v>
      </c>
      <c r="R75" s="36">
        <f t="shared" si="57"/>
        <v>39.004090909090912</v>
      </c>
      <c r="S75" s="36">
        <f t="shared" si="57"/>
        <v>42.36</v>
      </c>
      <c r="T75" s="36">
        <f t="shared" si="57"/>
        <v>44.5</v>
      </c>
      <c r="U75" s="36">
        <f t="shared" ref="U75:AG75" si="58">U15+U24</f>
        <v>45</v>
      </c>
      <c r="V75" s="36"/>
      <c r="W75" s="36"/>
      <c r="X75" s="36">
        <f t="shared" si="58"/>
        <v>45</v>
      </c>
      <c r="Y75" s="36">
        <f t="shared" si="58"/>
        <v>43.5</v>
      </c>
      <c r="Z75" s="36">
        <f t="shared" si="58"/>
        <v>42.5</v>
      </c>
      <c r="AA75" s="36">
        <f t="shared" si="58"/>
        <v>45</v>
      </c>
      <c r="AB75" s="36">
        <f t="shared" si="58"/>
        <v>46.5</v>
      </c>
      <c r="AC75" s="322">
        <f t="shared" si="58"/>
        <v>48</v>
      </c>
      <c r="AD75" s="319">
        <f t="shared" si="58"/>
        <v>36.515622895622897</v>
      </c>
      <c r="AE75" s="258">
        <f t="shared" si="58"/>
        <v>43.953333333333333</v>
      </c>
      <c r="AF75" s="258">
        <f t="shared" si="58"/>
        <v>43.666666666666664</v>
      </c>
      <c r="AG75" s="258">
        <f t="shared" si="58"/>
        <v>46.5</v>
      </c>
      <c r="AH75" s="334">
        <f t="shared" si="56"/>
        <v>42.658905723905725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T76" si="59">O33+O15</f>
        <v>17.5</v>
      </c>
      <c r="P76" s="36">
        <f t="shared" si="59"/>
        <v>50.42</v>
      </c>
      <c r="Q76" s="36">
        <f t="shared" si="59"/>
        <v>44.58</v>
      </c>
      <c r="R76" s="36">
        <f t="shared" si="59"/>
        <v>52.771818181818183</v>
      </c>
      <c r="S76" s="36">
        <f t="shared" si="59"/>
        <v>54.59</v>
      </c>
      <c r="T76" s="36">
        <f t="shared" si="59"/>
        <v>59.1</v>
      </c>
      <c r="U76" s="36">
        <f t="shared" ref="U76:AG76" si="60">U33+U15</f>
        <v>59</v>
      </c>
      <c r="V76" s="36"/>
      <c r="W76" s="36"/>
      <c r="X76" s="36">
        <f t="shared" si="60"/>
        <v>58.5</v>
      </c>
      <c r="Y76" s="36">
        <f t="shared" si="60"/>
        <v>56.5</v>
      </c>
      <c r="Z76" s="36">
        <f t="shared" si="60"/>
        <v>55</v>
      </c>
      <c r="AA76" s="36">
        <f t="shared" si="60"/>
        <v>57</v>
      </c>
      <c r="AB76" s="36">
        <f t="shared" si="60"/>
        <v>57.5</v>
      </c>
      <c r="AC76" s="322">
        <f t="shared" si="60"/>
        <v>58</v>
      </c>
      <c r="AD76" s="319">
        <f t="shared" si="60"/>
        <v>49.257272727272721</v>
      </c>
      <c r="AE76" s="258">
        <f t="shared" si="60"/>
        <v>57.563333333333333</v>
      </c>
      <c r="AF76" s="258">
        <f t="shared" si="60"/>
        <v>56.666666666666664</v>
      </c>
      <c r="AG76" s="258">
        <f t="shared" si="60"/>
        <v>57.5</v>
      </c>
      <c r="AH76" s="334">
        <f t="shared" si="56"/>
        <v>55.246818181818185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T77" si="61">O42+O15</f>
        <v>15.6</v>
      </c>
      <c r="P77" s="36">
        <f t="shared" si="61"/>
        <v>37.909999999999997</v>
      </c>
      <c r="Q77" s="36">
        <f t="shared" si="61"/>
        <v>41</v>
      </c>
      <c r="R77" s="36">
        <f t="shared" si="61"/>
        <v>47.38</v>
      </c>
      <c r="S77" s="36">
        <f t="shared" si="61"/>
        <v>49.53</v>
      </c>
      <c r="T77" s="36">
        <f t="shared" si="61"/>
        <v>54.454722222222223</v>
      </c>
      <c r="U77" s="36">
        <f t="shared" ref="U77:AG77" si="62">U42+U15</f>
        <v>53</v>
      </c>
      <c r="V77" s="36"/>
      <c r="W77" s="36"/>
      <c r="X77" s="36">
        <f t="shared" si="62"/>
        <v>52.5</v>
      </c>
      <c r="Y77" s="36">
        <f t="shared" si="62"/>
        <v>51.5</v>
      </c>
      <c r="Z77" s="36">
        <f t="shared" si="62"/>
        <v>52</v>
      </c>
      <c r="AA77" s="36">
        <f t="shared" si="62"/>
        <v>56</v>
      </c>
      <c r="AB77" s="36">
        <f t="shared" si="62"/>
        <v>58</v>
      </c>
      <c r="AC77" s="322">
        <f t="shared" si="62"/>
        <v>60</v>
      </c>
      <c r="AD77" s="319">
        <f t="shared" si="62"/>
        <v>42.096666666666664</v>
      </c>
      <c r="AE77" s="258">
        <f t="shared" si="62"/>
        <v>52.328240740740746</v>
      </c>
      <c r="AF77" s="258">
        <f t="shared" si="62"/>
        <v>52</v>
      </c>
      <c r="AG77" s="258">
        <f t="shared" si="62"/>
        <v>58</v>
      </c>
      <c r="AH77" s="334">
        <f t="shared" si="56"/>
        <v>51.106226851851851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T78" si="63">O53+O15</f>
        <v>14.15</v>
      </c>
      <c r="P78" s="36">
        <f t="shared" si="63"/>
        <v>36.15</v>
      </c>
      <c r="Q78" s="36">
        <f t="shared" si="63"/>
        <v>38.54</v>
      </c>
      <c r="R78" s="36">
        <f t="shared" si="63"/>
        <v>45.517727272727271</v>
      </c>
      <c r="S78" s="36">
        <f t="shared" si="63"/>
        <v>48.08</v>
      </c>
      <c r="T78" s="36">
        <f t="shared" si="63"/>
        <v>54.5</v>
      </c>
      <c r="U78" s="36">
        <f t="shared" ref="U78:AG78" si="64">U53+U15</f>
        <v>53</v>
      </c>
      <c r="V78" s="36"/>
      <c r="W78" s="36"/>
      <c r="X78" s="36">
        <f t="shared" si="64"/>
        <v>52.5</v>
      </c>
      <c r="Y78" s="36">
        <f t="shared" si="64"/>
        <v>51.5</v>
      </c>
      <c r="Z78" s="36">
        <f t="shared" si="64"/>
        <v>51.5</v>
      </c>
      <c r="AA78" s="36">
        <f t="shared" si="64"/>
        <v>55</v>
      </c>
      <c r="AB78" s="36">
        <f t="shared" si="64"/>
        <v>57</v>
      </c>
      <c r="AC78" s="322">
        <f t="shared" si="64"/>
        <v>59</v>
      </c>
      <c r="AD78" s="319">
        <f t="shared" si="64"/>
        <v>40.069242424242418</v>
      </c>
      <c r="AE78" s="258">
        <f t="shared" si="64"/>
        <v>51.86</v>
      </c>
      <c r="AF78" s="258">
        <f t="shared" si="64"/>
        <v>51.833333333333336</v>
      </c>
      <c r="AG78" s="258">
        <f t="shared" si="64"/>
        <v>57</v>
      </c>
      <c r="AH78" s="334">
        <f t="shared" si="56"/>
        <v>50.190643939393937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T79" si="65">(O62+O15)*6.35</f>
        <v>-42.756666666666668</v>
      </c>
      <c r="P79" s="134">
        <f t="shared" si="65"/>
        <v>150.36799999999999</v>
      </c>
      <c r="Q79" s="134">
        <f t="shared" si="65"/>
        <v>154.30499999999998</v>
      </c>
      <c r="R79" s="134">
        <f t="shared" si="65"/>
        <v>176.7890909090909</v>
      </c>
      <c r="S79" s="134">
        <f t="shared" si="65"/>
        <v>192.15100000000001</v>
      </c>
      <c r="T79" s="134">
        <f t="shared" si="65"/>
        <v>228.6</v>
      </c>
      <c r="U79" s="134">
        <f t="shared" ref="U79:AG79" si="66">(U62+U15)*6.35</f>
        <v>222.25</v>
      </c>
      <c r="V79" s="134"/>
      <c r="W79" s="134"/>
      <c r="X79" s="134">
        <f t="shared" si="66"/>
        <v>220.97999999999996</v>
      </c>
      <c r="Y79" s="134">
        <f t="shared" si="66"/>
        <v>215.26499999999999</v>
      </c>
      <c r="Z79" s="134">
        <f t="shared" si="66"/>
        <v>209.54999999999998</v>
      </c>
      <c r="AA79" s="134">
        <f t="shared" si="66"/>
        <v>222.88499999999999</v>
      </c>
      <c r="AB79" s="134">
        <f t="shared" si="66"/>
        <v>230.82249999999999</v>
      </c>
      <c r="AC79" s="323">
        <f t="shared" si="66"/>
        <v>238.125</v>
      </c>
      <c r="AD79" s="320">
        <f t="shared" si="66"/>
        <v>160.48736363636363</v>
      </c>
      <c r="AE79" s="259">
        <f t="shared" si="66"/>
        <v>214.33366666666669</v>
      </c>
      <c r="AF79" s="259">
        <f t="shared" si="66"/>
        <v>215.26499999999999</v>
      </c>
      <c r="AG79" s="259">
        <f t="shared" si="66"/>
        <v>230.61083333333329</v>
      </c>
      <c r="AH79" s="334">
        <f t="shared" si="56"/>
        <v>205.17421590909089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67">K70</f>
        <v>1.2</v>
      </c>
      <c r="L80" s="338">
        <f t="shared" si="67"/>
        <v>1.5</v>
      </c>
      <c r="M80" s="338">
        <f>M70</f>
        <v>1.625</v>
      </c>
      <c r="N80" s="338">
        <f t="shared" ref="N80:T80" si="68">N71+N15</f>
        <v>47.85</v>
      </c>
      <c r="O80" s="338">
        <f t="shared" si="68"/>
        <v>2.0666666666666669</v>
      </c>
      <c r="P80" s="338">
        <f t="shared" si="68"/>
        <v>30.31</v>
      </c>
      <c r="Q80" s="338">
        <f t="shared" si="68"/>
        <v>32.56</v>
      </c>
      <c r="R80" s="338">
        <f t="shared" si="68"/>
        <v>38.491590909090903</v>
      </c>
      <c r="S80" s="338">
        <f t="shared" si="68"/>
        <v>41.480000000000004</v>
      </c>
      <c r="T80" s="338">
        <f t="shared" si="68"/>
        <v>47</v>
      </c>
      <c r="U80" s="338">
        <f t="shared" ref="U80:AG80" si="69">U71+U15</f>
        <v>46</v>
      </c>
      <c r="V80" s="338"/>
      <c r="W80" s="338"/>
      <c r="X80" s="338">
        <f t="shared" si="69"/>
        <v>46</v>
      </c>
      <c r="Y80" s="338">
        <f t="shared" si="69"/>
        <v>45</v>
      </c>
      <c r="Z80" s="338">
        <f t="shared" si="69"/>
        <v>44</v>
      </c>
      <c r="AA80" s="338">
        <f t="shared" si="69"/>
        <v>46.2</v>
      </c>
      <c r="AB80" s="338">
        <f t="shared" si="69"/>
        <v>47.2</v>
      </c>
      <c r="AC80" s="339">
        <f t="shared" si="69"/>
        <v>48.2</v>
      </c>
      <c r="AD80" s="340">
        <f t="shared" si="69"/>
        <v>33.787196969696964</v>
      </c>
      <c r="AE80" s="341">
        <f t="shared" si="69"/>
        <v>44.826666666666668</v>
      </c>
      <c r="AF80" s="341">
        <f t="shared" si="69"/>
        <v>45</v>
      </c>
      <c r="AG80" s="341">
        <f t="shared" si="69"/>
        <v>47.2</v>
      </c>
      <c r="AH80" s="342">
        <f t="shared" si="56"/>
        <v>42.703465909090909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7"/>
      <c r="V81" s="136"/>
      <c r="W81" s="136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8.5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30"/>
      <c r="W82" s="330"/>
      <c r="X82" s="329" t="s">
        <v>67</v>
      </c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8.5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70">F74</f>
        <v>0</v>
      </c>
      <c r="G83" s="143">
        <f>G74</f>
        <v>56.18</v>
      </c>
      <c r="H83" s="143">
        <f t="shared" ref="H83" si="71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72">K74</f>
        <v>48.3</v>
      </c>
      <c r="L83" s="143">
        <f t="shared" si="72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73">R74</f>
        <v>35.141818181818174</v>
      </c>
      <c r="S83" s="143">
        <f t="shared" si="73"/>
        <v>39.03</v>
      </c>
      <c r="T83" s="143">
        <f>T74</f>
        <v>44.5</v>
      </c>
      <c r="U83" s="143">
        <f t="shared" si="73"/>
        <v>43</v>
      </c>
      <c r="V83" s="361"/>
      <c r="W83" s="361"/>
      <c r="X83" s="143">
        <f t="shared" si="73"/>
        <v>43</v>
      </c>
      <c r="Y83" s="143">
        <f t="shared" si="73"/>
        <v>42</v>
      </c>
      <c r="Z83" s="143">
        <f t="shared" si="73"/>
        <v>41</v>
      </c>
      <c r="AA83" s="143">
        <f t="shared" si="73"/>
        <v>43</v>
      </c>
      <c r="AB83" s="143">
        <f t="shared" si="73"/>
        <v>44</v>
      </c>
      <c r="AC83" s="353">
        <f t="shared" si="73"/>
        <v>45</v>
      </c>
      <c r="AD83" s="321">
        <f t="shared" si="73"/>
        <v>30.443939393939388</v>
      </c>
      <c r="AE83" s="260">
        <f t="shared" si="73"/>
        <v>42.176666666666669</v>
      </c>
      <c r="AF83" s="260">
        <f t="shared" si="73"/>
        <v>42</v>
      </c>
      <c r="AG83" s="260">
        <f t="shared" si="73"/>
        <v>44</v>
      </c>
      <c r="AH83" s="334">
        <f t="shared" ref="AH83:AH89" si="74">AVERAGE(P83:AC83)</f>
        <v>39.655151515151516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8.5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75">F75-F74</f>
        <v>0</v>
      </c>
      <c r="G84" s="143">
        <f>G75-G74</f>
        <v>-3.0341000000000022</v>
      </c>
      <c r="H84" s="143">
        <f t="shared" ref="H84" si="76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77">K75-K74</f>
        <v>#REF!</v>
      </c>
      <c r="L84" s="143" t="e">
        <f t="shared" si="77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78">R75-R74</f>
        <v>3.8622727272727388</v>
      </c>
      <c r="S84" s="143">
        <f t="shared" si="78"/>
        <v>3.3299999999999983</v>
      </c>
      <c r="T84" s="143">
        <f>T75-T74</f>
        <v>0</v>
      </c>
      <c r="U84" s="143">
        <f t="shared" si="78"/>
        <v>2</v>
      </c>
      <c r="V84" s="361"/>
      <c r="W84" s="361"/>
      <c r="X84" s="143">
        <f t="shared" si="78"/>
        <v>2</v>
      </c>
      <c r="Y84" s="143">
        <f t="shared" si="78"/>
        <v>1.5</v>
      </c>
      <c r="Z84" s="143">
        <f t="shared" si="78"/>
        <v>1.5</v>
      </c>
      <c r="AA84" s="143">
        <f t="shared" si="78"/>
        <v>2</v>
      </c>
      <c r="AB84" s="143">
        <f t="shared" si="78"/>
        <v>2.5</v>
      </c>
      <c r="AC84" s="353">
        <f t="shared" si="78"/>
        <v>3</v>
      </c>
      <c r="AD84" s="321">
        <f t="shared" si="78"/>
        <v>6.0716835016835091</v>
      </c>
      <c r="AE84" s="260">
        <f t="shared" si="78"/>
        <v>1.7766666666666637</v>
      </c>
      <c r="AF84" s="260">
        <f t="shared" si="78"/>
        <v>1.6666666666666643</v>
      </c>
      <c r="AG84" s="260">
        <f t="shared" si="78"/>
        <v>2.5</v>
      </c>
      <c r="AH84" s="334">
        <f t="shared" si="74"/>
        <v>3.0037542087542093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8.5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79">F76-F74</f>
        <v>0</v>
      </c>
      <c r="G85" s="143">
        <f>G76-G74</f>
        <v>19.766299999999994</v>
      </c>
      <c r="H85" s="143">
        <f t="shared" ref="H85" si="80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81">K76-K74</f>
        <v>16.482500000000002</v>
      </c>
      <c r="L85" s="143">
        <f t="shared" si="81"/>
        <v>17.249999999999993</v>
      </c>
      <c r="M85" s="143">
        <f t="shared" si="81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82">Q76-Q74</f>
        <v>15.2</v>
      </c>
      <c r="R85" s="143">
        <f>R76-R74</f>
        <v>17.63000000000001</v>
      </c>
      <c r="S85" s="143">
        <f t="shared" ref="S85:AG85" si="83">S76-S74</f>
        <v>15.560000000000002</v>
      </c>
      <c r="T85" s="143">
        <f>T76-T74</f>
        <v>14.600000000000001</v>
      </c>
      <c r="U85" s="143">
        <f t="shared" si="83"/>
        <v>16</v>
      </c>
      <c r="V85" s="361"/>
      <c r="W85" s="361"/>
      <c r="X85" s="143">
        <f t="shared" si="83"/>
        <v>15.5</v>
      </c>
      <c r="Y85" s="143">
        <f t="shared" si="83"/>
        <v>14.5</v>
      </c>
      <c r="Z85" s="143">
        <f t="shared" si="83"/>
        <v>14</v>
      </c>
      <c r="AA85" s="143">
        <f t="shared" si="83"/>
        <v>14</v>
      </c>
      <c r="AB85" s="143">
        <f t="shared" si="83"/>
        <v>13.5</v>
      </c>
      <c r="AC85" s="353">
        <f t="shared" si="83"/>
        <v>13</v>
      </c>
      <c r="AD85" s="321">
        <f t="shared" si="83"/>
        <v>18.813333333333333</v>
      </c>
      <c r="AE85" s="260">
        <f t="shared" si="83"/>
        <v>15.386666666666663</v>
      </c>
      <c r="AF85" s="260">
        <f t="shared" si="83"/>
        <v>14.666666666666664</v>
      </c>
      <c r="AG85" s="260">
        <f t="shared" si="83"/>
        <v>13.5</v>
      </c>
      <c r="AH85" s="334">
        <f t="shared" si="74"/>
        <v>15.591666666666669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8.5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84">F77-F74</f>
        <v>0</v>
      </c>
      <c r="G86" s="143">
        <f>G77-G74</f>
        <v>9.6289999999999978</v>
      </c>
      <c r="H86" s="143">
        <f t="shared" ref="H86" si="85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86">K77-K74</f>
        <v>13.11</v>
      </c>
      <c r="L86" s="143">
        <f t="shared" si="86"/>
        <v>13.435000000000002</v>
      </c>
      <c r="M86" s="143">
        <f t="shared" si="86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87">R77-R74</f>
        <v>12.238181818181829</v>
      </c>
      <c r="S86" s="143">
        <f t="shared" si="87"/>
        <v>10.5</v>
      </c>
      <c r="T86" s="143">
        <f>T77-T74</f>
        <v>9.9547222222222231</v>
      </c>
      <c r="U86" s="143">
        <f t="shared" si="87"/>
        <v>10</v>
      </c>
      <c r="V86" s="361"/>
      <c r="W86" s="361"/>
      <c r="X86" s="143">
        <f t="shared" si="87"/>
        <v>9.5</v>
      </c>
      <c r="Y86" s="143">
        <f t="shared" si="87"/>
        <v>9.5</v>
      </c>
      <c r="Z86" s="143">
        <f t="shared" si="87"/>
        <v>11</v>
      </c>
      <c r="AA86" s="143">
        <f t="shared" si="87"/>
        <v>13</v>
      </c>
      <c r="AB86" s="143">
        <f t="shared" si="87"/>
        <v>14</v>
      </c>
      <c r="AC86" s="353">
        <f t="shared" si="87"/>
        <v>15</v>
      </c>
      <c r="AD86" s="321">
        <f t="shared" si="87"/>
        <v>11.652727272727276</v>
      </c>
      <c r="AE86" s="260">
        <f t="shared" si="87"/>
        <v>10.151574074074077</v>
      </c>
      <c r="AF86" s="260">
        <f t="shared" si="87"/>
        <v>10</v>
      </c>
      <c r="AG86" s="260">
        <f t="shared" si="87"/>
        <v>14</v>
      </c>
      <c r="AH86" s="334">
        <f t="shared" si="74"/>
        <v>11.451075336700336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.5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88">F78-F74</f>
        <v>0</v>
      </c>
      <c r="G87" s="143">
        <f>G78-G74</f>
        <v>8.8899999999999935</v>
      </c>
      <c r="H87" s="143">
        <f t="shared" ref="H87" si="89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90">K78-K74</f>
        <v>13.350000000000001</v>
      </c>
      <c r="L87" s="143">
        <f t="shared" si="90"/>
        <v>13.75</v>
      </c>
      <c r="M87" s="143">
        <f t="shared" si="90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91">R78-R74</f>
        <v>10.375909090909097</v>
      </c>
      <c r="S87" s="143">
        <f t="shared" si="91"/>
        <v>9.0499999999999972</v>
      </c>
      <c r="T87" s="143">
        <f>T78-T74</f>
        <v>10</v>
      </c>
      <c r="U87" s="143">
        <f t="shared" si="91"/>
        <v>10</v>
      </c>
      <c r="V87" s="361"/>
      <c r="W87" s="361"/>
      <c r="X87" s="143">
        <f t="shared" si="91"/>
        <v>9.5</v>
      </c>
      <c r="Y87" s="143">
        <f t="shared" si="91"/>
        <v>9.5</v>
      </c>
      <c r="Z87" s="143">
        <f t="shared" si="91"/>
        <v>10.5</v>
      </c>
      <c r="AA87" s="143">
        <f t="shared" si="91"/>
        <v>12</v>
      </c>
      <c r="AB87" s="143">
        <f t="shared" si="91"/>
        <v>13</v>
      </c>
      <c r="AC87" s="353">
        <f t="shared" si="91"/>
        <v>14</v>
      </c>
      <c r="AD87" s="321">
        <f t="shared" si="91"/>
        <v>9.62530303030303</v>
      </c>
      <c r="AE87" s="260">
        <f t="shared" si="91"/>
        <v>9.68333333333333</v>
      </c>
      <c r="AF87" s="260">
        <f t="shared" si="91"/>
        <v>9.8333333333333357</v>
      </c>
      <c r="AG87" s="260">
        <f t="shared" si="91"/>
        <v>13</v>
      </c>
      <c r="AH87" s="334">
        <f t="shared" si="74"/>
        <v>10.535492424242426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5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92">H79-H74</f>
        <v>-8.9503004558640669</v>
      </c>
      <c r="I88" s="143">
        <f t="shared" si="92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T88" si="93">O62</f>
        <v>-6.7333333333333334</v>
      </c>
      <c r="P88" s="143">
        <f t="shared" si="93"/>
        <v>-3.13</v>
      </c>
      <c r="Q88" s="143">
        <f t="shared" si="93"/>
        <v>-5.08</v>
      </c>
      <c r="R88" s="143">
        <f t="shared" si="93"/>
        <v>-7.3010164638511021</v>
      </c>
      <c r="S88" s="143">
        <f t="shared" si="93"/>
        <v>-8.77</v>
      </c>
      <c r="T88" s="143">
        <f t="shared" si="93"/>
        <v>-8.5</v>
      </c>
      <c r="U88" s="143">
        <f t="shared" ref="U88:AC88" si="94">U62</f>
        <v>-8</v>
      </c>
      <c r="V88" s="143"/>
      <c r="W88" s="143"/>
      <c r="X88" s="143">
        <f t="shared" si="94"/>
        <v>-8.1999999999999993</v>
      </c>
      <c r="Y88" s="143">
        <f t="shared" si="94"/>
        <v>-8.1</v>
      </c>
      <c r="Z88" s="143">
        <f t="shared" si="94"/>
        <v>-8</v>
      </c>
      <c r="AA88" s="143">
        <f t="shared" si="94"/>
        <v>-7.9</v>
      </c>
      <c r="AB88" s="143">
        <f t="shared" si="94"/>
        <v>-7.65</v>
      </c>
      <c r="AC88" s="353">
        <f t="shared" si="94"/>
        <v>-7.5</v>
      </c>
      <c r="AD88" s="365">
        <f>AD61</f>
        <v>-5.1703388212837007</v>
      </c>
      <c r="AE88" s="260">
        <f>AE61</f>
        <v>-8.4502785068533086</v>
      </c>
      <c r="AF88" s="260">
        <f>AF79-AF74</f>
        <v>173.26499999999999</v>
      </c>
      <c r="AG88" s="358">
        <f>AG79-AG74</f>
        <v>186.61083333333329</v>
      </c>
      <c r="AH88" s="334">
        <f t="shared" si="74"/>
        <v>-7.3442513719875935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95">F70</f>
        <v>0</v>
      </c>
      <c r="G89" s="349">
        <f>G70</f>
        <v>0</v>
      </c>
      <c r="H89" s="349">
        <f t="shared" ref="H89" si="96">H70</f>
        <v>0</v>
      </c>
      <c r="I89" s="349">
        <f>I70</f>
        <v>0</v>
      </c>
      <c r="J89" s="349" t="e">
        <f>J70</f>
        <v>#DIV/0!</v>
      </c>
      <c r="K89" s="349">
        <f t="shared" ref="K89:M89" si="97">K70</f>
        <v>1.2</v>
      </c>
      <c r="L89" s="349">
        <f t="shared" si="97"/>
        <v>1.5</v>
      </c>
      <c r="M89" s="349">
        <f t="shared" si="97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98">R80-R74</f>
        <v>3.3497727272727289</v>
      </c>
      <c r="S89" s="349">
        <f t="shared" si="98"/>
        <v>2.4500000000000028</v>
      </c>
      <c r="T89" s="349">
        <f>T80-T74</f>
        <v>2.5</v>
      </c>
      <c r="U89" s="349">
        <f t="shared" si="98"/>
        <v>3</v>
      </c>
      <c r="V89" s="362"/>
      <c r="W89" s="362"/>
      <c r="X89" s="349">
        <f t="shared" si="98"/>
        <v>3</v>
      </c>
      <c r="Y89" s="349">
        <f t="shared" si="98"/>
        <v>3</v>
      </c>
      <c r="Z89" s="349">
        <f t="shared" si="98"/>
        <v>3</v>
      </c>
      <c r="AA89" s="349">
        <f t="shared" si="98"/>
        <v>3.2000000000000028</v>
      </c>
      <c r="AB89" s="349">
        <f t="shared" si="98"/>
        <v>3.2000000000000028</v>
      </c>
      <c r="AC89" s="354">
        <f t="shared" si="98"/>
        <v>3.2000000000000028</v>
      </c>
      <c r="AD89" s="351">
        <f>AD80-AD74</f>
        <v>3.3432575757575762</v>
      </c>
      <c r="AE89" s="352">
        <f>AE80-AE74</f>
        <v>2.6499999999999986</v>
      </c>
      <c r="AF89" s="352">
        <f>AF80-AF74</f>
        <v>3</v>
      </c>
      <c r="AG89" s="352">
        <f t="shared" si="98"/>
        <v>3.2000000000000028</v>
      </c>
      <c r="AH89" s="342">
        <f t="shared" si="74"/>
        <v>3.0483143939393949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56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80"/>
      <c r="W90" s="280"/>
      <c r="X90" s="279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56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5"/>
      <c r="W91" s="285"/>
      <c r="X91" s="283" t="s">
        <v>17</v>
      </c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56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99">$B$92*$J$92</f>
        <v>-0.6</v>
      </c>
      <c r="L92" s="289">
        <f t="shared" si="99"/>
        <v>-0.6</v>
      </c>
      <c r="M92" s="289">
        <f t="shared" si="99"/>
        <v>-0.6</v>
      </c>
      <c r="N92" s="289">
        <f t="shared" si="99"/>
        <v>-0.6</v>
      </c>
      <c r="O92" s="289">
        <f t="shared" si="99"/>
        <v>-0.6</v>
      </c>
      <c r="P92" s="289">
        <f t="shared" si="99"/>
        <v>-0.6</v>
      </c>
      <c r="Q92" s="289">
        <f>$B$92*$J$92</f>
        <v>-0.6</v>
      </c>
      <c r="R92" s="291"/>
      <c r="S92" s="291"/>
      <c r="T92" s="291"/>
      <c r="U92" s="291"/>
      <c r="V92" s="292"/>
      <c r="W92" s="292"/>
      <c r="X92" s="291">
        <v>0.94499999999999995</v>
      </c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56"/>
      <c r="B93" s="287">
        <v>0.03</v>
      </c>
      <c r="C93" s="287">
        <v>0.03</v>
      </c>
      <c r="D93" s="288"/>
      <c r="E93" s="288"/>
      <c r="F93" s="289">
        <f t="shared" ref="F93:I96" si="100">$B93*(F75-F$74-1.7)</f>
        <v>-5.0999999999999997E-2</v>
      </c>
      <c r="G93" s="289">
        <f t="shared" si="100"/>
        <v>-0.14202300000000007</v>
      </c>
      <c r="H93" s="289">
        <f t="shared" si="100"/>
        <v>-0.10879736842105259</v>
      </c>
      <c r="I93" s="289">
        <f t="shared" si="100"/>
        <v>-8.1000000000004332E-3</v>
      </c>
      <c r="J93" s="290"/>
      <c r="K93" s="289" t="e">
        <f t="shared" ref="K93:P96" si="101">$B93*(K75-K$74-1.7)</f>
        <v>#REF!</v>
      </c>
      <c r="L93" s="289" t="e">
        <f t="shared" si="101"/>
        <v>#REF!</v>
      </c>
      <c r="M93" s="289">
        <f t="shared" si="101"/>
        <v>-8.2500000000000837E-3</v>
      </c>
      <c r="N93" s="289">
        <f t="shared" si="101"/>
        <v>6.5249999999999989E-2</v>
      </c>
      <c r="O93" s="289">
        <f t="shared" si="101"/>
        <v>0.129</v>
      </c>
      <c r="P93" s="289">
        <f t="shared" si="101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2"/>
      <c r="W93" s="292"/>
      <c r="X93" s="291" t="e">
        <v>#REF!</v>
      </c>
      <c r="Y93" s="291"/>
      <c r="Z93" s="291"/>
      <c r="AA93" s="291"/>
      <c r="AB93" s="291"/>
      <c r="AC93" s="291"/>
      <c r="AD93" s="289">
        <f t="shared" ref="AD93:AG96" si="102">$B93*(AD75-AD$74-1.7)</f>
        <v>0.13115050505050527</v>
      </c>
      <c r="AE93" s="289">
        <f t="shared" si="102"/>
        <v>2.2999999999999132E-3</v>
      </c>
      <c r="AF93" s="289"/>
      <c r="AG93" s="289">
        <f t="shared" si="102"/>
        <v>2.4E-2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56"/>
      <c r="B94" s="287">
        <v>0.16</v>
      </c>
      <c r="C94" s="287">
        <v>0.16</v>
      </c>
      <c r="D94" s="288"/>
      <c r="E94" s="288"/>
      <c r="F94" s="289">
        <f t="shared" si="100"/>
        <v>-0.27200000000000002</v>
      </c>
      <c r="G94" s="289">
        <f t="shared" si="100"/>
        <v>2.8906079999999994</v>
      </c>
      <c r="H94" s="289">
        <f t="shared" si="100"/>
        <v>2.6582315789473734</v>
      </c>
      <c r="I94" s="289">
        <f t="shared" si="100"/>
        <v>2.9057599999999999</v>
      </c>
      <c r="J94" s="290"/>
      <c r="K94" s="289">
        <f t="shared" si="101"/>
        <v>2.3652000000000006</v>
      </c>
      <c r="L94" s="289">
        <f t="shared" si="101"/>
        <v>2.4879999999999991</v>
      </c>
      <c r="M94" s="289">
        <f t="shared" si="101"/>
        <v>2.3475999999999995</v>
      </c>
      <c r="N94" s="289">
        <f t="shared" si="101"/>
        <v>2.258</v>
      </c>
      <c r="O94" s="289">
        <f t="shared" si="101"/>
        <v>2.528</v>
      </c>
      <c r="P94" s="289">
        <f t="shared" si="101"/>
        <v>3.5056000000000007</v>
      </c>
      <c r="Q94" s="289">
        <f>$B94*(Q76-Q$74-1.7)</f>
        <v>2.16</v>
      </c>
      <c r="R94" s="291"/>
      <c r="S94" s="291"/>
      <c r="T94" s="291"/>
      <c r="U94" s="291"/>
      <c r="V94" s="292"/>
      <c r="W94" s="292"/>
      <c r="X94" s="291" t="e">
        <v>#REF!</v>
      </c>
      <c r="Y94" s="291"/>
      <c r="Z94" s="291"/>
      <c r="AA94" s="291"/>
      <c r="AB94" s="291"/>
      <c r="AC94" s="291"/>
      <c r="AD94" s="289">
        <f t="shared" si="102"/>
        <v>2.7381333333333333</v>
      </c>
      <c r="AE94" s="289">
        <f t="shared" si="102"/>
        <v>2.1898666666666662</v>
      </c>
      <c r="AF94" s="289"/>
      <c r="AG94" s="289">
        <f t="shared" si="102"/>
        <v>1.8880000000000001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100"/>
        <v>-0.255</v>
      </c>
      <c r="G95" s="289">
        <f t="shared" si="100"/>
        <v>1.1893499999999997</v>
      </c>
      <c r="H95" s="289">
        <f t="shared" si="100"/>
        <v>1.1527499999999997</v>
      </c>
      <c r="I95" s="289">
        <f t="shared" si="100"/>
        <v>1.7877749999999986</v>
      </c>
      <c r="J95" s="290"/>
      <c r="K95" s="289">
        <f t="shared" si="101"/>
        <v>1.7115</v>
      </c>
      <c r="L95" s="289">
        <f t="shared" si="101"/>
        <v>1.7602500000000003</v>
      </c>
      <c r="M95" s="289">
        <f t="shared" si="101"/>
        <v>1.7467499999999998</v>
      </c>
      <c r="N95" s="289">
        <f t="shared" si="101"/>
        <v>1.8794999999999995</v>
      </c>
      <c r="O95" s="289">
        <f t="shared" si="101"/>
        <v>2.085</v>
      </c>
      <c r="P95" s="289">
        <f t="shared" si="101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2"/>
      <c r="W95" s="292"/>
      <c r="X95" s="291" t="e">
        <v>#REF!</v>
      </c>
      <c r="Y95" s="291"/>
      <c r="Z95" s="291"/>
      <c r="AA95" s="291"/>
      <c r="AB95" s="291"/>
      <c r="AC95" s="291"/>
      <c r="AD95" s="289">
        <f t="shared" si="102"/>
        <v>1.4929090909090914</v>
      </c>
      <c r="AE95" s="289">
        <f t="shared" si="102"/>
        <v>1.2677361111111116</v>
      </c>
      <c r="AF95" s="289"/>
      <c r="AG95" s="289">
        <f t="shared" si="102"/>
        <v>1.845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100"/>
        <v>-0.66300000000000003</v>
      </c>
      <c r="G96" s="289">
        <f t="shared" si="100"/>
        <v>2.8040999999999974</v>
      </c>
      <c r="H96" s="289">
        <f t="shared" si="100"/>
        <v>3.0129552631578984</v>
      </c>
      <c r="I96" s="289">
        <f t="shared" si="100"/>
        <v>4.8371700000000013</v>
      </c>
      <c r="J96" s="290"/>
      <c r="K96" s="289">
        <f t="shared" si="101"/>
        <v>4.5435000000000008</v>
      </c>
      <c r="L96" s="289">
        <f t="shared" si="101"/>
        <v>4.6995000000000005</v>
      </c>
      <c r="M96" s="289">
        <f t="shared" si="101"/>
        <v>4.4343000000000004</v>
      </c>
      <c r="N96" s="289">
        <f t="shared" si="101"/>
        <v>4.8087000000000009</v>
      </c>
      <c r="O96" s="289">
        <f t="shared" si="101"/>
        <v>4.8555000000000001</v>
      </c>
      <c r="P96" s="289">
        <f t="shared" si="101"/>
        <v>2.9796</v>
      </c>
      <c r="Q96" s="289">
        <f>$B96*(Q78-Q$74-1.7)</f>
        <v>2.9094000000000002</v>
      </c>
      <c r="R96" s="291"/>
      <c r="S96" s="291"/>
      <c r="T96" s="291"/>
      <c r="U96" s="291"/>
      <c r="V96" s="292"/>
      <c r="W96" s="292"/>
      <c r="X96" s="291" t="e">
        <v>#REF!</v>
      </c>
      <c r="Y96" s="291"/>
      <c r="Z96" s="291"/>
      <c r="AA96" s="291"/>
      <c r="AB96" s="291"/>
      <c r="AC96" s="291"/>
      <c r="AD96" s="289">
        <f t="shared" si="102"/>
        <v>3.0908681818181818</v>
      </c>
      <c r="AE96" s="289">
        <f t="shared" si="102"/>
        <v>3.1134999999999988</v>
      </c>
      <c r="AF96" s="289"/>
      <c r="AG96" s="289">
        <f t="shared" si="102"/>
        <v>4.407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103">$B$97*((K79/6.5)-(K$74-1.7))</f>
        <v>-0.88577076923076925</v>
      </c>
      <c r="L97" s="289">
        <f t="shared" si="103"/>
        <v>-0.88175538461538472</v>
      </c>
      <c r="M97" s="289">
        <f t="shared" si="103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2"/>
      <c r="W97" s="292"/>
      <c r="X97" s="291" t="e">
        <v>#REF!</v>
      </c>
      <c r="Y97" s="291"/>
      <c r="Z97" s="291"/>
      <c r="AA97" s="291"/>
      <c r="AB97" s="291"/>
      <c r="AC97" s="291"/>
      <c r="AD97" s="289">
        <f t="shared" ref="AD97:AG97" si="104">$B$97*((AD79/6.5)-(AD$74-1.7))</f>
        <v>-0.48642909090909042</v>
      </c>
      <c r="AE97" s="289">
        <f t="shared" si="104"/>
        <v>-0.90027076923076887</v>
      </c>
      <c r="AF97" s="289"/>
      <c r="AG97" s="289">
        <f t="shared" si="104"/>
        <v>-0.81856923076923116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105">$B98*(K81-K$74-1.7)</f>
        <v>-1.5</v>
      </c>
      <c r="L98" s="289">
        <f t="shared" si="105"/>
        <v>-1.4565000000000001</v>
      </c>
      <c r="M98" s="289">
        <f t="shared" si="105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2"/>
      <c r="W98" s="292"/>
      <c r="X98" s="291" t="e">
        <v>#REF!</v>
      </c>
      <c r="Y98" s="291"/>
      <c r="Z98" s="291"/>
      <c r="AA98" s="291"/>
      <c r="AB98" s="291"/>
      <c r="AC98" s="291"/>
      <c r="AD98" s="289">
        <f t="shared" ref="AD98:AG98" si="106">$B98*(AD81-AD$74-1.7)</f>
        <v>-0.96431818181818174</v>
      </c>
      <c r="AE98" s="289">
        <f t="shared" si="106"/>
        <v>-1.3163</v>
      </c>
      <c r="AF98" s="289"/>
      <c r="AG98" s="289">
        <f t="shared" si="106"/>
        <v>-1.371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2"/>
      <c r="W99" s="292"/>
      <c r="X99" s="291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107">SUM(H92:H98)</f>
        <v>-0.17026991934711599</v>
      </c>
      <c r="I100" s="289">
        <f>SUM(I92:I98)</f>
        <v>2.9612135099939429</v>
      </c>
      <c r="J100" s="290"/>
      <c r="K100" s="289" t="e">
        <f t="shared" ref="K100:M100" si="108">SUM(K92:K98)</f>
        <v>#REF!</v>
      </c>
      <c r="L100" s="289" t="e">
        <f t="shared" si="108"/>
        <v>#REF!</v>
      </c>
      <c r="M100" s="289">
        <f t="shared" si="108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109">SUM(Q92:Q98)</f>
        <v>4.6379910256410248</v>
      </c>
      <c r="R100" s="291"/>
      <c r="S100" s="291"/>
      <c r="T100" s="291"/>
      <c r="U100" s="291"/>
      <c r="V100" s="292"/>
      <c r="W100" s="292"/>
      <c r="X100" s="291" t="e">
        <v>#REF!</v>
      </c>
      <c r="Y100" s="291"/>
      <c r="Z100" s="291"/>
      <c r="AA100" s="291"/>
      <c r="AB100" s="291"/>
      <c r="AC100" s="291"/>
      <c r="AD100" s="289">
        <f t="shared" ref="AD100:AG100" si="110">SUM(AD92:AD98)</f>
        <v>5.4023138383838401</v>
      </c>
      <c r="AE100" s="289">
        <f t="shared" si="110"/>
        <v>3.7568320085470077</v>
      </c>
      <c r="AF100" s="289"/>
      <c r="AG100" s="289">
        <f t="shared" si="110"/>
        <v>5.3744307692307682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80"/>
      <c r="W101" s="280"/>
      <c r="X101" s="279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80"/>
      <c r="W102" s="280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80"/>
      <c r="W103" s="280"/>
      <c r="X103" s="279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80"/>
      <c r="W104" s="280"/>
      <c r="X104" s="279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80"/>
      <c r="W105" s="280"/>
      <c r="X105" s="279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80"/>
      <c r="W106" s="280"/>
      <c r="X106" s="279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80"/>
      <c r="W107" s="280"/>
      <c r="X107" s="279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80"/>
      <c r="W108" s="280"/>
      <c r="X108" s="279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80"/>
      <c r="W109" s="280"/>
      <c r="X109" s="279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56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80"/>
      <c r="W110" s="280"/>
      <c r="X110" s="279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56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80"/>
      <c r="W111" s="280"/>
      <c r="X111" s="279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80"/>
      <c r="W112" s="280"/>
      <c r="X112" s="279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80"/>
      <c r="W113" s="280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80"/>
      <c r="W114" s="280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80"/>
      <c r="W115" s="280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80"/>
      <c r="W116" s="280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80"/>
      <c r="W117" s="280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80"/>
      <c r="W118" s="280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80"/>
      <c r="W119" s="280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80"/>
      <c r="W120" s="280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80"/>
      <c r="W121" s="280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80"/>
      <c r="W122" s="280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80"/>
      <c r="W123" s="280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5"/>
      <c r="W124" s="5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A65:C65"/>
    <mergeCell ref="A56:C56"/>
    <mergeCell ref="A47:C47"/>
    <mergeCell ref="A36:C36"/>
    <mergeCell ref="A27:C27"/>
    <mergeCell ref="A18:C18"/>
    <mergeCell ref="AH5:AH6"/>
    <mergeCell ref="AI5:AI6"/>
    <mergeCell ref="A9:C9"/>
    <mergeCell ref="AB5:AB6"/>
    <mergeCell ref="AC5:AC6"/>
    <mergeCell ref="AD5:AD6"/>
    <mergeCell ref="AE5:AE6"/>
    <mergeCell ref="AF5:AF6"/>
    <mergeCell ref="AG5:AG6"/>
    <mergeCell ref="T5:T6"/>
    <mergeCell ref="U5:U6"/>
    <mergeCell ref="X5:X6"/>
    <mergeCell ref="Y5:Y6"/>
    <mergeCell ref="Z5:Z6"/>
    <mergeCell ref="AA5:AA6"/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MT124"/>
  <sheetViews>
    <sheetView zoomScale="80" zoomScaleNormal="80" workbookViewId="0">
      <pane xSplit="15" ySplit="6" topLeftCell="P7" activePane="bottomRight" state="frozen"/>
      <selection activeCell="AJ82" sqref="AJ82"/>
      <selection pane="topRight" activeCell="AJ82" sqref="AJ82"/>
      <selection pane="bottomLeft" activeCell="AJ82" sqref="AJ82"/>
      <selection pane="bottomRight" activeCell="AJ82" sqref="AJ82"/>
    </sheetView>
  </sheetViews>
  <sheetFormatPr defaultColWidth="9.08984375" defaultRowHeight="21" outlineLevelRow="1" outlineLevelCol="1"/>
  <cols>
    <col min="1" max="1" width="17.36328125" style="194" customWidth="1"/>
    <col min="2" max="2" width="24.90625" style="2" hidden="1" customWidth="1"/>
    <col min="3" max="3" width="21.36328125" style="2" hidden="1" customWidth="1"/>
    <col min="4" max="4" width="13.453125" style="1" hidden="1" customWidth="1"/>
    <col min="5" max="5" width="10.36328125" style="1" hidden="1" customWidth="1"/>
    <col min="6" max="9" width="11.08984375" style="3" hidden="1" customWidth="1"/>
    <col min="10" max="10" width="31.90625" style="4" hidden="1" customWidth="1"/>
    <col min="11" max="14" width="11.08984375" style="3" hidden="1" customWidth="1"/>
    <col min="15" max="15" width="15.453125" style="3" hidden="1" customWidth="1"/>
    <col min="16" max="21" width="9" style="3" customWidth="1"/>
    <col min="22" max="23" width="30.08984375" style="5" hidden="1" customWidth="1" outlineLevel="1"/>
    <col min="24" max="24" width="9" style="6" customWidth="1" collapsed="1"/>
    <col min="25" max="29" width="9" style="6" customWidth="1"/>
    <col min="30" max="30" width="8.7265625" style="6" hidden="1" customWidth="1" outlineLevel="1"/>
    <col min="31" max="33" width="9.1796875" style="6" hidden="1" customWidth="1" outlineLevel="1"/>
    <col min="34" max="34" width="8.7265625" style="153" customWidth="1" collapsed="1"/>
    <col min="35" max="35" width="10.08984375" style="7" bestFit="1" customWidth="1"/>
    <col min="36" max="358" width="9.08984375" style="7"/>
    <col min="359" max="16384" width="9.08984375" style="8"/>
  </cols>
  <sheetData>
    <row r="1" spans="1:358" ht="21.75" hidden="1" customHeight="1" thickBot="1">
      <c r="AH1" s="7"/>
    </row>
    <row r="2" spans="1:358" ht="24.75" hidden="1" customHeight="1" thickBo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2"/>
      <c r="W2" s="12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7"/>
      <c r="W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8" t="s">
        <v>3</v>
      </c>
      <c r="F5" s="673" t="s">
        <v>4</v>
      </c>
      <c r="G5" s="673" t="s">
        <v>5</v>
      </c>
      <c r="H5" s="680" t="s">
        <v>6</v>
      </c>
      <c r="I5" s="673" t="s">
        <v>7</v>
      </c>
      <c r="J5" s="28" t="s">
        <v>2</v>
      </c>
      <c r="K5" s="673" t="s">
        <v>8</v>
      </c>
      <c r="L5" s="385" t="s">
        <v>9</v>
      </c>
      <c r="M5" s="385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673" t="s">
        <v>65</v>
      </c>
      <c r="U5" s="673" t="s">
        <v>66</v>
      </c>
      <c r="V5" s="29" t="s">
        <v>10</v>
      </c>
      <c r="W5" s="30" t="s">
        <v>11</v>
      </c>
      <c r="X5" s="673" t="s">
        <v>67</v>
      </c>
      <c r="Y5" s="673" t="s">
        <v>68</v>
      </c>
      <c r="Z5" s="673" t="s">
        <v>69</v>
      </c>
      <c r="AA5" s="673" t="s">
        <v>70</v>
      </c>
      <c r="AB5" s="673" t="s">
        <v>77</v>
      </c>
      <c r="AC5" s="697" t="s">
        <v>78</v>
      </c>
      <c r="AD5" s="699" t="s">
        <v>79</v>
      </c>
      <c r="AE5" s="688" t="s">
        <v>80</v>
      </c>
      <c r="AF5" s="688" t="s">
        <v>81</v>
      </c>
      <c r="AG5" s="695" t="s">
        <v>82</v>
      </c>
      <c r="AH5" s="685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79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674"/>
      <c r="V6" s="187">
        <v>42522</v>
      </c>
      <c r="W6" s="188">
        <v>42552</v>
      </c>
      <c r="X6" s="674"/>
      <c r="Y6" s="674"/>
      <c r="Z6" s="674"/>
      <c r="AA6" s="674"/>
      <c r="AB6" s="674"/>
      <c r="AC6" s="698"/>
      <c r="AD6" s="700"/>
      <c r="AE6" s="689"/>
      <c r="AF6" s="689"/>
      <c r="AG6" s="696"/>
      <c r="AH6" s="686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2"/>
      <c r="W7" s="22"/>
      <c r="X7" s="24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87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"/>
      <c r="V8" s="360"/>
      <c r="W8" s="215"/>
      <c r="X8" s="39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81"/>
      <c r="B9" s="682"/>
      <c r="C9" s="682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16"/>
      <c r="W9" s="217"/>
      <c r="X9" s="208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29.38</v>
      </c>
      <c r="R10" s="388">
        <v>35.141818181818174</v>
      </c>
      <c r="S10" s="388">
        <v>39.03</v>
      </c>
      <c r="T10" s="388">
        <v>44.268571428571427</v>
      </c>
      <c r="U10" s="189">
        <v>44</v>
      </c>
      <c r="V10" s="185"/>
      <c r="W10" s="186"/>
      <c r="X10" s="189">
        <v>42</v>
      </c>
      <c r="Y10" s="189">
        <v>40</v>
      </c>
      <c r="Z10" s="189">
        <v>41</v>
      </c>
      <c r="AA10" s="189">
        <v>42</v>
      </c>
      <c r="AB10" s="189">
        <v>43</v>
      </c>
      <c r="AC10" s="297">
        <v>44</v>
      </c>
      <c r="AD10" s="308">
        <f>AVERAGE(P10:R10)</f>
        <v>30.443939393939388</v>
      </c>
      <c r="AE10" s="246">
        <f>AVERAGE(S10:T10:U10)</f>
        <v>42.432857142857138</v>
      </c>
      <c r="AF10" s="246">
        <f>AVERAGE(X10:Z10)</f>
        <v>41</v>
      </c>
      <c r="AG10" s="309">
        <f>AVERAGE(AA10:AC10)</f>
        <v>43</v>
      </c>
      <c r="AH10" s="241">
        <f>AVERAGE(P10:AC10)</f>
        <v>39.21919913419913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29.38</v>
      </c>
      <c r="R11" s="389">
        <v>35.141818181818174</v>
      </c>
      <c r="S11" s="388">
        <v>39.03</v>
      </c>
      <c r="T11" s="388">
        <v>44.268571428571427</v>
      </c>
      <c r="U11" s="183">
        <v>45</v>
      </c>
      <c r="V11" s="185"/>
      <c r="W11" s="186"/>
      <c r="X11" s="183">
        <v>43</v>
      </c>
      <c r="Y11" s="183">
        <v>43</v>
      </c>
      <c r="Z11" s="183">
        <v>42</v>
      </c>
      <c r="AA11" s="183">
        <v>43</v>
      </c>
      <c r="AB11" s="183">
        <v>44</v>
      </c>
      <c r="AC11" s="298">
        <v>45</v>
      </c>
      <c r="AD11" s="308">
        <f>AVERAGE(P11:R11)</f>
        <v>30.443939393939388</v>
      </c>
      <c r="AE11" s="246">
        <f>AVERAGE(S11:T11:U11)</f>
        <v>42.766190476190474</v>
      </c>
      <c r="AF11" s="246">
        <f t="shared" ref="AF11:AF13" si="1">AVERAGE(X11:Z11)</f>
        <v>42.666666666666664</v>
      </c>
      <c r="AG11" s="309">
        <f t="shared" ref="AG11:AG13" si="2">AVERAGE(AA11:AC11)</f>
        <v>44</v>
      </c>
      <c r="AH11" s="241">
        <f>AVERAGE(P11:AC11)</f>
        <v>39.96919913419913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29.38</v>
      </c>
      <c r="R12" s="388">
        <v>35.141818181818174</v>
      </c>
      <c r="S12" s="388">
        <v>39.03</v>
      </c>
      <c r="T12" s="388">
        <v>44.268571428571427</v>
      </c>
      <c r="U12" s="183">
        <v>44</v>
      </c>
      <c r="V12" s="185"/>
      <c r="W12" s="186"/>
      <c r="X12" s="183">
        <v>43</v>
      </c>
      <c r="Y12" s="189">
        <v>43</v>
      </c>
      <c r="Z12" s="189">
        <v>40</v>
      </c>
      <c r="AA12" s="189">
        <v>40</v>
      </c>
      <c r="AB12" s="189">
        <v>42</v>
      </c>
      <c r="AC12" s="297">
        <v>44</v>
      </c>
      <c r="AD12" s="308">
        <f>AVERAGE(P12:R12)</f>
        <v>30.443939393939388</v>
      </c>
      <c r="AE12" s="246">
        <f>AVERAGE(S12:T12:U12)</f>
        <v>42.432857142857138</v>
      </c>
      <c r="AF12" s="246">
        <f t="shared" si="1"/>
        <v>42</v>
      </c>
      <c r="AG12" s="309">
        <f t="shared" si="2"/>
        <v>42</v>
      </c>
      <c r="AH12" s="241">
        <f>AVERAGE(P12:AC12)</f>
        <v>39.21919913419913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29.38</v>
      </c>
      <c r="R13" s="388">
        <v>35.141818181818174</v>
      </c>
      <c r="S13" s="388">
        <v>39.03</v>
      </c>
      <c r="T13" s="388">
        <v>44.268571428571427</v>
      </c>
      <c r="U13" s="189">
        <v>45.5</v>
      </c>
      <c r="V13" s="253" t="s">
        <v>200</v>
      </c>
      <c r="W13" s="254"/>
      <c r="X13" s="189">
        <v>46.3</v>
      </c>
      <c r="Y13" s="189">
        <v>47.05</v>
      </c>
      <c r="Z13" s="189">
        <v>48</v>
      </c>
      <c r="AA13" s="189">
        <v>48.7</v>
      </c>
      <c r="AB13" s="189">
        <v>49.2</v>
      </c>
      <c r="AC13" s="297">
        <v>50</v>
      </c>
      <c r="AD13" s="308">
        <f>AVERAGE(P13:R13)</f>
        <v>30.443939393939388</v>
      </c>
      <c r="AE13" s="246">
        <f>AVERAGE(S13:T13:U13)</f>
        <v>42.932857142857138</v>
      </c>
      <c r="AF13" s="246">
        <f t="shared" si="1"/>
        <v>47.116666666666667</v>
      </c>
      <c r="AG13" s="309">
        <f t="shared" si="2"/>
        <v>49.300000000000004</v>
      </c>
      <c r="AH13" s="241">
        <f>AVERAGE(P13:AC13)</f>
        <v>42.448365800865794</v>
      </c>
      <c r="AI13" s="267"/>
    </row>
    <row r="14" spans="1:358" s="62" customFormat="1" ht="19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5">AVERAGE(U10:U13)</f>
        <v>44.625</v>
      </c>
      <c r="V14" s="369"/>
      <c r="W14" s="369"/>
      <c r="X14" s="59">
        <f t="shared" si="5"/>
        <v>43.575000000000003</v>
      </c>
      <c r="Y14" s="59">
        <f t="shared" si="5"/>
        <v>43.262500000000003</v>
      </c>
      <c r="Z14" s="59">
        <f t="shared" si="5"/>
        <v>42.75</v>
      </c>
      <c r="AA14" s="59">
        <f t="shared" si="5"/>
        <v>43.424999999999997</v>
      </c>
      <c r="AB14" s="59">
        <f t="shared" si="5"/>
        <v>44.55</v>
      </c>
      <c r="AC14" s="234">
        <f t="shared" si="5"/>
        <v>45.75</v>
      </c>
      <c r="AD14" s="310">
        <f>AVERAGE(AD10:AD13)</f>
        <v>30.443939393939388</v>
      </c>
      <c r="AE14" s="59">
        <f t="shared" ref="AE14" si="6">AVERAGE(AE10:AE13)</f>
        <v>42.641190476190467</v>
      </c>
      <c r="AF14" s="59">
        <f>AVERAGE(AF10:AF13)</f>
        <v>43.195833333333333</v>
      </c>
      <c r="AG14" s="311">
        <f>AVERAGE(AG10:AG13)</f>
        <v>44.575000000000003</v>
      </c>
      <c r="AH14" s="242">
        <f>AVERAGE(AH10:AH13)</f>
        <v>40.213990800865794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45</v>
      </c>
      <c r="V15" s="370"/>
      <c r="W15" s="370"/>
      <c r="X15" s="164">
        <v>43</v>
      </c>
      <c r="Y15" s="164">
        <v>42</v>
      </c>
      <c r="Z15" s="164">
        <v>42</v>
      </c>
      <c r="AA15" s="164">
        <v>44</v>
      </c>
      <c r="AB15" s="164">
        <v>46</v>
      </c>
      <c r="AC15" s="229">
        <v>46</v>
      </c>
      <c r="AD15" s="312">
        <f>AVERAGE(P15:R15)</f>
        <v>30.443939393939388</v>
      </c>
      <c r="AE15" s="164">
        <f>AVERAGE(S15:T15:U15)</f>
        <v>42.766190476190474</v>
      </c>
      <c r="AF15" s="164">
        <f>AVERAGE(X15:Z15)</f>
        <v>42.333333333333336</v>
      </c>
      <c r="AG15" s="313">
        <f>AVERAGE(AA15:AC15)</f>
        <v>45.333333333333336</v>
      </c>
      <c r="AH15" s="242">
        <f>AVERAGE(P15:AC15)</f>
        <v>40.21919913419913</v>
      </c>
      <c r="AI15" s="271">
        <v>54</v>
      </c>
      <c r="AJ15" s="179"/>
      <c r="AK15" s="179"/>
    </row>
    <row r="16" spans="1:358" ht="21.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371"/>
      <c r="W16" s="371"/>
      <c r="X16" s="24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"/>
      <c r="V17" s="372"/>
      <c r="W17" s="372"/>
      <c r="X17" s="39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5"/>
      <c r="B18" s="676"/>
      <c r="C18" s="676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373"/>
      <c r="W18" s="374"/>
      <c r="X18" s="4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4.5627777777777778</v>
      </c>
      <c r="R19" s="388">
        <v>3.8622727272727388</v>
      </c>
      <c r="S19" s="388">
        <v>3.33</v>
      </c>
      <c r="T19" s="388">
        <v>-0.23190476190475806</v>
      </c>
      <c r="U19" s="189">
        <v>-1</v>
      </c>
      <c r="V19" s="185"/>
      <c r="W19" s="186"/>
      <c r="X19" s="189">
        <v>-1.5</v>
      </c>
      <c r="Y19" s="189">
        <v>-1.75</v>
      </c>
      <c r="Z19" s="189">
        <v>-1</v>
      </c>
      <c r="AA19" s="189">
        <v>-0.5</v>
      </c>
      <c r="AB19" s="189">
        <v>0</v>
      </c>
      <c r="AC19" s="297">
        <v>0.5</v>
      </c>
      <c r="AD19" s="308">
        <f>AVERAGE(P19:R19)</f>
        <v>6.0716835016835056</v>
      </c>
      <c r="AE19" s="246">
        <f>AVERAGE(S19:T19:U19)</f>
        <v>0.69936507936508063</v>
      </c>
      <c r="AF19" s="246">
        <f>AVERAGE(X19:Z19)</f>
        <v>-1.4166666666666667</v>
      </c>
      <c r="AG19" s="309">
        <f>AVERAGE(AA19:AC19)</f>
        <v>0</v>
      </c>
      <c r="AH19" s="241">
        <f>AVERAGE(P19:AC19)</f>
        <v>1.3385954785954801</v>
      </c>
      <c r="AI19" s="272"/>
    </row>
    <row r="20" spans="1:358" ht="58.5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4.5627777777777778</v>
      </c>
      <c r="R20" s="389">
        <v>3.8622727272727388</v>
      </c>
      <c r="S20" s="388">
        <v>3.33</v>
      </c>
      <c r="T20" s="388">
        <v>-0.23190476190475806</v>
      </c>
      <c r="U20" s="183">
        <v>1</v>
      </c>
      <c r="V20" s="185"/>
      <c r="W20" s="186"/>
      <c r="X20" s="183">
        <v>1</v>
      </c>
      <c r="Y20" s="183">
        <v>0.5</v>
      </c>
      <c r="Z20" s="183">
        <v>1</v>
      </c>
      <c r="AA20" s="183">
        <v>1.5</v>
      </c>
      <c r="AB20" s="183">
        <v>2</v>
      </c>
      <c r="AC20" s="298">
        <v>2.5</v>
      </c>
      <c r="AD20" s="308">
        <f>AVERAGE(P20:R20)</f>
        <v>6.0716835016835056</v>
      </c>
      <c r="AE20" s="246">
        <f>AVERAGE(S20:T20:U20)</f>
        <v>1.3660317460317473</v>
      </c>
      <c r="AF20" s="246">
        <f t="shared" ref="AF20:AF22" si="9">AVERAGE(X20:Z20)</f>
        <v>0.83333333333333337</v>
      </c>
      <c r="AG20" s="309">
        <f t="shared" ref="AG20:AG22" si="10">AVERAGE(AA20:AC20)</f>
        <v>2</v>
      </c>
      <c r="AH20" s="241">
        <f>AVERAGE(P20:AC20)</f>
        <v>2.5677621452621469</v>
      </c>
      <c r="AI20" s="272"/>
    </row>
    <row r="21" spans="1:358" ht="58.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4.5627777777777778</v>
      </c>
      <c r="R21" s="388">
        <v>3.8622727272727388</v>
      </c>
      <c r="S21" s="388">
        <v>3.33</v>
      </c>
      <c r="T21" s="388">
        <v>-0.23190476190475806</v>
      </c>
      <c r="U21" s="189">
        <v>0</v>
      </c>
      <c r="V21" s="185"/>
      <c r="W21" s="186"/>
      <c r="X21" s="189">
        <v>0</v>
      </c>
      <c r="Y21" s="189">
        <v>0</v>
      </c>
      <c r="Z21" s="189">
        <v>0</v>
      </c>
      <c r="AA21" s="189">
        <v>2</v>
      </c>
      <c r="AB21" s="189">
        <v>2</v>
      </c>
      <c r="AC21" s="297">
        <v>2</v>
      </c>
      <c r="AD21" s="308">
        <f>AVERAGE(P21:R21)</f>
        <v>6.0716835016835056</v>
      </c>
      <c r="AE21" s="246">
        <f>AVERAGE(S21:T21:U21)</f>
        <v>1.032698412698414</v>
      </c>
      <c r="AF21" s="246">
        <f t="shared" si="9"/>
        <v>0</v>
      </c>
      <c r="AG21" s="309">
        <f t="shared" si="10"/>
        <v>2</v>
      </c>
      <c r="AH21" s="241">
        <f>AVERAGE(P21:AC21)</f>
        <v>2.2760954785954799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4.5627777777777778</v>
      </c>
      <c r="R22" s="388">
        <v>3.8622727272727388</v>
      </c>
      <c r="S22" s="388">
        <v>3.33</v>
      </c>
      <c r="T22" s="388">
        <v>-0.23190476190475806</v>
      </c>
      <c r="U22" s="189">
        <v>-1</v>
      </c>
      <c r="V22" s="185"/>
      <c r="W22" s="186"/>
      <c r="X22" s="189">
        <v>-1</v>
      </c>
      <c r="Y22" s="189">
        <v>-1</v>
      </c>
      <c r="Z22" s="189">
        <v>1.3</v>
      </c>
      <c r="AA22" s="189">
        <v>2</v>
      </c>
      <c r="AB22" s="189">
        <v>2.5</v>
      </c>
      <c r="AC22" s="297">
        <v>2.5</v>
      </c>
      <c r="AD22" s="308">
        <f>AVERAGE(P22:R22)</f>
        <v>6.0716835016835056</v>
      </c>
      <c r="AE22" s="246">
        <f>AVERAGE(S22:T22:U22)</f>
        <v>0.69936507936508063</v>
      </c>
      <c r="AF22" s="246">
        <f t="shared" si="9"/>
        <v>-0.23333333333333331</v>
      </c>
      <c r="AG22" s="309">
        <f t="shared" si="10"/>
        <v>2.3333333333333335</v>
      </c>
      <c r="AH22" s="241">
        <f>AVERAGE(P22:AC22)</f>
        <v>2.2177621452621468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3">AVERAGE(U19:U22)</f>
        <v>-0.25</v>
      </c>
      <c r="V23" s="375"/>
      <c r="W23" s="375"/>
      <c r="X23" s="59">
        <f t="shared" si="13"/>
        <v>-0.375</v>
      </c>
      <c r="Y23" s="59">
        <f t="shared" si="13"/>
        <v>-0.5625</v>
      </c>
      <c r="Z23" s="59">
        <f t="shared" si="13"/>
        <v>0.32500000000000001</v>
      </c>
      <c r="AA23" s="59">
        <f t="shared" si="13"/>
        <v>1.25</v>
      </c>
      <c r="AB23" s="59">
        <f t="shared" si="13"/>
        <v>1.625</v>
      </c>
      <c r="AC23" s="234">
        <f t="shared" si="13"/>
        <v>1.875</v>
      </c>
      <c r="AD23" s="310">
        <f>AVERAGE(AD19:AD22)</f>
        <v>6.0716835016835056</v>
      </c>
      <c r="AE23" s="59">
        <f>AVERAGE(AE19:AE22)</f>
        <v>0.94936507936508063</v>
      </c>
      <c r="AF23" s="59">
        <f t="shared" ref="AF23:AG23" si="14">AVERAGE(AF19:AF22)</f>
        <v>-0.20416666666666666</v>
      </c>
      <c r="AG23" s="311">
        <f t="shared" si="14"/>
        <v>1.5833333333333335</v>
      </c>
      <c r="AH23" s="242">
        <f>AVERAGE(AH19:AH22)</f>
        <v>2.100053811928813</v>
      </c>
      <c r="AI23" s="272"/>
    </row>
    <row r="24" spans="1:358" ht="19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0.5</v>
      </c>
      <c r="V24" s="370"/>
      <c r="W24" s="370"/>
      <c r="X24" s="164">
        <v>0.5</v>
      </c>
      <c r="Y24" s="164">
        <v>-0.5</v>
      </c>
      <c r="Z24" s="164">
        <v>-0.7</v>
      </c>
      <c r="AA24" s="164">
        <v>1.5</v>
      </c>
      <c r="AB24" s="164">
        <v>2</v>
      </c>
      <c r="AC24" s="229">
        <v>2.5</v>
      </c>
      <c r="AD24" s="312">
        <f>AVERAGE(P24:R24)</f>
        <v>6.0716835016835056</v>
      </c>
      <c r="AE24" s="164">
        <f>AVERAGE(S24:T24:U24)</f>
        <v>1.1993650793650807</v>
      </c>
      <c r="AF24" s="164">
        <f>AVERAGE(X24:Z24)</f>
        <v>-0.23333333333333331</v>
      </c>
      <c r="AG24" s="313">
        <f>AVERAGE(AA24:AC24)</f>
        <v>2</v>
      </c>
      <c r="AH24" s="242">
        <f>AVERAGE(P24:AC24)</f>
        <v>2.2594288119288133</v>
      </c>
      <c r="AI24" s="271">
        <v>-1</v>
      </c>
    </row>
    <row r="25" spans="1:358" ht="21.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371"/>
      <c r="W25" s="371"/>
      <c r="X25" s="24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"/>
      <c r="V26" s="372"/>
      <c r="W26" s="372"/>
      <c r="X26" s="39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83"/>
      <c r="B27" s="684"/>
      <c r="C27" s="684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376"/>
      <c r="W27" s="377"/>
      <c r="X27" s="44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</v>
      </c>
      <c r="R28" s="388">
        <v>17.63000000000001</v>
      </c>
      <c r="S28" s="388">
        <v>15.56</v>
      </c>
      <c r="T28" s="388">
        <v>14.896666666666668</v>
      </c>
      <c r="U28" s="189">
        <v>15</v>
      </c>
      <c r="V28" s="185"/>
      <c r="W28" s="186"/>
      <c r="X28" s="189">
        <v>15</v>
      </c>
      <c r="Y28" s="189">
        <v>14.5</v>
      </c>
      <c r="Z28" s="189">
        <v>13</v>
      </c>
      <c r="AA28" s="189">
        <v>13</v>
      </c>
      <c r="AB28" s="189">
        <v>13.25</v>
      </c>
      <c r="AC28" s="297">
        <v>13.5</v>
      </c>
      <c r="AD28" s="308">
        <f>AVERAGE(P28:R28)</f>
        <v>18.813333333333336</v>
      </c>
      <c r="AE28" s="246">
        <f>AVERAGE(S28:T28:U28)</f>
        <v>15.152222222222223</v>
      </c>
      <c r="AF28" s="246">
        <f>AVERAGE(X28:Z28)</f>
        <v>14.166666666666666</v>
      </c>
      <c r="AG28" s="309">
        <f>AVERAGE(AA28:AC28)</f>
        <v>13.25</v>
      </c>
      <c r="AH28" s="241">
        <f>AVERAGE(P28:AC28)</f>
        <v>15.345555555555556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</v>
      </c>
      <c r="R29" s="389">
        <v>17.63000000000001</v>
      </c>
      <c r="S29" s="388">
        <v>15.56</v>
      </c>
      <c r="T29" s="389">
        <v>14.896666666666668</v>
      </c>
      <c r="U29" s="183">
        <v>17</v>
      </c>
      <c r="V29" s="185"/>
      <c r="W29" s="186"/>
      <c r="X29" s="183">
        <v>16</v>
      </c>
      <c r="Y29" s="183">
        <v>15.7</v>
      </c>
      <c r="Z29" s="183">
        <v>16.5</v>
      </c>
      <c r="AA29" s="183">
        <v>15.5</v>
      </c>
      <c r="AB29" s="183">
        <v>15</v>
      </c>
      <c r="AC29" s="298">
        <v>14.5</v>
      </c>
      <c r="AD29" s="308">
        <f>AVERAGE(P29:R29)</f>
        <v>18.813333333333336</v>
      </c>
      <c r="AE29" s="246">
        <f>AVERAGE(S29:T29:U29)</f>
        <v>15.818888888888891</v>
      </c>
      <c r="AF29" s="246">
        <f t="shared" ref="AF29:AF31" si="17">AVERAGE(X29:Z29)</f>
        <v>16.066666666666666</v>
      </c>
      <c r="AG29" s="309">
        <f t="shared" ref="AG29:AG31" si="18">AVERAGE(AA29:AC29)</f>
        <v>15</v>
      </c>
      <c r="AH29" s="241">
        <f>AVERAGE(P29:AC29)</f>
        <v>16.424722222222222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</v>
      </c>
      <c r="R30" s="388">
        <v>17.63000000000001</v>
      </c>
      <c r="S30" s="388">
        <v>15.56</v>
      </c>
      <c r="T30" s="388">
        <v>14.896666666666668</v>
      </c>
      <c r="U30" s="189">
        <v>14.5</v>
      </c>
      <c r="V30" s="185"/>
      <c r="W30" s="186"/>
      <c r="X30" s="189">
        <v>14.5</v>
      </c>
      <c r="Y30" s="189">
        <v>14.5</v>
      </c>
      <c r="Z30" s="189">
        <v>14.5</v>
      </c>
      <c r="AA30" s="189">
        <v>14.5</v>
      </c>
      <c r="AB30" s="189">
        <v>14.5</v>
      </c>
      <c r="AC30" s="297">
        <v>14.5</v>
      </c>
      <c r="AD30" s="308">
        <f>AVERAGE(P30:R30)</f>
        <v>18.813333333333336</v>
      </c>
      <c r="AE30" s="246">
        <f>AVERAGE(S30:T30:U30)</f>
        <v>14.985555555555557</v>
      </c>
      <c r="AF30" s="246">
        <f t="shared" si="17"/>
        <v>14.5</v>
      </c>
      <c r="AG30" s="309">
        <f t="shared" si="18"/>
        <v>14.5</v>
      </c>
      <c r="AH30" s="241">
        <f>AVERAGE(P30:AC30)</f>
        <v>15.699722222222222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</v>
      </c>
      <c r="R31" s="388">
        <v>17.63000000000001</v>
      </c>
      <c r="S31" s="388">
        <v>15.56</v>
      </c>
      <c r="T31" s="388">
        <v>14.896666666666668</v>
      </c>
      <c r="U31" s="189">
        <v>16.600000000000001</v>
      </c>
      <c r="V31" s="185" t="s">
        <v>201</v>
      </c>
      <c r="W31" s="186"/>
      <c r="X31" s="189">
        <v>15.1</v>
      </c>
      <c r="Y31" s="189">
        <v>14</v>
      </c>
      <c r="Z31" s="189">
        <v>13.3</v>
      </c>
      <c r="AA31" s="189">
        <v>13.4</v>
      </c>
      <c r="AB31" s="189">
        <v>13</v>
      </c>
      <c r="AC31" s="297">
        <v>13</v>
      </c>
      <c r="AD31" s="308">
        <f>AVERAGE(P31:R31)</f>
        <v>18.813333333333336</v>
      </c>
      <c r="AE31" s="246">
        <f>AVERAGE(S31:T31:U31)</f>
        <v>15.685555555555558</v>
      </c>
      <c r="AF31" s="246">
        <f t="shared" si="17"/>
        <v>14.133333333333335</v>
      </c>
      <c r="AG31" s="309">
        <f t="shared" si="18"/>
        <v>13.133333333333333</v>
      </c>
      <c r="AH31" s="241">
        <f>AVERAGE(P31:AC31)</f>
        <v>15.441388888888889</v>
      </c>
      <c r="AI31" s="272"/>
    </row>
    <row r="32" spans="1:358" s="62" customFormat="1" ht="19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15.56</v>
      </c>
      <c r="T32" s="59">
        <f>AVERAGE(T28:T31)</f>
        <v>14.896666666666668</v>
      </c>
      <c r="U32" s="59">
        <f t="shared" si="20"/>
        <v>15.775</v>
      </c>
      <c r="V32" s="369"/>
      <c r="W32" s="369"/>
      <c r="X32" s="59">
        <f t="shared" si="20"/>
        <v>15.15</v>
      </c>
      <c r="Y32" s="59">
        <f t="shared" si="20"/>
        <v>14.675000000000001</v>
      </c>
      <c r="Z32" s="59">
        <f t="shared" si="20"/>
        <v>14.324999999999999</v>
      </c>
      <c r="AA32" s="59">
        <f t="shared" si="20"/>
        <v>14.1</v>
      </c>
      <c r="AB32" s="59">
        <f t="shared" si="20"/>
        <v>13.9375</v>
      </c>
      <c r="AC32" s="234">
        <f t="shared" si="20"/>
        <v>13.875</v>
      </c>
      <c r="AD32" s="310">
        <f>AVERAGE(AD28:AD31)</f>
        <v>18.813333333333336</v>
      </c>
      <c r="AE32" s="59">
        <f t="shared" ref="AE32:AG32" si="21">AVERAGE(AE28:AE31)</f>
        <v>15.410555555555558</v>
      </c>
      <c r="AF32" s="59">
        <f t="shared" si="21"/>
        <v>14.716666666666667</v>
      </c>
      <c r="AG32" s="311">
        <f t="shared" si="21"/>
        <v>13.970833333333333</v>
      </c>
      <c r="AH32" s="242">
        <f>AVERAGE(AH28:AH31)</f>
        <v>15.727847222222222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15.5</v>
      </c>
      <c r="V33" s="370"/>
      <c r="W33" s="370"/>
      <c r="X33" s="164">
        <v>15</v>
      </c>
      <c r="Y33" s="164">
        <v>14.5</v>
      </c>
      <c r="Z33" s="164">
        <v>14</v>
      </c>
      <c r="AA33" s="164">
        <v>13.4</v>
      </c>
      <c r="AB33" s="164">
        <v>13</v>
      </c>
      <c r="AC33" s="229">
        <v>13.5</v>
      </c>
      <c r="AD33" s="312">
        <f>AVERAGE(P33:R33)</f>
        <v>18.813333333333336</v>
      </c>
      <c r="AE33" s="164">
        <f>AVERAGE(S33:T33:U33)</f>
        <v>15.318888888888891</v>
      </c>
      <c r="AF33" s="164">
        <f>AVERAGE(X33:Z33)</f>
        <v>14.5</v>
      </c>
      <c r="AG33" s="313">
        <f>AVERAGE(AA33:AC33)</f>
        <v>13.299999999999999</v>
      </c>
      <c r="AH33" s="242">
        <f>AVERAGE(P33:AC33)</f>
        <v>15.483055555555557</v>
      </c>
      <c r="AI33" s="271">
        <v>16</v>
      </c>
    </row>
    <row r="34" spans="1:358" ht="21.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371"/>
      <c r="W34" s="371"/>
      <c r="X34" s="24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"/>
      <c r="V35" s="378"/>
      <c r="W35" s="378"/>
      <c r="X35" s="39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5"/>
      <c r="B36" s="676"/>
      <c r="C36" s="676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373"/>
      <c r="W36" s="374"/>
      <c r="X36" s="4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11.62</v>
      </c>
      <c r="R37" s="390">
        <v>12.238181818181829</v>
      </c>
      <c r="S37" s="390">
        <v>10.5</v>
      </c>
      <c r="T37" s="390">
        <v>10.901428571428582</v>
      </c>
      <c r="U37" s="181">
        <v>11.25</v>
      </c>
      <c r="V37" s="185"/>
      <c r="W37" s="186"/>
      <c r="X37" s="181">
        <v>11.1</v>
      </c>
      <c r="Y37" s="181">
        <v>10</v>
      </c>
      <c r="Z37" s="181">
        <v>10.75</v>
      </c>
      <c r="AA37" s="181">
        <v>11.5</v>
      </c>
      <c r="AB37" s="181">
        <v>12.5</v>
      </c>
      <c r="AC37" s="299">
        <v>13.5</v>
      </c>
      <c r="AD37" s="308">
        <f>AVERAGE(P37:R37)</f>
        <v>11.652727272727276</v>
      </c>
      <c r="AE37" s="246">
        <f>AVERAGE(S37:T37:U37)</f>
        <v>10.883809523809527</v>
      </c>
      <c r="AF37" s="246">
        <f>AVERAGE(X37:Z37)</f>
        <v>10.616666666666667</v>
      </c>
      <c r="AG37" s="309">
        <f>AVERAGE(AA37:AC37)</f>
        <v>12.5</v>
      </c>
      <c r="AH37" s="241">
        <f>AVERAGE(P37:AC37)</f>
        <v>11.413300865800869</v>
      </c>
      <c r="AI37" s="272"/>
    </row>
    <row r="38" spans="1:358" ht="57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11.62</v>
      </c>
      <c r="R38" s="391">
        <v>12.238181818181829</v>
      </c>
      <c r="S38" s="390">
        <v>10.5</v>
      </c>
      <c r="T38" s="391">
        <v>10.901428571428582</v>
      </c>
      <c r="U38" s="175">
        <v>11.3</v>
      </c>
      <c r="V38" s="185"/>
      <c r="W38" s="186"/>
      <c r="X38" s="175">
        <v>10</v>
      </c>
      <c r="Y38" s="175">
        <v>10.5</v>
      </c>
      <c r="Z38" s="175">
        <v>11.5</v>
      </c>
      <c r="AA38" s="175">
        <v>12.7</v>
      </c>
      <c r="AB38" s="175">
        <v>13.3</v>
      </c>
      <c r="AC38" s="300">
        <v>13</v>
      </c>
      <c r="AD38" s="308">
        <f>AVERAGE(P38:R38)</f>
        <v>11.652727272727276</v>
      </c>
      <c r="AE38" s="246">
        <f>AVERAGE(S38:T38:U38)</f>
        <v>10.900476190476192</v>
      </c>
      <c r="AF38" s="246">
        <f t="shared" ref="AF38:AF40" si="24">AVERAGE(X38:Z38)</f>
        <v>10.666666666666666</v>
      </c>
      <c r="AG38" s="309">
        <f t="shared" ref="AG38:AG40" si="25">AVERAGE(AA38:AC38)</f>
        <v>13</v>
      </c>
      <c r="AH38" s="241">
        <f>AVERAGE(P38:AC38)</f>
        <v>11.554967532467534</v>
      </c>
      <c r="AI38" s="272"/>
    </row>
    <row r="39" spans="1:358" ht="57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11.62</v>
      </c>
      <c r="R39" s="388">
        <v>12.238181818181829</v>
      </c>
      <c r="S39" s="390">
        <v>10.5</v>
      </c>
      <c r="T39" s="390">
        <v>10.901428571428582</v>
      </c>
      <c r="U39" s="181">
        <v>10.5</v>
      </c>
      <c r="V39" s="185"/>
      <c r="W39" s="186"/>
      <c r="X39" s="181">
        <v>11</v>
      </c>
      <c r="Y39" s="181">
        <v>11</v>
      </c>
      <c r="Z39" s="181">
        <v>11.5</v>
      </c>
      <c r="AA39" s="181">
        <v>11</v>
      </c>
      <c r="AB39" s="181">
        <v>11.5</v>
      </c>
      <c r="AC39" s="299">
        <v>11.5</v>
      </c>
      <c r="AD39" s="308">
        <f>AVERAGE(P39:R39)</f>
        <v>11.652727272727276</v>
      </c>
      <c r="AE39" s="246">
        <f>AVERAGE(S39:T39:U39)</f>
        <v>10.633809523809527</v>
      </c>
      <c r="AF39" s="246">
        <f t="shared" si="24"/>
        <v>11.166666666666666</v>
      </c>
      <c r="AG39" s="309">
        <f t="shared" si="25"/>
        <v>11.333333333333334</v>
      </c>
      <c r="AH39" s="241">
        <f>AVERAGE(P39:AC39)</f>
        <v>11.1966341991342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11.62</v>
      </c>
      <c r="R40" s="390">
        <v>12.238181818181829</v>
      </c>
      <c r="S40" s="390">
        <v>10.5</v>
      </c>
      <c r="T40" s="390">
        <v>10.901428571428582</v>
      </c>
      <c r="U40" s="181">
        <v>11.15</v>
      </c>
      <c r="V40" s="185" t="s">
        <v>202</v>
      </c>
      <c r="W40" s="186"/>
      <c r="X40" s="181">
        <v>10.84</v>
      </c>
      <c r="Y40" s="181">
        <v>10.7</v>
      </c>
      <c r="Z40" s="181">
        <v>10.299999999999999</v>
      </c>
      <c r="AA40" s="181">
        <v>12.7</v>
      </c>
      <c r="AB40" s="181">
        <v>14.4</v>
      </c>
      <c r="AC40" s="299">
        <v>14.6</v>
      </c>
      <c r="AD40" s="308">
        <f>AVERAGE(P40:R40)</f>
        <v>11.652727272727276</v>
      </c>
      <c r="AE40" s="246">
        <f>AVERAGE(S40:T40:U40)</f>
        <v>10.850476190476193</v>
      </c>
      <c r="AF40" s="246">
        <f t="shared" si="24"/>
        <v>10.613333333333332</v>
      </c>
      <c r="AG40" s="309">
        <f t="shared" si="25"/>
        <v>13.9</v>
      </c>
      <c r="AH40" s="241">
        <f>AVERAGE(P40:AC40)</f>
        <v>11.754134199134201</v>
      </c>
      <c r="AI40" s="272"/>
    </row>
    <row r="41" spans="1:358" s="62" customFormat="1" ht="19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10.5</v>
      </c>
      <c r="T41" s="59">
        <f>AVERAGE(T37:T40)</f>
        <v>10.901428571428582</v>
      </c>
      <c r="U41" s="59">
        <f t="shared" si="27"/>
        <v>11.049999999999999</v>
      </c>
      <c r="V41" s="379"/>
      <c r="W41" s="379"/>
      <c r="X41" s="59">
        <f t="shared" si="27"/>
        <v>10.734999999999999</v>
      </c>
      <c r="Y41" s="59">
        <f t="shared" si="27"/>
        <v>10.55</v>
      </c>
      <c r="Z41" s="59">
        <f t="shared" si="27"/>
        <v>11.012499999999999</v>
      </c>
      <c r="AA41" s="59">
        <f t="shared" si="27"/>
        <v>11.975000000000001</v>
      </c>
      <c r="AB41" s="59">
        <f t="shared" si="27"/>
        <v>12.924999999999999</v>
      </c>
      <c r="AC41" s="234">
        <f t="shared" si="27"/>
        <v>13.15</v>
      </c>
      <c r="AD41" s="310">
        <f t="shared" si="27"/>
        <v>11.652727272727276</v>
      </c>
      <c r="AE41" s="59">
        <f t="shared" si="27"/>
        <v>10.81714285714286</v>
      </c>
      <c r="AF41" s="59">
        <f t="shared" si="27"/>
        <v>10.765833333333331</v>
      </c>
      <c r="AG41" s="311">
        <f t="shared" si="27"/>
        <v>12.683333333333334</v>
      </c>
      <c r="AH41" s="242">
        <f>AVERAGE(AH37:AH40)</f>
        <v>11.4797591991342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10.5</v>
      </c>
      <c r="T42" s="164">
        <f>T41</f>
        <v>10.901428571428582</v>
      </c>
      <c r="U42" s="164">
        <v>11</v>
      </c>
      <c r="V42" s="370"/>
      <c r="W42" s="370"/>
      <c r="X42" s="164">
        <v>10.9</v>
      </c>
      <c r="Y42" s="164">
        <v>10.5</v>
      </c>
      <c r="Z42" s="164">
        <v>10.75</v>
      </c>
      <c r="AA42" s="164">
        <v>12.2</v>
      </c>
      <c r="AB42" s="164">
        <v>13</v>
      </c>
      <c r="AC42" s="164">
        <v>13.5</v>
      </c>
      <c r="AD42" s="312">
        <f>AVERAGE(P42:R42)</f>
        <v>11.652727272727276</v>
      </c>
      <c r="AE42" s="164">
        <f>AVERAGE(S42:T42:U42)</f>
        <v>10.800476190476195</v>
      </c>
      <c r="AF42" s="164">
        <f>AVERAGE(X42:Z42)</f>
        <v>10.716666666666667</v>
      </c>
      <c r="AG42" s="313">
        <f>AVERAGE(AA42:AC42)</f>
        <v>12.9</v>
      </c>
      <c r="AH42" s="242">
        <f>AVERAGE(P42:AC42)</f>
        <v>11.517467532467535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 thickBo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1.4499999999999993</v>
      </c>
      <c r="T43" s="157">
        <f t="shared" si="29"/>
        <v>0.31809523809523199</v>
      </c>
      <c r="U43" s="157">
        <f t="shared" si="29"/>
        <v>0.30999999999999872</v>
      </c>
      <c r="V43" s="159"/>
      <c r="W43" s="159"/>
      <c r="X43" s="157">
        <f t="shared" si="29"/>
        <v>0.43499999999999872</v>
      </c>
      <c r="Y43" s="157">
        <f t="shared" si="29"/>
        <v>0.42500000000000071</v>
      </c>
      <c r="Z43" s="157">
        <f t="shared" si="29"/>
        <v>0.73749999999999893</v>
      </c>
      <c r="AA43" s="157">
        <f t="shared" si="29"/>
        <v>0.70000000000000107</v>
      </c>
      <c r="AB43" s="157">
        <f t="shared" si="29"/>
        <v>0.58249999999999957</v>
      </c>
      <c r="AC43" s="236">
        <f t="shared" si="29"/>
        <v>0.82500000000000107</v>
      </c>
      <c r="AD43" s="317">
        <f t="shared" si="29"/>
        <v>2.0274242424242441</v>
      </c>
      <c r="AE43" s="157">
        <f t="shared" si="29"/>
        <v>0.69269841269841059</v>
      </c>
      <c r="AF43" s="157">
        <f t="shared" si="29"/>
        <v>0.53249999999999886</v>
      </c>
      <c r="AG43" s="318">
        <f t="shared" si="29"/>
        <v>0.70250000000000057</v>
      </c>
      <c r="AH43" s="242">
        <f t="shared" si="29"/>
        <v>0.98878066378066265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9"/>
        <v>0.19999999999999929</v>
      </c>
      <c r="O44" s="164">
        <f t="shared" si="29"/>
        <v>1.4499999999999993</v>
      </c>
      <c r="P44" s="164">
        <f t="shared" si="29"/>
        <v>1.7599999999999998</v>
      </c>
      <c r="Q44" s="164">
        <f t="shared" si="29"/>
        <v>2.4599999999999991</v>
      </c>
      <c r="R44" s="164">
        <f t="shared" si="29"/>
        <v>1.8622727272727317</v>
      </c>
      <c r="S44" s="164">
        <f t="shared" si="29"/>
        <v>1.4499999999999993</v>
      </c>
      <c r="T44" s="164">
        <f t="shared" si="29"/>
        <v>0.31809523809523199</v>
      </c>
      <c r="U44" s="164">
        <f t="shared" si="29"/>
        <v>0.5</v>
      </c>
      <c r="V44" s="370"/>
      <c r="W44" s="370"/>
      <c r="X44" s="164">
        <f t="shared" si="29"/>
        <v>0.5</v>
      </c>
      <c r="Y44" s="164">
        <f t="shared" si="29"/>
        <v>0.5</v>
      </c>
      <c r="Z44" s="164">
        <f t="shared" si="29"/>
        <v>0.5</v>
      </c>
      <c r="AA44" s="164">
        <f t="shared" si="29"/>
        <v>0.69999999999999929</v>
      </c>
      <c r="AB44" s="164">
        <f t="shared" si="29"/>
        <v>0.69999999999999929</v>
      </c>
      <c r="AC44" s="229">
        <f t="shared" si="29"/>
        <v>1</v>
      </c>
      <c r="AD44" s="312">
        <f>AVERAGE(P44:R44)</f>
        <v>2.0274242424242437</v>
      </c>
      <c r="AE44" s="164">
        <f>AE42-AE53</f>
        <v>0.75603174603174494</v>
      </c>
      <c r="AF44" s="164">
        <f>AF42-AF53</f>
        <v>0.5</v>
      </c>
      <c r="AG44" s="313">
        <f>AG42-AG53</f>
        <v>0.80000000000000071</v>
      </c>
      <c r="AH44" s="243">
        <f>AH42-AH53</f>
        <v>1.020863997113997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371"/>
      <c r="W45" s="371"/>
      <c r="X45" s="24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1.020863997113997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"/>
      <c r="V46" s="381"/>
      <c r="W46" s="381"/>
      <c r="X46" s="39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75"/>
      <c r="B47" s="676"/>
      <c r="C47" s="676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382"/>
      <c r="W47" s="383"/>
      <c r="X47" s="44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189">
        <v>10.5</v>
      </c>
      <c r="V48" s="185"/>
      <c r="W48" s="186"/>
      <c r="X48" s="189">
        <v>10.5</v>
      </c>
      <c r="Y48" s="189">
        <v>10</v>
      </c>
      <c r="Z48" s="189">
        <v>10</v>
      </c>
      <c r="AA48" s="189">
        <v>10.5</v>
      </c>
      <c r="AB48" s="189">
        <v>11.5</v>
      </c>
      <c r="AC48" s="297">
        <v>12.5</v>
      </c>
      <c r="AD48" s="308">
        <f>AVERAGE(P48:R48)</f>
        <v>9.6253030303030318</v>
      </c>
      <c r="AE48" s="246">
        <f>AVERAGE(S48:T48:U48)</f>
        <v>10.04444444444445</v>
      </c>
      <c r="AF48" s="246">
        <f>AVERAGE(X48:Z48)</f>
        <v>10.166666666666666</v>
      </c>
      <c r="AG48" s="309">
        <f>AVERAGE(AA48:AC48)</f>
        <v>11.5</v>
      </c>
      <c r="AH48" s="241">
        <f>AVERAGE(P48:AC48)</f>
        <v>10.334103535353536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183">
        <v>10.3</v>
      </c>
      <c r="V49" s="185"/>
      <c r="W49" s="186"/>
      <c r="X49" s="183">
        <v>9.5</v>
      </c>
      <c r="Y49" s="183">
        <v>10</v>
      </c>
      <c r="Z49" s="183">
        <v>11</v>
      </c>
      <c r="AA49" s="183">
        <v>12</v>
      </c>
      <c r="AB49" s="183">
        <v>12.5</v>
      </c>
      <c r="AC49" s="298">
        <v>12.3</v>
      </c>
      <c r="AD49" s="308">
        <f>AVERAGE(P49:R49)</f>
        <v>9.6253030303030318</v>
      </c>
      <c r="AE49" s="246">
        <f>AVERAGE(S49:T49:U49)</f>
        <v>9.9777777777777832</v>
      </c>
      <c r="AF49" s="246">
        <f t="shared" ref="AF49:AF51" si="30">AVERAGE(X49:Z49)</f>
        <v>10.166666666666666</v>
      </c>
      <c r="AG49" s="309">
        <f t="shared" ref="AG49:AG51" si="31">AVERAGE(AA49:AC49)</f>
        <v>12.266666666666666</v>
      </c>
      <c r="AH49" s="241">
        <f>AVERAGE(P49:AC49)</f>
        <v>10.509103535353537</v>
      </c>
      <c r="AI49" s="267"/>
    </row>
    <row r="50" spans="1:358" ht="50.25" hidden="1" customHeight="1" outlineLevel="1">
      <c r="A50" s="47" t="s">
        <v>25</v>
      </c>
      <c r="B50" s="78">
        <f t="shared" ref="B50" si="32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189">
        <v>10.5</v>
      </c>
      <c r="V50" s="185"/>
      <c r="W50" s="186"/>
      <c r="X50" s="189">
        <v>10.5</v>
      </c>
      <c r="Y50" s="189">
        <v>10.5</v>
      </c>
      <c r="Z50" s="189">
        <v>11</v>
      </c>
      <c r="AA50" s="189">
        <v>11</v>
      </c>
      <c r="AB50" s="189">
        <v>11.5</v>
      </c>
      <c r="AC50" s="297">
        <v>11.5</v>
      </c>
      <c r="AD50" s="308">
        <f>AVERAGE(P50:R50)</f>
        <v>9.6253030303030318</v>
      </c>
      <c r="AE50" s="246">
        <f>AVERAGE(S50:T50:U50)</f>
        <v>10.04444444444445</v>
      </c>
      <c r="AF50" s="246">
        <f t="shared" si="30"/>
        <v>10.666666666666666</v>
      </c>
      <c r="AG50" s="309">
        <f t="shared" si="31"/>
        <v>11.333333333333334</v>
      </c>
      <c r="AH50" s="241">
        <f>AVERAGE(P50:AC50)</f>
        <v>10.41743686868687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189">
        <v>11.66</v>
      </c>
      <c r="V51" s="224" t="s">
        <v>203</v>
      </c>
      <c r="W51" s="186" t="s">
        <v>204</v>
      </c>
      <c r="X51" s="189">
        <v>10.7</v>
      </c>
      <c r="Y51" s="183">
        <v>10</v>
      </c>
      <c r="Z51" s="183">
        <v>9.1</v>
      </c>
      <c r="AA51" s="183">
        <v>11.6</v>
      </c>
      <c r="AB51" s="183">
        <v>13.87</v>
      </c>
      <c r="AC51" s="298">
        <v>13</v>
      </c>
      <c r="AD51" s="308">
        <f>AVERAGE(P51:R51)</f>
        <v>9.6253030303030318</v>
      </c>
      <c r="AE51" s="246">
        <f>AVERAGE(S51:T51:U51)</f>
        <v>10.431111111111116</v>
      </c>
      <c r="AF51" s="246">
        <f t="shared" si="30"/>
        <v>9.9333333333333318</v>
      </c>
      <c r="AG51" s="309">
        <f t="shared" si="31"/>
        <v>12.823333333333332</v>
      </c>
      <c r="AH51" s="241">
        <f>AVERAGE(P51:AC51)</f>
        <v>10.703270202020205</v>
      </c>
      <c r="AI51" s="267"/>
    </row>
    <row r="52" spans="1:358" s="62" customFormat="1" ht="19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3">AVERAGE(J48:J51)</f>
        <v>#DIV/0!</v>
      </c>
      <c r="K52" s="157">
        <f t="shared" si="33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4">AVERAGE(R48:R51)</f>
        <v>10.375909090909097</v>
      </c>
      <c r="S52" s="59">
        <f t="shared" si="34"/>
        <v>9.0500000000000007</v>
      </c>
      <c r="T52" s="59">
        <f>AVERAGE(T48:T51)</f>
        <v>10.58333333333335</v>
      </c>
      <c r="U52" s="59">
        <f t="shared" si="34"/>
        <v>10.74</v>
      </c>
      <c r="V52" s="379"/>
      <c r="W52" s="379"/>
      <c r="X52" s="59">
        <f t="shared" si="34"/>
        <v>10.3</v>
      </c>
      <c r="Y52" s="59">
        <f t="shared" si="34"/>
        <v>10.125</v>
      </c>
      <c r="Z52" s="59">
        <f t="shared" si="34"/>
        <v>10.275</v>
      </c>
      <c r="AA52" s="59">
        <f t="shared" si="34"/>
        <v>11.275</v>
      </c>
      <c r="AB52" s="59">
        <f t="shared" si="34"/>
        <v>12.342499999999999</v>
      </c>
      <c r="AC52" s="234">
        <f t="shared" si="34"/>
        <v>12.324999999999999</v>
      </c>
      <c r="AD52" s="310">
        <f t="shared" si="34"/>
        <v>9.6253030303030318</v>
      </c>
      <c r="AE52" s="59">
        <f t="shared" si="34"/>
        <v>10.12444444444445</v>
      </c>
      <c r="AF52" s="59">
        <f t="shared" si="34"/>
        <v>10.233333333333333</v>
      </c>
      <c r="AG52" s="311">
        <f t="shared" si="34"/>
        <v>11.980833333333333</v>
      </c>
      <c r="AH52" s="242">
        <f>AVERAGE(AH48:AH51)</f>
        <v>10.490978535353538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5">O52</f>
        <v>14.15</v>
      </c>
      <c r="P53" s="164">
        <f>P52</f>
        <v>9.34</v>
      </c>
      <c r="Q53" s="164">
        <f t="shared" ref="Q53" si="36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10.5</v>
      </c>
      <c r="V53" s="370"/>
      <c r="W53" s="370"/>
      <c r="X53" s="164">
        <v>10.4</v>
      </c>
      <c r="Y53" s="164">
        <v>10</v>
      </c>
      <c r="Z53" s="164">
        <v>10.25</v>
      </c>
      <c r="AA53" s="164">
        <v>11.5</v>
      </c>
      <c r="AB53" s="164">
        <v>12.3</v>
      </c>
      <c r="AC53" s="164">
        <v>12.5</v>
      </c>
      <c r="AD53" s="312">
        <f>AVERAGE(P53:R53)</f>
        <v>9.6253030303030318</v>
      </c>
      <c r="AE53" s="164">
        <f>AVERAGE(S53:T53:U53)</f>
        <v>10.04444444444445</v>
      </c>
      <c r="AF53" s="164">
        <f>AVERAGE(X53:Z53)</f>
        <v>10.216666666666667</v>
      </c>
      <c r="AG53" s="313">
        <f>AVERAGE(AA53:AC53)</f>
        <v>12.1</v>
      </c>
      <c r="AH53" s="242">
        <f>AVERAGE(P53:AC53)</f>
        <v>10.496603535353538</v>
      </c>
      <c r="AI53" s="275">
        <v>12.8</v>
      </c>
    </row>
    <row r="54" spans="1:358" ht="21.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371"/>
      <c r="W54" s="371"/>
      <c r="X54" s="24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idden="1" outlineLevel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"/>
      <c r="V55" s="372"/>
      <c r="W55" s="372"/>
      <c r="X55" s="39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.5" hidden="1" outlineLevel="1">
      <c r="A56" s="675"/>
      <c r="B56" s="676"/>
      <c r="C56" s="676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376"/>
      <c r="W56" s="377"/>
      <c r="X56" s="44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189">
        <v>-8.5</v>
      </c>
      <c r="V57" s="185"/>
      <c r="W57" s="186"/>
      <c r="X57" s="189">
        <v>-8.25</v>
      </c>
      <c r="Y57" s="189">
        <v>-8.5</v>
      </c>
      <c r="Z57" s="189">
        <v>-8.75</v>
      </c>
      <c r="AA57" s="189">
        <v>-8.75</v>
      </c>
      <c r="AB57" s="189">
        <v>-8.5</v>
      </c>
      <c r="AC57" s="297">
        <v>-8.25</v>
      </c>
      <c r="AD57" s="308">
        <f>AVERAGE(P57:R57)</f>
        <v>-5.1703388212837007</v>
      </c>
      <c r="AE57" s="246">
        <f>AVERAGE(S57:T57:U57)</f>
        <v>-8.7806736657917757</v>
      </c>
      <c r="AF57" s="246">
        <f>AVERAGE(X57:Z57)</f>
        <v>-8.5</v>
      </c>
      <c r="AG57" s="309">
        <f>AVERAGE(AA57:AC57)</f>
        <v>-8.5</v>
      </c>
      <c r="AH57" s="241">
        <f>AVERAGE(P57:AC57)</f>
        <v>-7.7377531217688684</v>
      </c>
      <c r="AI57" s="267"/>
    </row>
    <row r="58" spans="1:358" ht="51" hidden="1" customHeight="1" outlineLevel="1">
      <c r="A58" s="47" t="s">
        <v>24</v>
      </c>
      <c r="B58" s="78">
        <f t="shared" ref="B58" si="37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189">
        <v>-8</v>
      </c>
      <c r="V58" s="185"/>
      <c r="W58" s="186"/>
      <c r="X58" s="189">
        <v>-8</v>
      </c>
      <c r="Y58" s="189">
        <v>-7.7</v>
      </c>
      <c r="Z58" s="189">
        <v>-7.5</v>
      </c>
      <c r="AA58" s="189">
        <v>-7.5</v>
      </c>
      <c r="AB58" s="189">
        <v>-7</v>
      </c>
      <c r="AC58" s="297">
        <v>-6.7</v>
      </c>
      <c r="AD58" s="308">
        <f>AVERAGE(P58:R58)</f>
        <v>-5.1703388212837007</v>
      </c>
      <c r="AE58" s="246">
        <f>AVERAGE(S58:T58:U58)</f>
        <v>-8.6140069991251078</v>
      </c>
      <c r="AF58" s="246">
        <f t="shared" ref="AF58:AF60" si="38">AVERAGE(X58:Z58)</f>
        <v>-7.7333333333333334</v>
      </c>
      <c r="AG58" s="309">
        <f t="shared" ref="AG58:AG60" si="39">AVERAGE(AA58:AC58)</f>
        <v>-7.0666666666666664</v>
      </c>
      <c r="AH58" s="241">
        <f>AVERAGE(P58:AC58)</f>
        <v>-7.1460864551022034</v>
      </c>
      <c r="AI58" s="267"/>
    </row>
    <row r="59" spans="1:358" ht="51" hidden="1" customHeight="1" outlineLevel="1">
      <c r="A59" s="47" t="s">
        <v>25</v>
      </c>
      <c r="B59" s="78">
        <f t="shared" ref="B59" si="40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189">
        <v>-8.5</v>
      </c>
      <c r="V59" s="185"/>
      <c r="W59" s="186"/>
      <c r="X59" s="189">
        <v>-8.5</v>
      </c>
      <c r="Y59" s="189">
        <v>-8</v>
      </c>
      <c r="Z59" s="189">
        <v>-7.5</v>
      </c>
      <c r="AA59" s="189">
        <v>-7.5</v>
      </c>
      <c r="AB59" s="189">
        <v>-7.5</v>
      </c>
      <c r="AC59" s="297">
        <v>-7.5</v>
      </c>
      <c r="AD59" s="308">
        <f>AVERAGE(P59:R59)</f>
        <v>-5.1703388212837007</v>
      </c>
      <c r="AE59" s="246">
        <f>AVERAGE(S59:T59:U59)</f>
        <v>-8.7806736657917757</v>
      </c>
      <c r="AF59" s="246">
        <f t="shared" si="38"/>
        <v>-8</v>
      </c>
      <c r="AG59" s="309">
        <f t="shared" si="39"/>
        <v>-7.5</v>
      </c>
      <c r="AH59" s="241">
        <f>AVERAGE(P59:AC59)</f>
        <v>-7.3627531217688684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189">
        <v>-8.3000000000000007</v>
      </c>
      <c r="V60" s="185" t="s">
        <v>205</v>
      </c>
      <c r="W60" s="186"/>
      <c r="X60" s="189">
        <v>-7.55</v>
      </c>
      <c r="Y60" s="189">
        <v>-8.1999999999999993</v>
      </c>
      <c r="Z60" s="189">
        <v>-9</v>
      </c>
      <c r="AA60" s="189">
        <v>-8.6999999999999993</v>
      </c>
      <c r="AB60" s="189">
        <v>-8.23</v>
      </c>
      <c r="AC60" s="297">
        <v>-8</v>
      </c>
      <c r="AD60" s="308">
        <f>AVERAGE(P60:R60)</f>
        <v>-5.1703388212837007</v>
      </c>
      <c r="AE60" s="246">
        <f>AVERAGE(S60:T60:U60)</f>
        <v>-8.7140069991251092</v>
      </c>
      <c r="AF60" s="246">
        <f t="shared" si="38"/>
        <v>-8.25</v>
      </c>
      <c r="AG60" s="309">
        <f t="shared" si="39"/>
        <v>-8.31</v>
      </c>
      <c r="AH60" s="241">
        <f>AVERAGE(P60:AC60)</f>
        <v>-7.6110864551022033</v>
      </c>
      <c r="AI60" s="267"/>
    </row>
    <row r="61" spans="1:358" s="62" customFormat="1" ht="19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1">AVERAGE(K57:K60)</f>
        <v>-8.1550000000000011</v>
      </c>
      <c r="L61" s="59">
        <f t="shared" si="41"/>
        <v>-8.1550000000000011</v>
      </c>
      <c r="M61" s="59">
        <f t="shared" si="41"/>
        <v>-8.33</v>
      </c>
      <c r="N61" s="59">
        <f t="shared" si="41"/>
        <v>-6.9175000000000004</v>
      </c>
      <c r="O61" s="59">
        <f t="shared" si="41"/>
        <v>-6.7333333333333334</v>
      </c>
      <c r="P61" s="59">
        <f>AVERAGE(P57:P60)</f>
        <v>-3.13</v>
      </c>
      <c r="Q61" s="59">
        <f t="shared" si="41"/>
        <v>-5.08</v>
      </c>
      <c r="R61" s="59">
        <f t="shared" si="41"/>
        <v>-7.3010164638511021</v>
      </c>
      <c r="S61" s="59">
        <f t="shared" si="41"/>
        <v>-8.77</v>
      </c>
      <c r="T61" s="59">
        <f>AVERAGE(T57:T60)</f>
        <v>-9.0720209973753256</v>
      </c>
      <c r="U61" s="59">
        <f t="shared" si="41"/>
        <v>-8.3249999999999993</v>
      </c>
      <c r="V61" s="369"/>
      <c r="W61" s="369"/>
      <c r="X61" s="59">
        <f t="shared" si="41"/>
        <v>-8.0749999999999993</v>
      </c>
      <c r="Y61" s="59">
        <f t="shared" si="41"/>
        <v>-8.1</v>
      </c>
      <c r="Z61" s="59">
        <f t="shared" si="41"/>
        <v>-8.1875</v>
      </c>
      <c r="AA61" s="59">
        <f t="shared" si="41"/>
        <v>-8.1125000000000007</v>
      </c>
      <c r="AB61" s="59">
        <f t="shared" si="41"/>
        <v>-7.8075000000000001</v>
      </c>
      <c r="AC61" s="234">
        <f t="shared" si="41"/>
        <v>-7.6124999999999998</v>
      </c>
      <c r="AD61" s="310">
        <f t="shared" si="41"/>
        <v>-5.1703388212837007</v>
      </c>
      <c r="AE61" s="59">
        <f t="shared" si="41"/>
        <v>-8.7223403324584421</v>
      </c>
      <c r="AF61" s="59">
        <f t="shared" si="41"/>
        <v>-8.1208333333333336</v>
      </c>
      <c r="AG61" s="311">
        <f t="shared" si="41"/>
        <v>-7.8441666666666663</v>
      </c>
      <c r="AH61" s="242">
        <f>AVERAGE(AH57:AH60)</f>
        <v>-7.4644197884355359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2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-8.5</v>
      </c>
      <c r="V62" s="370"/>
      <c r="W62" s="370"/>
      <c r="X62" s="164">
        <v>-8.1</v>
      </c>
      <c r="Y62" s="164">
        <v>-8</v>
      </c>
      <c r="Z62" s="164">
        <v>-8</v>
      </c>
      <c r="AA62" s="164">
        <v>-8</v>
      </c>
      <c r="AB62" s="164">
        <v>-7.5</v>
      </c>
      <c r="AC62" s="229">
        <v>-7.5</v>
      </c>
      <c r="AD62" s="312">
        <f>AVERAGE(P62:R62)</f>
        <v>-5.1703388212837007</v>
      </c>
      <c r="AE62" s="164">
        <f>AVERAGE(S62:T62:U62)</f>
        <v>-8.7806736657917757</v>
      </c>
      <c r="AF62" s="164">
        <f>AVERAGE(X62:Z62)</f>
        <v>-8.0333333333333332</v>
      </c>
      <c r="AG62" s="313">
        <f>AVERAGE(AA62:AC62)</f>
        <v>-7.666666666666667</v>
      </c>
      <c r="AH62" s="242">
        <f>AVERAGE(P62:AC62)</f>
        <v>-7.4127531217688691</v>
      </c>
      <c r="AI62" s="275">
        <v>-6.5</v>
      </c>
    </row>
    <row r="63" spans="1:358" ht="21.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371"/>
      <c r="W63" s="371"/>
      <c r="X63" s="24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idden="1" outlineLevel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"/>
      <c r="V64" s="384"/>
      <c r="W64" s="384"/>
      <c r="X64" s="39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75"/>
      <c r="B65" s="676"/>
      <c r="C65" s="676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373"/>
      <c r="W65" s="374"/>
      <c r="X65" s="4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189">
        <v>3.0199999999999947</v>
      </c>
      <c r="V66" s="255"/>
      <c r="W66" s="255"/>
      <c r="X66" s="189">
        <v>3.1</v>
      </c>
      <c r="Y66" s="189">
        <v>3.2</v>
      </c>
      <c r="Z66" s="189">
        <v>3.2</v>
      </c>
      <c r="AA66" s="189">
        <v>3.2</v>
      </c>
      <c r="AB66" s="189">
        <v>3.3</v>
      </c>
      <c r="AC66" s="297">
        <v>3.3</v>
      </c>
      <c r="AD66" s="308">
        <f>AVERAGE(P66:R66)</f>
        <v>3.3432575757575762</v>
      </c>
      <c r="AE66" s="246">
        <f>AVERAGE(S66:T66:U66)</f>
        <v>2.6922261904761875</v>
      </c>
      <c r="AF66" s="246">
        <f>AVERAGE(X66:Z66)</f>
        <v>3.1666666666666665</v>
      </c>
      <c r="AG66" s="309">
        <f>AVERAGE(AA66:AC66)</f>
        <v>3.2666666666666671</v>
      </c>
      <c r="AH66" s="241">
        <f>AVERAGE(P66:AC66)</f>
        <v>3.1172042748917739</v>
      </c>
      <c r="AI66" s="267"/>
    </row>
    <row r="67" spans="1:358" ht="48.75" hidden="1" customHeight="1" outlineLevel="1">
      <c r="A67" s="47" t="s">
        <v>24</v>
      </c>
      <c r="B67" s="78">
        <f t="shared" ref="B67" si="43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189">
        <v>2.7</v>
      </c>
      <c r="V67" s="255"/>
      <c r="W67" s="255"/>
      <c r="X67" s="189">
        <v>3.012218722136681</v>
      </c>
      <c r="Y67" s="189">
        <v>2.9</v>
      </c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2.5855595238095224</v>
      </c>
      <c r="AF67" s="246">
        <f t="shared" ref="AF67:AF69" si="44">AVERAGE(X67:Z67)</f>
        <v>2.9374062407122268</v>
      </c>
      <c r="AG67" s="309">
        <f t="shared" ref="AG67:AG69" si="45">AVERAGE(AA67:AC67)</f>
        <v>2.6333333333333333</v>
      </c>
      <c r="AH67" s="241">
        <f>AVERAGE(P67:AC67)</f>
        <v>2.8748891684031643</v>
      </c>
      <c r="AI67" s="267"/>
    </row>
    <row r="68" spans="1:358" ht="48.75" hidden="1" customHeight="1" outlineLevel="1">
      <c r="A68" s="47" t="s">
        <v>25</v>
      </c>
      <c r="B68" s="78">
        <f t="shared" ref="B68" si="46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189">
        <v>3</v>
      </c>
      <c r="V68" s="185"/>
      <c r="W68" s="186"/>
      <c r="X68" s="189">
        <v>3</v>
      </c>
      <c r="Y68" s="189">
        <v>3</v>
      </c>
      <c r="Z68" s="189">
        <v>3</v>
      </c>
      <c r="AA68" s="189">
        <v>3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AVERAGE(S68:T68:U68)</f>
        <v>2.685559523809522</v>
      </c>
      <c r="AF68" s="246">
        <f t="shared" si="44"/>
        <v>3</v>
      </c>
      <c r="AG68" s="309">
        <f t="shared" si="45"/>
        <v>3</v>
      </c>
      <c r="AH68" s="241">
        <f>AVERAGE(P68:AC68)</f>
        <v>3.0072042748917744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189">
        <v>3.1</v>
      </c>
      <c r="V69" s="256"/>
      <c r="W69" s="256"/>
      <c r="X69" s="189">
        <v>3.1</v>
      </c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2.7188928571428561</v>
      </c>
      <c r="AF69" s="246">
        <f t="shared" si="44"/>
        <v>2.8333333333333335</v>
      </c>
      <c r="AG69" s="309">
        <f t="shared" si="45"/>
        <v>2.7000000000000006</v>
      </c>
      <c r="AH69" s="241">
        <f>AVERAGE(P69:AC69)</f>
        <v>2.8988709415584419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7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8">AVERAGE(S66:S69)</f>
        <v>2.4500000000000002</v>
      </c>
      <c r="T70" s="59">
        <f>AVERAGE(T66:T69)</f>
        <v>2.6066785714285672</v>
      </c>
      <c r="U70" s="59">
        <f t="shared" si="48"/>
        <v>2.9549999999999987</v>
      </c>
      <c r="V70" s="60"/>
      <c r="W70" s="60"/>
      <c r="X70" s="59">
        <f t="shared" si="48"/>
        <v>3.0530546805341703</v>
      </c>
      <c r="Y70" s="59">
        <f t="shared" si="48"/>
        <v>2.95</v>
      </c>
      <c r="Z70" s="59">
        <f t="shared" si="48"/>
        <v>2.95</v>
      </c>
      <c r="AA70" s="59">
        <f t="shared" si="48"/>
        <v>2.8499999999999996</v>
      </c>
      <c r="AB70" s="59">
        <f t="shared" si="48"/>
        <v>2.9000000000000004</v>
      </c>
      <c r="AC70" s="234">
        <f t="shared" si="48"/>
        <v>2.95</v>
      </c>
      <c r="AD70" s="310">
        <f t="shared" si="48"/>
        <v>3.3432575757575762</v>
      </c>
      <c r="AE70" s="59">
        <f>AVERAGE(AE66:AE69)</f>
        <v>2.6705595238095219</v>
      </c>
      <c r="AF70" s="59">
        <f t="shared" ref="AF70:AG70" si="49">AVERAGE(AF66:AF69)</f>
        <v>2.9843515601780566</v>
      </c>
      <c r="AG70" s="311">
        <f t="shared" si="49"/>
        <v>2.9000000000000004</v>
      </c>
      <c r="AH70" s="242">
        <f>AVERAGE(AH66:AH69)</f>
        <v>2.9745421649362886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0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2.9</v>
      </c>
      <c r="V71" s="164"/>
      <c r="W71" s="164"/>
      <c r="X71" s="164">
        <v>3</v>
      </c>
      <c r="Y71" s="164">
        <v>3</v>
      </c>
      <c r="Z71" s="164">
        <v>2.9</v>
      </c>
      <c r="AA71" s="164">
        <v>2.9</v>
      </c>
      <c r="AB71" s="164">
        <v>2.9</v>
      </c>
      <c r="AC71" s="229">
        <v>3</v>
      </c>
      <c r="AD71" s="312">
        <f>AVERAGE(P71:R71)</f>
        <v>3.3432575757575762</v>
      </c>
      <c r="AE71" s="164">
        <f>AVERAGE(S71:T71:U71)</f>
        <v>2.6522261904761888</v>
      </c>
      <c r="AF71" s="164">
        <f>AVERAGE(X71:Z71)</f>
        <v>2.9666666666666668</v>
      </c>
      <c r="AG71" s="313">
        <f>AVERAGE(AA71:AC71)</f>
        <v>2.9333333333333336</v>
      </c>
      <c r="AH71" s="242">
        <f>AVERAGE(P71:AC71)</f>
        <v>2.9738709415584412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6"/>
      <c r="V72" s="125"/>
      <c r="W72" s="125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30"/>
      <c r="W73" s="330"/>
      <c r="X73" s="329" t="s">
        <v>67</v>
      </c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51">O15</f>
        <v>0</v>
      </c>
      <c r="P74" s="36">
        <f t="shared" si="51"/>
        <v>26.81</v>
      </c>
      <c r="Q74" s="36">
        <f t="shared" si="51"/>
        <v>29.38</v>
      </c>
      <c r="R74" s="36">
        <f t="shared" si="51"/>
        <v>35.141818181818174</v>
      </c>
      <c r="S74" s="36">
        <f t="shared" si="51"/>
        <v>39.03</v>
      </c>
      <c r="T74" s="36">
        <f t="shared" si="51"/>
        <v>44.268571428571427</v>
      </c>
      <c r="U74" s="36">
        <f t="shared" si="51"/>
        <v>45</v>
      </c>
      <c r="V74" s="36"/>
      <c r="W74" s="36"/>
      <c r="X74" s="36">
        <f t="shared" si="51"/>
        <v>43</v>
      </c>
      <c r="Y74" s="36">
        <f t="shared" si="51"/>
        <v>42</v>
      </c>
      <c r="Z74" s="36">
        <f t="shared" si="51"/>
        <v>42</v>
      </c>
      <c r="AA74" s="36">
        <f t="shared" si="51"/>
        <v>44</v>
      </c>
      <c r="AB74" s="36">
        <f t="shared" si="51"/>
        <v>46</v>
      </c>
      <c r="AC74" s="322">
        <f t="shared" si="51"/>
        <v>46</v>
      </c>
      <c r="AD74" s="319">
        <f t="shared" si="51"/>
        <v>30.443939393939388</v>
      </c>
      <c r="AE74" s="258">
        <f t="shared" si="51"/>
        <v>42.766190476190474</v>
      </c>
      <c r="AF74" s="258">
        <f t="shared" si="51"/>
        <v>42.333333333333336</v>
      </c>
      <c r="AG74" s="258">
        <f t="shared" si="51"/>
        <v>45.333333333333336</v>
      </c>
      <c r="AH74" s="334">
        <f t="shared" ref="AH74:AH80" si="52">AVERAGE(P74:AC74)</f>
        <v>40.21919913419913</v>
      </c>
    </row>
    <row r="75" spans="1:358" ht="18.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53">O15+O24</f>
        <v>6</v>
      </c>
      <c r="P75" s="36">
        <f t="shared" si="53"/>
        <v>36.599999999999994</v>
      </c>
      <c r="Q75" s="36">
        <f t="shared" si="53"/>
        <v>33.942777777777778</v>
      </c>
      <c r="R75" s="36">
        <f t="shared" si="53"/>
        <v>39.004090909090912</v>
      </c>
      <c r="S75" s="36">
        <f t="shared" si="53"/>
        <v>42.36</v>
      </c>
      <c r="T75" s="36">
        <f t="shared" si="53"/>
        <v>44.036666666666669</v>
      </c>
      <c r="U75" s="36">
        <f t="shared" si="53"/>
        <v>45.5</v>
      </c>
      <c r="V75" s="36"/>
      <c r="W75" s="36"/>
      <c r="X75" s="36">
        <f t="shared" si="53"/>
        <v>43.5</v>
      </c>
      <c r="Y75" s="36">
        <f t="shared" si="53"/>
        <v>41.5</v>
      </c>
      <c r="Z75" s="36">
        <f t="shared" si="53"/>
        <v>41.3</v>
      </c>
      <c r="AA75" s="36">
        <f t="shared" si="53"/>
        <v>45.5</v>
      </c>
      <c r="AB75" s="36">
        <f t="shared" si="53"/>
        <v>48</v>
      </c>
      <c r="AC75" s="322">
        <f t="shared" si="53"/>
        <v>48.5</v>
      </c>
      <c r="AD75" s="319">
        <f t="shared" si="53"/>
        <v>36.515622895622897</v>
      </c>
      <c r="AE75" s="258">
        <f t="shared" si="53"/>
        <v>43.965555555555554</v>
      </c>
      <c r="AF75" s="258">
        <f t="shared" si="53"/>
        <v>42.1</v>
      </c>
      <c r="AG75" s="258">
        <f t="shared" si="53"/>
        <v>47.333333333333336</v>
      </c>
      <c r="AH75" s="334">
        <f t="shared" si="52"/>
        <v>42.478627946127951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54">O33+O15</f>
        <v>17.5</v>
      </c>
      <c r="P76" s="36">
        <f t="shared" si="54"/>
        <v>50.42</v>
      </c>
      <c r="Q76" s="36">
        <f t="shared" si="54"/>
        <v>44.58</v>
      </c>
      <c r="R76" s="36">
        <f t="shared" si="54"/>
        <v>52.771818181818183</v>
      </c>
      <c r="S76" s="36">
        <f t="shared" si="54"/>
        <v>54.59</v>
      </c>
      <c r="T76" s="36">
        <f t="shared" si="54"/>
        <v>59.165238095238095</v>
      </c>
      <c r="U76" s="36">
        <f t="shared" si="54"/>
        <v>60.5</v>
      </c>
      <c r="V76" s="36"/>
      <c r="W76" s="36"/>
      <c r="X76" s="36">
        <f t="shared" si="54"/>
        <v>58</v>
      </c>
      <c r="Y76" s="36">
        <f t="shared" si="54"/>
        <v>56.5</v>
      </c>
      <c r="Z76" s="36">
        <f t="shared" si="54"/>
        <v>56</v>
      </c>
      <c r="AA76" s="36">
        <f t="shared" si="54"/>
        <v>57.4</v>
      </c>
      <c r="AB76" s="36">
        <f t="shared" si="54"/>
        <v>59</v>
      </c>
      <c r="AC76" s="322">
        <f t="shared" si="54"/>
        <v>59.5</v>
      </c>
      <c r="AD76" s="319">
        <f t="shared" si="54"/>
        <v>49.257272727272721</v>
      </c>
      <c r="AE76" s="258">
        <f t="shared" si="54"/>
        <v>58.085079365079366</v>
      </c>
      <c r="AF76" s="258">
        <f t="shared" si="54"/>
        <v>56.833333333333336</v>
      </c>
      <c r="AG76" s="258">
        <f t="shared" si="54"/>
        <v>58.633333333333333</v>
      </c>
      <c r="AH76" s="334">
        <f t="shared" si="52"/>
        <v>55.702254689754689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55">O42+O15</f>
        <v>15.6</v>
      </c>
      <c r="P77" s="36">
        <f t="shared" si="55"/>
        <v>37.909999999999997</v>
      </c>
      <c r="Q77" s="36">
        <f t="shared" si="55"/>
        <v>41</v>
      </c>
      <c r="R77" s="36">
        <f t="shared" si="55"/>
        <v>47.38</v>
      </c>
      <c r="S77" s="36">
        <f t="shared" si="55"/>
        <v>49.53</v>
      </c>
      <c r="T77" s="36">
        <f t="shared" si="55"/>
        <v>55.170000000000009</v>
      </c>
      <c r="U77" s="36">
        <f t="shared" si="55"/>
        <v>56</v>
      </c>
      <c r="V77" s="36"/>
      <c r="W77" s="36"/>
      <c r="X77" s="36">
        <f t="shared" si="55"/>
        <v>53.9</v>
      </c>
      <c r="Y77" s="36">
        <f t="shared" si="55"/>
        <v>52.5</v>
      </c>
      <c r="Z77" s="36">
        <f t="shared" si="55"/>
        <v>52.75</v>
      </c>
      <c r="AA77" s="36">
        <f t="shared" si="55"/>
        <v>56.2</v>
      </c>
      <c r="AB77" s="36">
        <f t="shared" si="55"/>
        <v>59</v>
      </c>
      <c r="AC77" s="322">
        <f t="shared" si="55"/>
        <v>59.5</v>
      </c>
      <c r="AD77" s="319">
        <f t="shared" si="55"/>
        <v>42.096666666666664</v>
      </c>
      <c r="AE77" s="258">
        <f t="shared" si="55"/>
        <v>53.56666666666667</v>
      </c>
      <c r="AF77" s="258">
        <f t="shared" si="55"/>
        <v>53.050000000000004</v>
      </c>
      <c r="AG77" s="258">
        <f t="shared" si="55"/>
        <v>58.233333333333334</v>
      </c>
      <c r="AH77" s="334">
        <f t="shared" si="52"/>
        <v>51.736666666666657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56">O53+O15</f>
        <v>14.15</v>
      </c>
      <c r="P78" s="36">
        <f t="shared" si="56"/>
        <v>36.15</v>
      </c>
      <c r="Q78" s="36">
        <f t="shared" si="56"/>
        <v>38.54</v>
      </c>
      <c r="R78" s="36">
        <f t="shared" si="56"/>
        <v>45.517727272727271</v>
      </c>
      <c r="S78" s="36">
        <f t="shared" si="56"/>
        <v>48.08</v>
      </c>
      <c r="T78" s="36">
        <f t="shared" si="56"/>
        <v>54.851904761904777</v>
      </c>
      <c r="U78" s="36">
        <f t="shared" si="56"/>
        <v>55.5</v>
      </c>
      <c r="V78" s="36"/>
      <c r="W78" s="36"/>
      <c r="X78" s="36">
        <f t="shared" si="56"/>
        <v>53.4</v>
      </c>
      <c r="Y78" s="36">
        <f t="shared" si="56"/>
        <v>52</v>
      </c>
      <c r="Z78" s="36">
        <f t="shared" si="56"/>
        <v>52.25</v>
      </c>
      <c r="AA78" s="36">
        <f t="shared" si="56"/>
        <v>55.5</v>
      </c>
      <c r="AB78" s="36">
        <f t="shared" si="56"/>
        <v>58.3</v>
      </c>
      <c r="AC78" s="322">
        <f t="shared" si="56"/>
        <v>58.5</v>
      </c>
      <c r="AD78" s="319">
        <f t="shared" si="56"/>
        <v>40.069242424242418</v>
      </c>
      <c r="AE78" s="258">
        <f t="shared" si="56"/>
        <v>52.810634920634925</v>
      </c>
      <c r="AF78" s="258">
        <f t="shared" si="56"/>
        <v>52.550000000000004</v>
      </c>
      <c r="AG78" s="258">
        <f t="shared" si="56"/>
        <v>57.433333333333337</v>
      </c>
      <c r="AH78" s="334">
        <f t="shared" si="52"/>
        <v>50.715802669552666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7">(O62+O15)*6.35</f>
        <v>-42.756666666666668</v>
      </c>
      <c r="P79" s="134">
        <f t="shared" si="57"/>
        <v>150.36799999999999</v>
      </c>
      <c r="Q79" s="134">
        <f t="shared" si="57"/>
        <v>154.30499999999998</v>
      </c>
      <c r="R79" s="134">
        <f t="shared" si="57"/>
        <v>176.7890909090909</v>
      </c>
      <c r="S79" s="134">
        <f t="shared" si="57"/>
        <v>192.15100000000001</v>
      </c>
      <c r="T79" s="134">
        <f t="shared" si="57"/>
        <v>223.49809523809523</v>
      </c>
      <c r="U79" s="134">
        <f t="shared" si="57"/>
        <v>231.77499999999998</v>
      </c>
      <c r="V79" s="134"/>
      <c r="W79" s="134"/>
      <c r="X79" s="134">
        <f t="shared" si="57"/>
        <v>221.61499999999998</v>
      </c>
      <c r="Y79" s="134">
        <f t="shared" si="57"/>
        <v>215.89999999999998</v>
      </c>
      <c r="Z79" s="134">
        <f t="shared" si="57"/>
        <v>215.89999999999998</v>
      </c>
      <c r="AA79" s="134">
        <f t="shared" si="57"/>
        <v>228.6</v>
      </c>
      <c r="AB79" s="134">
        <f t="shared" si="57"/>
        <v>244.47499999999999</v>
      </c>
      <c r="AC79" s="323">
        <f t="shared" si="57"/>
        <v>244.47499999999999</v>
      </c>
      <c r="AD79" s="320">
        <f t="shared" si="57"/>
        <v>160.48736363636363</v>
      </c>
      <c r="AE79" s="259">
        <f t="shared" si="57"/>
        <v>215.80803174603173</v>
      </c>
      <c r="AF79" s="259">
        <f t="shared" si="57"/>
        <v>217.80500000000001</v>
      </c>
      <c r="AG79" s="259">
        <f t="shared" si="57"/>
        <v>239.18333333333334</v>
      </c>
      <c r="AH79" s="334">
        <f t="shared" si="52"/>
        <v>208.32093217893214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8">K70</f>
        <v>1.2</v>
      </c>
      <c r="L80" s="338">
        <f t="shared" si="58"/>
        <v>1.5</v>
      </c>
      <c r="M80" s="338">
        <f>M70</f>
        <v>1.625</v>
      </c>
      <c r="N80" s="338">
        <f t="shared" ref="N80:AG80" si="59">N71+N15</f>
        <v>47.85</v>
      </c>
      <c r="O80" s="338">
        <f t="shared" si="59"/>
        <v>2.0666666666666669</v>
      </c>
      <c r="P80" s="338">
        <f t="shared" si="59"/>
        <v>30.31</v>
      </c>
      <c r="Q80" s="338">
        <f t="shared" si="59"/>
        <v>32.56</v>
      </c>
      <c r="R80" s="338">
        <f t="shared" si="59"/>
        <v>38.491590909090903</v>
      </c>
      <c r="S80" s="338">
        <f t="shared" si="59"/>
        <v>41.480000000000004</v>
      </c>
      <c r="T80" s="338">
        <f t="shared" si="59"/>
        <v>46.875249999999994</v>
      </c>
      <c r="U80" s="338">
        <f t="shared" si="59"/>
        <v>47.9</v>
      </c>
      <c r="V80" s="338"/>
      <c r="W80" s="338"/>
      <c r="X80" s="338">
        <f t="shared" si="59"/>
        <v>46</v>
      </c>
      <c r="Y80" s="338">
        <f t="shared" si="59"/>
        <v>45</v>
      </c>
      <c r="Z80" s="338">
        <f t="shared" si="59"/>
        <v>44.9</v>
      </c>
      <c r="AA80" s="338">
        <f t="shared" si="59"/>
        <v>46.9</v>
      </c>
      <c r="AB80" s="338">
        <f t="shared" si="59"/>
        <v>48.9</v>
      </c>
      <c r="AC80" s="339">
        <f t="shared" si="59"/>
        <v>49</v>
      </c>
      <c r="AD80" s="340">
        <f t="shared" si="59"/>
        <v>33.787196969696964</v>
      </c>
      <c r="AE80" s="341">
        <f t="shared" si="59"/>
        <v>45.418416666666666</v>
      </c>
      <c r="AF80" s="341">
        <f t="shared" si="59"/>
        <v>45.300000000000004</v>
      </c>
      <c r="AG80" s="341">
        <f t="shared" si="59"/>
        <v>48.266666666666666</v>
      </c>
      <c r="AH80" s="342">
        <f t="shared" si="52"/>
        <v>43.193070075757568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7"/>
      <c r="V81" s="136"/>
      <c r="W81" s="136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8.5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30"/>
      <c r="W82" s="330"/>
      <c r="X82" s="329" t="s">
        <v>67</v>
      </c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8.5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0">F74</f>
        <v>0</v>
      </c>
      <c r="G83" s="143">
        <f>G74</f>
        <v>56.18</v>
      </c>
      <c r="H83" s="143">
        <f t="shared" ref="H83" si="61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62">K74</f>
        <v>48.3</v>
      </c>
      <c r="L83" s="143">
        <f t="shared" si="62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63">R74</f>
        <v>35.141818181818174</v>
      </c>
      <c r="S83" s="143">
        <f t="shared" si="63"/>
        <v>39.03</v>
      </c>
      <c r="T83" s="143">
        <f>T74</f>
        <v>44.268571428571427</v>
      </c>
      <c r="U83" s="143">
        <f t="shared" si="63"/>
        <v>45</v>
      </c>
      <c r="V83" s="361"/>
      <c r="W83" s="361"/>
      <c r="X83" s="143">
        <f t="shared" si="63"/>
        <v>43</v>
      </c>
      <c r="Y83" s="143">
        <f t="shared" si="63"/>
        <v>42</v>
      </c>
      <c r="Z83" s="143">
        <f t="shared" si="63"/>
        <v>42</v>
      </c>
      <c r="AA83" s="143">
        <f t="shared" si="63"/>
        <v>44</v>
      </c>
      <c r="AB83" s="143">
        <f t="shared" si="63"/>
        <v>46</v>
      </c>
      <c r="AC83" s="353">
        <f t="shared" si="63"/>
        <v>46</v>
      </c>
      <c r="AD83" s="321">
        <f t="shared" si="63"/>
        <v>30.443939393939388</v>
      </c>
      <c r="AE83" s="260">
        <f t="shared" si="63"/>
        <v>42.766190476190474</v>
      </c>
      <c r="AF83" s="260">
        <f t="shared" si="63"/>
        <v>42.333333333333336</v>
      </c>
      <c r="AG83" s="260">
        <f t="shared" si="63"/>
        <v>45.333333333333336</v>
      </c>
      <c r="AH83" s="334">
        <f t="shared" ref="AH83:AH89" si="64">AVERAGE(P83:AC83)</f>
        <v>40.21919913419913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8.5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65">F75-F74</f>
        <v>0</v>
      </c>
      <c r="G84" s="143">
        <f>G75-G74</f>
        <v>-3.0341000000000022</v>
      </c>
      <c r="H84" s="143">
        <f t="shared" ref="H84" si="66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7">K75-K74</f>
        <v>#REF!</v>
      </c>
      <c r="L84" s="143" t="e">
        <f t="shared" si="67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68">R75-R74</f>
        <v>3.8622727272727388</v>
      </c>
      <c r="S84" s="143">
        <f t="shared" si="68"/>
        <v>3.3299999999999983</v>
      </c>
      <c r="T84" s="143">
        <f>T75-T74</f>
        <v>-0.23190476190475806</v>
      </c>
      <c r="U84" s="143">
        <f t="shared" si="68"/>
        <v>0.5</v>
      </c>
      <c r="V84" s="361"/>
      <c r="W84" s="361"/>
      <c r="X84" s="143">
        <f t="shared" si="68"/>
        <v>0.5</v>
      </c>
      <c r="Y84" s="143">
        <f t="shared" si="68"/>
        <v>-0.5</v>
      </c>
      <c r="Z84" s="143">
        <f t="shared" si="68"/>
        <v>-0.70000000000000284</v>
      </c>
      <c r="AA84" s="143">
        <f t="shared" si="68"/>
        <v>1.5</v>
      </c>
      <c r="AB84" s="143">
        <f t="shared" si="68"/>
        <v>2</v>
      </c>
      <c r="AC84" s="353">
        <f t="shared" si="68"/>
        <v>2.5</v>
      </c>
      <c r="AD84" s="321">
        <f t="shared" si="68"/>
        <v>6.0716835016835091</v>
      </c>
      <c r="AE84" s="260">
        <f t="shared" si="68"/>
        <v>1.1993650793650801</v>
      </c>
      <c r="AF84" s="260">
        <f t="shared" si="68"/>
        <v>-0.23333333333333428</v>
      </c>
      <c r="AG84" s="260">
        <f t="shared" si="68"/>
        <v>2</v>
      </c>
      <c r="AH84" s="334">
        <f t="shared" si="64"/>
        <v>2.2594288119288124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8.5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9">F76-F74</f>
        <v>0</v>
      </c>
      <c r="G85" s="143">
        <f>G76-G74</f>
        <v>19.766299999999994</v>
      </c>
      <c r="H85" s="143">
        <f t="shared" ref="H85" si="70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71">K76-K74</f>
        <v>16.482500000000002</v>
      </c>
      <c r="L85" s="143">
        <f t="shared" si="71"/>
        <v>17.249999999999993</v>
      </c>
      <c r="M85" s="143">
        <f t="shared" si="71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72">Q76-Q74</f>
        <v>15.2</v>
      </c>
      <c r="R85" s="143">
        <f>R76-R74</f>
        <v>17.63000000000001</v>
      </c>
      <c r="S85" s="143">
        <f t="shared" ref="S85:AG85" si="73">S76-S74</f>
        <v>15.560000000000002</v>
      </c>
      <c r="T85" s="143">
        <f>T76-T74</f>
        <v>14.896666666666668</v>
      </c>
      <c r="U85" s="143">
        <f t="shared" si="73"/>
        <v>15.5</v>
      </c>
      <c r="V85" s="361"/>
      <c r="W85" s="361"/>
      <c r="X85" s="143">
        <f t="shared" si="73"/>
        <v>15</v>
      </c>
      <c r="Y85" s="143">
        <f t="shared" si="73"/>
        <v>14.5</v>
      </c>
      <c r="Z85" s="143">
        <f t="shared" si="73"/>
        <v>14</v>
      </c>
      <c r="AA85" s="143">
        <f t="shared" si="73"/>
        <v>13.399999999999999</v>
      </c>
      <c r="AB85" s="143">
        <f t="shared" si="73"/>
        <v>13</v>
      </c>
      <c r="AC85" s="353">
        <f t="shared" si="73"/>
        <v>13.5</v>
      </c>
      <c r="AD85" s="321">
        <f t="shared" si="73"/>
        <v>18.813333333333333</v>
      </c>
      <c r="AE85" s="260">
        <f t="shared" si="73"/>
        <v>15.318888888888893</v>
      </c>
      <c r="AF85" s="260">
        <f t="shared" si="73"/>
        <v>14.5</v>
      </c>
      <c r="AG85" s="260">
        <f t="shared" si="73"/>
        <v>13.299999999999997</v>
      </c>
      <c r="AH85" s="334">
        <f t="shared" si="64"/>
        <v>15.483055555555557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8.5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74">F77-F74</f>
        <v>0</v>
      </c>
      <c r="G86" s="143">
        <f>G77-G74</f>
        <v>9.6289999999999978</v>
      </c>
      <c r="H86" s="143">
        <f t="shared" ref="H86" si="75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76">K77-K74</f>
        <v>13.11</v>
      </c>
      <c r="L86" s="143">
        <f t="shared" si="76"/>
        <v>13.435000000000002</v>
      </c>
      <c r="M86" s="143">
        <f t="shared" si="76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77">R77-R74</f>
        <v>12.238181818181829</v>
      </c>
      <c r="S86" s="143">
        <f t="shared" si="77"/>
        <v>10.5</v>
      </c>
      <c r="T86" s="143">
        <f>T77-T74</f>
        <v>10.901428571428582</v>
      </c>
      <c r="U86" s="143">
        <f t="shared" si="77"/>
        <v>11</v>
      </c>
      <c r="V86" s="361"/>
      <c r="W86" s="361"/>
      <c r="X86" s="143">
        <f t="shared" si="77"/>
        <v>10.899999999999999</v>
      </c>
      <c r="Y86" s="143">
        <f t="shared" si="77"/>
        <v>10.5</v>
      </c>
      <c r="Z86" s="143">
        <f t="shared" si="77"/>
        <v>10.75</v>
      </c>
      <c r="AA86" s="143">
        <f t="shared" si="77"/>
        <v>12.200000000000003</v>
      </c>
      <c r="AB86" s="143">
        <f t="shared" si="77"/>
        <v>13</v>
      </c>
      <c r="AC86" s="353">
        <f t="shared" si="77"/>
        <v>13.5</v>
      </c>
      <c r="AD86" s="321">
        <f t="shared" si="77"/>
        <v>11.652727272727276</v>
      </c>
      <c r="AE86" s="260">
        <f t="shared" si="77"/>
        <v>10.800476190476196</v>
      </c>
      <c r="AF86" s="260">
        <f t="shared" si="77"/>
        <v>10.716666666666669</v>
      </c>
      <c r="AG86" s="260">
        <f t="shared" si="77"/>
        <v>12.899999999999999</v>
      </c>
      <c r="AH86" s="334">
        <f t="shared" si="64"/>
        <v>11.517467532467535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.5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8">F78-F74</f>
        <v>0</v>
      </c>
      <c r="G87" s="143">
        <f>G78-G74</f>
        <v>8.8899999999999935</v>
      </c>
      <c r="H87" s="143">
        <f t="shared" ref="H87" si="79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0">K78-K74</f>
        <v>13.350000000000001</v>
      </c>
      <c r="L87" s="143">
        <f t="shared" si="80"/>
        <v>13.75</v>
      </c>
      <c r="M87" s="143">
        <f t="shared" si="80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81">R78-R74</f>
        <v>10.375909090909097</v>
      </c>
      <c r="S87" s="143">
        <f t="shared" si="81"/>
        <v>9.0499999999999972</v>
      </c>
      <c r="T87" s="143">
        <f>T78-T74</f>
        <v>10.58333333333335</v>
      </c>
      <c r="U87" s="143">
        <f t="shared" si="81"/>
        <v>10.5</v>
      </c>
      <c r="V87" s="361"/>
      <c r="W87" s="361"/>
      <c r="X87" s="143">
        <f t="shared" si="81"/>
        <v>10.399999999999999</v>
      </c>
      <c r="Y87" s="143">
        <f t="shared" si="81"/>
        <v>10</v>
      </c>
      <c r="Z87" s="143">
        <f t="shared" si="81"/>
        <v>10.25</v>
      </c>
      <c r="AA87" s="143">
        <f t="shared" si="81"/>
        <v>11.5</v>
      </c>
      <c r="AB87" s="143">
        <f t="shared" si="81"/>
        <v>12.299999999999997</v>
      </c>
      <c r="AC87" s="353">
        <f t="shared" si="81"/>
        <v>12.5</v>
      </c>
      <c r="AD87" s="321">
        <f t="shared" si="81"/>
        <v>9.62530303030303</v>
      </c>
      <c r="AE87" s="260">
        <f t="shared" si="81"/>
        <v>10.044444444444451</v>
      </c>
      <c r="AF87" s="260">
        <f t="shared" si="81"/>
        <v>10.216666666666669</v>
      </c>
      <c r="AG87" s="260">
        <f t="shared" si="81"/>
        <v>12.100000000000001</v>
      </c>
      <c r="AH87" s="334">
        <f t="shared" si="64"/>
        <v>10.496603535353538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5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82">H79-H74</f>
        <v>-8.9503004558640669</v>
      </c>
      <c r="I88" s="143">
        <f t="shared" si="82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83">O62</f>
        <v>-6.7333333333333334</v>
      </c>
      <c r="P88" s="143">
        <f t="shared" si="83"/>
        <v>-3.13</v>
      </c>
      <c r="Q88" s="143">
        <f t="shared" si="83"/>
        <v>-5.08</v>
      </c>
      <c r="R88" s="143">
        <f t="shared" si="83"/>
        <v>-7.3010164638511021</v>
      </c>
      <c r="S88" s="143">
        <f t="shared" si="83"/>
        <v>-8.77</v>
      </c>
      <c r="T88" s="143">
        <f t="shared" si="83"/>
        <v>-9.0720209973753256</v>
      </c>
      <c r="U88" s="143">
        <f t="shared" si="83"/>
        <v>-8.5</v>
      </c>
      <c r="V88" s="143"/>
      <c r="W88" s="143"/>
      <c r="X88" s="143">
        <f t="shared" si="83"/>
        <v>-8.1</v>
      </c>
      <c r="Y88" s="143">
        <f t="shared" si="83"/>
        <v>-8</v>
      </c>
      <c r="Z88" s="143">
        <f t="shared" si="83"/>
        <v>-8</v>
      </c>
      <c r="AA88" s="143">
        <f t="shared" si="83"/>
        <v>-8</v>
      </c>
      <c r="AB88" s="143">
        <f t="shared" si="83"/>
        <v>-7.5</v>
      </c>
      <c r="AC88" s="353">
        <f t="shared" si="83"/>
        <v>-7.5</v>
      </c>
      <c r="AD88" s="365">
        <f>AD61</f>
        <v>-5.1703388212837007</v>
      </c>
      <c r="AE88" s="260">
        <f>AE61</f>
        <v>-8.7223403324584421</v>
      </c>
      <c r="AF88" s="260">
        <f>AF79-AF74</f>
        <v>175.47166666666666</v>
      </c>
      <c r="AG88" s="358">
        <f>AG79-AG74</f>
        <v>193.85</v>
      </c>
      <c r="AH88" s="334">
        <f t="shared" si="64"/>
        <v>-7.4127531217688691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84">F70</f>
        <v>0</v>
      </c>
      <c r="G89" s="349">
        <f>G70</f>
        <v>0</v>
      </c>
      <c r="H89" s="349">
        <f t="shared" ref="H89" si="85">H70</f>
        <v>0</v>
      </c>
      <c r="I89" s="349">
        <f>I70</f>
        <v>0</v>
      </c>
      <c r="J89" s="349" t="e">
        <f>J70</f>
        <v>#DIV/0!</v>
      </c>
      <c r="K89" s="349">
        <f t="shared" ref="K89:M89" si="86">K70</f>
        <v>1.2</v>
      </c>
      <c r="L89" s="349">
        <f t="shared" si="86"/>
        <v>1.5</v>
      </c>
      <c r="M89" s="349">
        <f t="shared" si="86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87">R80-R74</f>
        <v>3.3497727272727289</v>
      </c>
      <c r="S89" s="349">
        <f t="shared" si="87"/>
        <v>2.4500000000000028</v>
      </c>
      <c r="T89" s="349">
        <f>T80-T74</f>
        <v>2.6066785714285672</v>
      </c>
      <c r="U89" s="349">
        <f t="shared" si="87"/>
        <v>2.8999999999999986</v>
      </c>
      <c r="V89" s="362"/>
      <c r="W89" s="362"/>
      <c r="X89" s="349">
        <f t="shared" si="87"/>
        <v>3</v>
      </c>
      <c r="Y89" s="349">
        <f t="shared" si="87"/>
        <v>3</v>
      </c>
      <c r="Z89" s="349">
        <f t="shared" si="87"/>
        <v>2.8999999999999986</v>
      </c>
      <c r="AA89" s="349">
        <f t="shared" si="87"/>
        <v>2.8999999999999986</v>
      </c>
      <c r="AB89" s="349">
        <f t="shared" si="87"/>
        <v>2.8999999999999986</v>
      </c>
      <c r="AC89" s="354">
        <f t="shared" si="87"/>
        <v>3</v>
      </c>
      <c r="AD89" s="351">
        <f>AD80-AD74</f>
        <v>3.3432575757575762</v>
      </c>
      <c r="AE89" s="352">
        <f>AE80-AE74</f>
        <v>2.6522261904761919</v>
      </c>
      <c r="AF89" s="352">
        <f>AF80-AF74</f>
        <v>2.9666666666666686</v>
      </c>
      <c r="AG89" s="352">
        <f t="shared" si="87"/>
        <v>2.93333333333333</v>
      </c>
      <c r="AH89" s="342">
        <f t="shared" si="64"/>
        <v>2.9738709415584417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86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80"/>
      <c r="W90" s="280"/>
      <c r="X90" s="279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86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5"/>
      <c r="W91" s="285"/>
      <c r="X91" s="283" t="s">
        <v>17</v>
      </c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86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8">$B$92*$J$92</f>
        <v>-0.6</v>
      </c>
      <c r="L92" s="289">
        <f t="shared" si="88"/>
        <v>-0.6</v>
      </c>
      <c r="M92" s="289">
        <f t="shared" si="88"/>
        <v>-0.6</v>
      </c>
      <c r="N92" s="289">
        <f t="shared" si="88"/>
        <v>-0.6</v>
      </c>
      <c r="O92" s="289">
        <f t="shared" si="88"/>
        <v>-0.6</v>
      </c>
      <c r="P92" s="289">
        <f t="shared" si="88"/>
        <v>-0.6</v>
      </c>
      <c r="Q92" s="289">
        <f>$B$92*$J$92</f>
        <v>-0.6</v>
      </c>
      <c r="R92" s="291"/>
      <c r="S92" s="291"/>
      <c r="T92" s="291"/>
      <c r="U92" s="291"/>
      <c r="V92" s="292"/>
      <c r="W92" s="292"/>
      <c r="X92" s="291">
        <v>0.94499999999999995</v>
      </c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86"/>
      <c r="B93" s="287">
        <v>0.03</v>
      </c>
      <c r="C93" s="287">
        <v>0.03</v>
      </c>
      <c r="D93" s="288"/>
      <c r="E93" s="288"/>
      <c r="F93" s="289">
        <f t="shared" ref="F93:I96" si="89">$B93*(F75-F$74-1.7)</f>
        <v>-5.0999999999999997E-2</v>
      </c>
      <c r="G93" s="289">
        <f t="shared" si="89"/>
        <v>-0.14202300000000007</v>
      </c>
      <c r="H93" s="289">
        <f t="shared" si="89"/>
        <v>-0.10879736842105259</v>
      </c>
      <c r="I93" s="289">
        <f t="shared" si="89"/>
        <v>-8.1000000000004332E-3</v>
      </c>
      <c r="J93" s="290"/>
      <c r="K93" s="289" t="e">
        <f t="shared" ref="K93:P96" si="90">$B93*(K75-K$74-1.7)</f>
        <v>#REF!</v>
      </c>
      <c r="L93" s="289" t="e">
        <f t="shared" si="90"/>
        <v>#REF!</v>
      </c>
      <c r="M93" s="289">
        <f t="shared" si="90"/>
        <v>-8.2500000000000837E-3</v>
      </c>
      <c r="N93" s="289">
        <f t="shared" si="90"/>
        <v>6.5249999999999989E-2</v>
      </c>
      <c r="O93" s="289">
        <f t="shared" si="90"/>
        <v>0.129</v>
      </c>
      <c r="P93" s="289">
        <f t="shared" si="90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2"/>
      <c r="W93" s="292"/>
      <c r="X93" s="291" t="e">
        <v>#REF!</v>
      </c>
      <c r="Y93" s="291"/>
      <c r="Z93" s="291"/>
      <c r="AA93" s="291"/>
      <c r="AB93" s="291"/>
      <c r="AC93" s="291"/>
      <c r="AD93" s="289">
        <f t="shared" ref="AD93:AG96" si="91">$B93*(AD75-AD$74-1.7)</f>
        <v>0.13115050505050527</v>
      </c>
      <c r="AE93" s="289">
        <f t="shared" si="91"/>
        <v>-1.5019047619047595E-2</v>
      </c>
      <c r="AF93" s="289"/>
      <c r="AG93" s="289">
        <f t="shared" si="91"/>
        <v>9.0000000000000011E-3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86"/>
      <c r="B94" s="287">
        <v>0.16</v>
      </c>
      <c r="C94" s="287">
        <v>0.16</v>
      </c>
      <c r="D94" s="288"/>
      <c r="E94" s="288"/>
      <c r="F94" s="289">
        <f t="shared" si="89"/>
        <v>-0.27200000000000002</v>
      </c>
      <c r="G94" s="289">
        <f t="shared" si="89"/>
        <v>2.8906079999999994</v>
      </c>
      <c r="H94" s="289">
        <f t="shared" si="89"/>
        <v>2.6582315789473734</v>
      </c>
      <c r="I94" s="289">
        <f t="shared" si="89"/>
        <v>2.9057599999999999</v>
      </c>
      <c r="J94" s="290"/>
      <c r="K94" s="289">
        <f t="shared" si="90"/>
        <v>2.3652000000000006</v>
      </c>
      <c r="L94" s="289">
        <f t="shared" si="90"/>
        <v>2.4879999999999991</v>
      </c>
      <c r="M94" s="289">
        <f t="shared" si="90"/>
        <v>2.3475999999999995</v>
      </c>
      <c r="N94" s="289">
        <f t="shared" si="90"/>
        <v>2.258</v>
      </c>
      <c r="O94" s="289">
        <f t="shared" si="90"/>
        <v>2.528</v>
      </c>
      <c r="P94" s="289">
        <f t="shared" si="90"/>
        <v>3.5056000000000007</v>
      </c>
      <c r="Q94" s="289">
        <f>$B94*(Q76-Q$74-1.7)</f>
        <v>2.16</v>
      </c>
      <c r="R94" s="291"/>
      <c r="S94" s="291"/>
      <c r="T94" s="291"/>
      <c r="U94" s="291"/>
      <c r="V94" s="292"/>
      <c r="W94" s="292"/>
      <c r="X94" s="291" t="e">
        <v>#REF!</v>
      </c>
      <c r="Y94" s="291"/>
      <c r="Z94" s="291"/>
      <c r="AA94" s="291"/>
      <c r="AB94" s="291"/>
      <c r="AC94" s="291"/>
      <c r="AD94" s="289">
        <f t="shared" si="91"/>
        <v>2.7381333333333333</v>
      </c>
      <c r="AE94" s="289">
        <f t="shared" si="91"/>
        <v>2.1790222222222231</v>
      </c>
      <c r="AF94" s="289"/>
      <c r="AG94" s="289">
        <f t="shared" si="91"/>
        <v>1.8559999999999997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9"/>
        <v>-0.255</v>
      </c>
      <c r="G95" s="289">
        <f t="shared" si="89"/>
        <v>1.1893499999999997</v>
      </c>
      <c r="H95" s="289">
        <f t="shared" si="89"/>
        <v>1.1527499999999997</v>
      </c>
      <c r="I95" s="289">
        <f t="shared" si="89"/>
        <v>1.7877749999999986</v>
      </c>
      <c r="J95" s="290"/>
      <c r="K95" s="289">
        <f t="shared" si="90"/>
        <v>1.7115</v>
      </c>
      <c r="L95" s="289">
        <f t="shared" si="90"/>
        <v>1.7602500000000003</v>
      </c>
      <c r="M95" s="289">
        <f t="shared" si="90"/>
        <v>1.7467499999999998</v>
      </c>
      <c r="N95" s="289">
        <f t="shared" si="90"/>
        <v>1.8794999999999995</v>
      </c>
      <c r="O95" s="289">
        <f t="shared" si="90"/>
        <v>2.085</v>
      </c>
      <c r="P95" s="289">
        <f t="shared" si="90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2"/>
      <c r="W95" s="292"/>
      <c r="X95" s="291" t="e">
        <v>#REF!</v>
      </c>
      <c r="Y95" s="291"/>
      <c r="Z95" s="291"/>
      <c r="AA95" s="291"/>
      <c r="AB95" s="291"/>
      <c r="AC95" s="291"/>
      <c r="AD95" s="289">
        <f t="shared" si="91"/>
        <v>1.4929090909090914</v>
      </c>
      <c r="AE95" s="289">
        <f t="shared" si="91"/>
        <v>1.3650714285714296</v>
      </c>
      <c r="AF95" s="289"/>
      <c r="AG95" s="289">
        <f t="shared" si="91"/>
        <v>1.68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9"/>
        <v>-0.66300000000000003</v>
      </c>
      <c r="G96" s="289">
        <f t="shared" si="89"/>
        <v>2.8040999999999974</v>
      </c>
      <c r="H96" s="289">
        <f t="shared" si="89"/>
        <v>3.0129552631578984</v>
      </c>
      <c r="I96" s="289">
        <f t="shared" si="89"/>
        <v>4.8371700000000013</v>
      </c>
      <c r="J96" s="290"/>
      <c r="K96" s="289">
        <f t="shared" si="90"/>
        <v>4.5435000000000008</v>
      </c>
      <c r="L96" s="289">
        <f t="shared" si="90"/>
        <v>4.6995000000000005</v>
      </c>
      <c r="M96" s="289">
        <f t="shared" si="90"/>
        <v>4.4343000000000004</v>
      </c>
      <c r="N96" s="289">
        <f t="shared" si="90"/>
        <v>4.8087000000000009</v>
      </c>
      <c r="O96" s="289">
        <f t="shared" si="90"/>
        <v>4.8555000000000001</v>
      </c>
      <c r="P96" s="289">
        <f t="shared" si="90"/>
        <v>2.9796</v>
      </c>
      <c r="Q96" s="289">
        <f>$B96*(Q78-Q$74-1.7)</f>
        <v>2.9094000000000002</v>
      </c>
      <c r="R96" s="291"/>
      <c r="S96" s="291"/>
      <c r="T96" s="291"/>
      <c r="U96" s="291"/>
      <c r="V96" s="292"/>
      <c r="W96" s="292"/>
      <c r="X96" s="291" t="e">
        <v>#REF!</v>
      </c>
      <c r="Y96" s="291"/>
      <c r="Z96" s="291"/>
      <c r="AA96" s="291"/>
      <c r="AB96" s="291"/>
      <c r="AC96" s="291"/>
      <c r="AD96" s="289">
        <f t="shared" si="91"/>
        <v>3.0908681818181818</v>
      </c>
      <c r="AE96" s="289">
        <f t="shared" si="91"/>
        <v>3.2543333333333364</v>
      </c>
      <c r="AF96" s="289"/>
      <c r="AG96" s="289">
        <f t="shared" si="91"/>
        <v>4.0560000000000009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92">$B$97*((K79/6.5)-(K$74-1.7))</f>
        <v>-0.88577076923076925</v>
      </c>
      <c r="L97" s="289">
        <f t="shared" si="92"/>
        <v>-0.88175538461538472</v>
      </c>
      <c r="M97" s="289">
        <f t="shared" si="92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2"/>
      <c r="W97" s="292"/>
      <c r="X97" s="291" t="e">
        <v>#REF!</v>
      </c>
      <c r="Y97" s="291"/>
      <c r="Z97" s="291"/>
      <c r="AA97" s="291"/>
      <c r="AB97" s="291"/>
      <c r="AC97" s="291"/>
      <c r="AD97" s="289">
        <f t="shared" ref="AD97:AG97" si="93">$B$97*((AD79/6.5)-(AD$74-1.7))</f>
        <v>-0.48642909090909042</v>
      </c>
      <c r="AE97" s="289">
        <f t="shared" si="93"/>
        <v>-0.94379457875457851</v>
      </c>
      <c r="AF97" s="289"/>
      <c r="AG97" s="289">
        <f t="shared" si="93"/>
        <v>-0.82030769230769229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94">$B98*(K81-K$74-1.7)</f>
        <v>-1.5</v>
      </c>
      <c r="L98" s="289">
        <f t="shared" si="94"/>
        <v>-1.4565000000000001</v>
      </c>
      <c r="M98" s="289">
        <f t="shared" si="94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2"/>
      <c r="W98" s="292"/>
      <c r="X98" s="291" t="e">
        <v>#REF!</v>
      </c>
      <c r="Y98" s="291"/>
      <c r="Z98" s="291"/>
      <c r="AA98" s="291"/>
      <c r="AB98" s="291"/>
      <c r="AC98" s="291"/>
      <c r="AD98" s="289">
        <f t="shared" ref="AD98:AG98" si="95">$B98*(AD81-AD$74-1.7)</f>
        <v>-0.96431818181818174</v>
      </c>
      <c r="AE98" s="289">
        <f t="shared" si="95"/>
        <v>-1.3339857142857143</v>
      </c>
      <c r="AF98" s="289"/>
      <c r="AG98" s="289">
        <f t="shared" si="95"/>
        <v>-1.411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2"/>
      <c r="W99" s="292"/>
      <c r="X99" s="291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96">SUM(H92:H98)</f>
        <v>-0.17026991934711599</v>
      </c>
      <c r="I100" s="289">
        <f>SUM(I92:I98)</f>
        <v>2.9612135099939429</v>
      </c>
      <c r="J100" s="290"/>
      <c r="K100" s="289" t="e">
        <f t="shared" ref="K100:M100" si="97">SUM(K92:K98)</f>
        <v>#REF!</v>
      </c>
      <c r="L100" s="289" t="e">
        <f t="shared" si="97"/>
        <v>#REF!</v>
      </c>
      <c r="M100" s="289">
        <f t="shared" si="97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8">SUM(Q92:Q98)</f>
        <v>4.6379910256410248</v>
      </c>
      <c r="R100" s="291"/>
      <c r="S100" s="291"/>
      <c r="T100" s="291"/>
      <c r="U100" s="291"/>
      <c r="V100" s="292"/>
      <c r="W100" s="292"/>
      <c r="X100" s="291" t="e">
        <v>#REF!</v>
      </c>
      <c r="Y100" s="291"/>
      <c r="Z100" s="291"/>
      <c r="AA100" s="291"/>
      <c r="AB100" s="291"/>
      <c r="AC100" s="291"/>
      <c r="AD100" s="289">
        <f t="shared" ref="AD100:AG100" si="99">SUM(AD92:AD98)</f>
        <v>5.4023138383838401</v>
      </c>
      <c r="AE100" s="289">
        <f t="shared" si="99"/>
        <v>3.9056276434676489</v>
      </c>
      <c r="AF100" s="289"/>
      <c r="AG100" s="289">
        <f t="shared" si="99"/>
        <v>4.7696923076923081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80"/>
      <c r="W101" s="280"/>
      <c r="X101" s="279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80"/>
      <c r="W102" s="280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80"/>
      <c r="W103" s="280"/>
      <c r="X103" s="279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80"/>
      <c r="W104" s="280"/>
      <c r="X104" s="279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80"/>
      <c r="W105" s="280"/>
      <c r="X105" s="279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80"/>
      <c r="W106" s="280"/>
      <c r="X106" s="279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80"/>
      <c r="W107" s="280"/>
      <c r="X107" s="279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80"/>
      <c r="W108" s="280"/>
      <c r="X108" s="279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80"/>
      <c r="W109" s="280"/>
      <c r="X109" s="279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86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80"/>
      <c r="W110" s="280"/>
      <c r="X110" s="279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86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80"/>
      <c r="W111" s="280"/>
      <c r="X111" s="279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80"/>
      <c r="W112" s="280"/>
      <c r="X112" s="279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80"/>
      <c r="W113" s="280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80"/>
      <c r="W114" s="280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80"/>
      <c r="W115" s="280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80"/>
      <c r="W116" s="280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80"/>
      <c r="W117" s="280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80"/>
      <c r="W118" s="280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80"/>
      <c r="W119" s="280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80"/>
      <c r="W120" s="280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80"/>
      <c r="W121" s="280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80"/>
      <c r="W122" s="280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80"/>
      <c r="W123" s="280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5"/>
      <c r="W124" s="5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U5:U6"/>
    <mergeCell ref="X5:X6"/>
    <mergeCell ref="Y5:Y6"/>
    <mergeCell ref="Z5:Z6"/>
    <mergeCell ref="AA5:AA6"/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MT124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U24" sqref="U24"/>
    </sheetView>
  </sheetViews>
  <sheetFormatPr defaultColWidth="9.08984375" defaultRowHeight="21" outlineLevelRow="1" outlineLevelCol="1"/>
  <cols>
    <col min="1" max="1" width="17.453125" style="194" customWidth="1"/>
    <col min="2" max="2" width="24.90625" style="2" hidden="1" customWidth="1"/>
    <col min="3" max="3" width="21.36328125" style="2" hidden="1" customWidth="1"/>
    <col min="4" max="4" width="13.453125" style="1" hidden="1" customWidth="1"/>
    <col min="5" max="5" width="10.36328125" style="1" hidden="1" customWidth="1"/>
    <col min="6" max="9" width="11.08984375" style="3" hidden="1" customWidth="1"/>
    <col min="10" max="10" width="31.90625" style="4" hidden="1" customWidth="1"/>
    <col min="11" max="14" width="11.08984375" style="3" hidden="1" customWidth="1"/>
    <col min="15" max="15" width="15.453125" style="3" hidden="1" customWidth="1"/>
    <col min="16" max="21" width="9" style="3" customWidth="1"/>
    <col min="22" max="22" width="9.453125" style="6" customWidth="1"/>
    <col min="23" max="24" width="30.08984375" style="5" hidden="1" customWidth="1" outlineLevel="1"/>
    <col min="25" max="25" width="9" style="6" customWidth="1" collapsed="1"/>
    <col min="26" max="29" width="9" style="6" customWidth="1"/>
    <col min="30" max="30" width="8.7265625" style="6" hidden="1" customWidth="1" outlineLevel="1"/>
    <col min="31" max="33" width="9.1796875" style="6" hidden="1" customWidth="1" outlineLevel="1"/>
    <col min="34" max="34" width="8.7265625" style="153" customWidth="1" collapsed="1"/>
    <col min="35" max="35" width="10.08984375" style="7" bestFit="1" customWidth="1"/>
    <col min="36" max="358" width="9.08984375" style="7"/>
    <col min="359" max="16384" width="9.0898437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2"/>
      <c r="X2" s="12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W3" s="17"/>
      <c r="X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8" t="s">
        <v>3</v>
      </c>
      <c r="F5" s="673" t="s">
        <v>4</v>
      </c>
      <c r="G5" s="673" t="s">
        <v>5</v>
      </c>
      <c r="H5" s="680" t="s">
        <v>6</v>
      </c>
      <c r="I5" s="673" t="s">
        <v>7</v>
      </c>
      <c r="J5" s="28" t="s">
        <v>2</v>
      </c>
      <c r="K5" s="673" t="s">
        <v>8</v>
      </c>
      <c r="L5" s="392" t="s">
        <v>9</v>
      </c>
      <c r="M5" s="392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673" t="s">
        <v>65</v>
      </c>
      <c r="U5" s="673" t="s">
        <v>66</v>
      </c>
      <c r="V5" s="673" t="s">
        <v>67</v>
      </c>
      <c r="W5" s="29" t="s">
        <v>10</v>
      </c>
      <c r="X5" s="30" t="s">
        <v>11</v>
      </c>
      <c r="Y5" s="673" t="s">
        <v>68</v>
      </c>
      <c r="Z5" s="673" t="s">
        <v>69</v>
      </c>
      <c r="AA5" s="673" t="s">
        <v>70</v>
      </c>
      <c r="AB5" s="673" t="s">
        <v>77</v>
      </c>
      <c r="AC5" s="697" t="s">
        <v>78</v>
      </c>
      <c r="AD5" s="699" t="s">
        <v>79</v>
      </c>
      <c r="AE5" s="688" t="s">
        <v>80</v>
      </c>
      <c r="AF5" s="688" t="s">
        <v>81</v>
      </c>
      <c r="AG5" s="695" t="s">
        <v>82</v>
      </c>
      <c r="AH5" s="685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79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674"/>
      <c r="V6" s="674"/>
      <c r="W6" s="187">
        <v>42552</v>
      </c>
      <c r="X6" s="188">
        <v>42583</v>
      </c>
      <c r="Y6" s="674"/>
      <c r="Z6" s="674"/>
      <c r="AA6" s="674"/>
      <c r="AB6" s="674"/>
      <c r="AC6" s="698"/>
      <c r="AD6" s="700"/>
      <c r="AE6" s="689"/>
      <c r="AF6" s="689"/>
      <c r="AG6" s="696"/>
      <c r="AH6" s="686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2"/>
      <c r="X7" s="22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94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"/>
      <c r="V8" s="39"/>
      <c r="W8" s="360"/>
      <c r="X8" s="215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81"/>
      <c r="B9" s="682"/>
      <c r="C9" s="682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16"/>
      <c r="X9" s="217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29.38</v>
      </c>
      <c r="R10" s="388">
        <v>35.141818181818174</v>
      </c>
      <c r="S10" s="388">
        <v>39.03</v>
      </c>
      <c r="T10" s="388">
        <v>44.268571428571427</v>
      </c>
      <c r="U10" s="189">
        <v>47</v>
      </c>
      <c r="V10" s="189">
        <v>46.5</v>
      </c>
      <c r="W10" s="185"/>
      <c r="X10" s="186"/>
      <c r="Y10" s="189">
        <v>45</v>
      </c>
      <c r="Z10" s="189">
        <v>44</v>
      </c>
      <c r="AA10" s="189">
        <v>45</v>
      </c>
      <c r="AB10" s="189">
        <v>46.5</v>
      </c>
      <c r="AC10" s="297">
        <v>47</v>
      </c>
      <c r="AD10" s="308">
        <f>AVERAGE(P10:R10)</f>
        <v>30.443939393939388</v>
      </c>
      <c r="AE10" s="246">
        <f>AVERAGE(S10:T10:U10)</f>
        <v>43.432857142857138</v>
      </c>
      <c r="AF10" s="246">
        <f>AVERAGE(V10:Z10)</f>
        <v>45.166666666666664</v>
      </c>
      <c r="AG10" s="309">
        <f>AVERAGE(AA10:AC10)</f>
        <v>46.166666666666664</v>
      </c>
      <c r="AH10" s="241">
        <f>AVERAGE(P10:AC10)</f>
        <v>41.302532467532465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29.38</v>
      </c>
      <c r="R11" s="389">
        <v>35.141818181818174</v>
      </c>
      <c r="S11" s="388">
        <v>39.03</v>
      </c>
      <c r="T11" s="388">
        <v>44.268571428571427</v>
      </c>
      <c r="U11" s="183">
        <v>46</v>
      </c>
      <c r="V11" s="183">
        <v>45</v>
      </c>
      <c r="W11" s="185"/>
      <c r="X11" s="186"/>
      <c r="Y11" s="183">
        <v>43.5</v>
      </c>
      <c r="Z11" s="183">
        <v>43</v>
      </c>
      <c r="AA11" s="183">
        <v>44</v>
      </c>
      <c r="AB11" s="183">
        <v>45</v>
      </c>
      <c r="AC11" s="298">
        <v>46.5</v>
      </c>
      <c r="AD11" s="308">
        <f>AVERAGE(P11:R11)</f>
        <v>30.443939393939388</v>
      </c>
      <c r="AE11" s="246">
        <f>AVERAGE(S11:T11:U11)</f>
        <v>43.099523809523809</v>
      </c>
      <c r="AF11" s="246">
        <f t="shared" ref="AF11:AF13" si="1">AVERAGE(V11:Z11)</f>
        <v>43.833333333333336</v>
      </c>
      <c r="AG11" s="309">
        <f t="shared" ref="AG11:AG13" si="2">AVERAGE(AA11:AC11)</f>
        <v>45.166666666666664</v>
      </c>
      <c r="AH11" s="241">
        <f>AVERAGE(P11:AC11)</f>
        <v>40.635865800865794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29.38</v>
      </c>
      <c r="R12" s="388">
        <v>35.141818181818174</v>
      </c>
      <c r="S12" s="388">
        <v>39.03</v>
      </c>
      <c r="T12" s="388">
        <v>44.268571428571427</v>
      </c>
      <c r="U12" s="183">
        <v>45.5</v>
      </c>
      <c r="V12" s="183">
        <v>44</v>
      </c>
      <c r="W12" s="185" t="s">
        <v>194</v>
      </c>
      <c r="X12" s="186" t="s">
        <v>194</v>
      </c>
      <c r="Y12" s="189">
        <v>44</v>
      </c>
      <c r="Z12" s="189">
        <v>42</v>
      </c>
      <c r="AA12" s="189">
        <v>42</v>
      </c>
      <c r="AB12" s="189">
        <v>43</v>
      </c>
      <c r="AC12" s="297">
        <v>44</v>
      </c>
      <c r="AD12" s="308">
        <f>AVERAGE(P12:R12)</f>
        <v>30.443939393939388</v>
      </c>
      <c r="AE12" s="246">
        <f>AVERAGE(S12:T12:U12)</f>
        <v>42.932857142857138</v>
      </c>
      <c r="AF12" s="246">
        <f t="shared" si="1"/>
        <v>43.333333333333336</v>
      </c>
      <c r="AG12" s="309">
        <f t="shared" si="2"/>
        <v>43</v>
      </c>
      <c r="AH12" s="241">
        <f>AVERAGE(P12:AC12)</f>
        <v>39.927532467532465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29.38</v>
      </c>
      <c r="R13" s="388">
        <v>35.141818181818174</v>
      </c>
      <c r="S13" s="388">
        <v>39.03</v>
      </c>
      <c r="T13" s="388">
        <v>44.268571428571427</v>
      </c>
      <c r="U13" s="189">
        <v>46.7</v>
      </c>
      <c r="V13" s="189">
        <v>46</v>
      </c>
      <c r="W13" s="253" t="s">
        <v>200</v>
      </c>
      <c r="X13" s="254"/>
      <c r="Y13" s="189">
        <v>45.5</v>
      </c>
      <c r="Z13" s="189">
        <v>46</v>
      </c>
      <c r="AA13" s="189">
        <v>48.3</v>
      </c>
      <c r="AB13" s="189">
        <v>49.2</v>
      </c>
      <c r="AC13" s="297">
        <v>50</v>
      </c>
      <c r="AD13" s="308">
        <f>AVERAGE(P13:R13)</f>
        <v>30.443939393939388</v>
      </c>
      <c r="AE13" s="246">
        <f>AVERAGE(S13:T13:U13)</f>
        <v>43.332857142857144</v>
      </c>
      <c r="AF13" s="246">
        <f t="shared" si="1"/>
        <v>45.833333333333336</v>
      </c>
      <c r="AG13" s="309">
        <f t="shared" si="2"/>
        <v>49.166666666666664</v>
      </c>
      <c r="AH13" s="241">
        <f>AVERAGE(P13:AC13)</f>
        <v>42.194199134199131</v>
      </c>
      <c r="AI13" s="267"/>
    </row>
    <row r="14" spans="1:358" s="62" customFormat="1" ht="19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5">AVERAGE(U10:U13)</f>
        <v>46.3</v>
      </c>
      <c r="V14" s="59">
        <f t="shared" si="5"/>
        <v>45.375</v>
      </c>
      <c r="W14" s="369"/>
      <c r="X14" s="369"/>
      <c r="Y14" s="59">
        <f t="shared" si="5"/>
        <v>44.5</v>
      </c>
      <c r="Z14" s="59">
        <f t="shared" si="5"/>
        <v>43.75</v>
      </c>
      <c r="AA14" s="59">
        <f t="shared" si="5"/>
        <v>44.825000000000003</v>
      </c>
      <c r="AB14" s="59">
        <f t="shared" si="5"/>
        <v>45.924999999999997</v>
      </c>
      <c r="AC14" s="234">
        <f t="shared" si="5"/>
        <v>46.875</v>
      </c>
      <c r="AD14" s="310">
        <f>AVERAGE(AD10:AD13)</f>
        <v>30.443939393939388</v>
      </c>
      <c r="AE14" s="59">
        <f t="shared" ref="AE14" si="6">AVERAGE(AE10:AE13)</f>
        <v>43.199523809523804</v>
      </c>
      <c r="AF14" s="59">
        <f>AVERAGE(AF10:AF13)</f>
        <v>44.541666666666671</v>
      </c>
      <c r="AG14" s="311">
        <f>AVERAGE(AG10:AG13)</f>
        <v>45.874999999999993</v>
      </c>
      <c r="AH14" s="242">
        <f>AVERAGE(AH10:AH13)</f>
        <v>41.015032467532464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46.5</v>
      </c>
      <c r="V15" s="164">
        <v>45.5</v>
      </c>
      <c r="W15" s="370"/>
      <c r="X15" s="370"/>
      <c r="Y15" s="164">
        <v>44.5</v>
      </c>
      <c r="Z15" s="164">
        <v>44</v>
      </c>
      <c r="AA15" s="164">
        <v>45</v>
      </c>
      <c r="AB15" s="164">
        <v>46</v>
      </c>
      <c r="AC15" s="229">
        <v>47.5</v>
      </c>
      <c r="AD15" s="312">
        <f>AVERAGE(P15:R15)</f>
        <v>30.443939393939388</v>
      </c>
      <c r="AE15" s="164">
        <f>AVERAGE(S15:T15:U15)</f>
        <v>43.266190476190474</v>
      </c>
      <c r="AF15" s="164">
        <f>AVERAGE(V15:Z15)</f>
        <v>44.666666666666664</v>
      </c>
      <c r="AG15" s="313">
        <f>AVERAGE(AA15:AC15)</f>
        <v>46.166666666666664</v>
      </c>
      <c r="AH15" s="242">
        <f>AVERAGE(P15:AC15)</f>
        <v>41.135865800865794</v>
      </c>
      <c r="AI15" s="271">
        <v>54</v>
      </c>
      <c r="AJ15" s="179"/>
      <c r="AK15" s="179"/>
    </row>
    <row r="16" spans="1:358" ht="21.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371"/>
      <c r="X16" s="371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"/>
      <c r="V17" s="39"/>
      <c r="W17" s="372"/>
      <c r="X17" s="372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5"/>
      <c r="B18" s="676"/>
      <c r="C18" s="676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373"/>
      <c r="X18" s="37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4.5627777777777778</v>
      </c>
      <c r="R19" s="388">
        <v>3.8622727272727388</v>
      </c>
      <c r="S19" s="388">
        <v>3.33</v>
      </c>
      <c r="T19" s="388">
        <v>-0.23190476190475806</v>
      </c>
      <c r="U19" s="189">
        <v>-1.75</v>
      </c>
      <c r="V19" s="189">
        <v>-2</v>
      </c>
      <c r="W19" s="185"/>
      <c r="X19" s="186"/>
      <c r="Y19" s="189">
        <v>-2</v>
      </c>
      <c r="Z19" s="189">
        <v>-1.75</v>
      </c>
      <c r="AA19" s="189">
        <v>-1.5</v>
      </c>
      <c r="AB19" s="189">
        <v>-1</v>
      </c>
      <c r="AC19" s="297">
        <v>-0.5</v>
      </c>
      <c r="AD19" s="308">
        <f>AVERAGE(P19:R19)</f>
        <v>6.0716835016835056</v>
      </c>
      <c r="AE19" s="246">
        <f>AVERAGE(S19:T19:U19)</f>
        <v>0.44936507936508069</v>
      </c>
      <c r="AF19" s="246">
        <f>AVERAGE(V19:Z19)</f>
        <v>-1.9166666666666667</v>
      </c>
      <c r="AG19" s="309">
        <f>AVERAGE(AA19:AC19)</f>
        <v>-1</v>
      </c>
      <c r="AH19" s="241">
        <f>AVERAGE(P19:AC19)</f>
        <v>0.90109547859548</v>
      </c>
      <c r="AI19" s="272"/>
    </row>
    <row r="20" spans="1:358" ht="58.5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4.5627777777777778</v>
      </c>
      <c r="R20" s="389">
        <v>3.8622727272727388</v>
      </c>
      <c r="S20" s="388">
        <v>3.33</v>
      </c>
      <c r="T20" s="388">
        <v>-0.23190476190475806</v>
      </c>
      <c r="U20" s="183">
        <v>-1.5</v>
      </c>
      <c r="V20" s="183">
        <v>0</v>
      </c>
      <c r="W20" s="185"/>
      <c r="X20" s="186"/>
      <c r="Y20" s="183">
        <v>0.5</v>
      </c>
      <c r="Z20" s="183">
        <v>0.5</v>
      </c>
      <c r="AA20" s="183">
        <v>1</v>
      </c>
      <c r="AB20" s="183">
        <v>1.5</v>
      </c>
      <c r="AC20" s="298">
        <v>2</v>
      </c>
      <c r="AD20" s="308">
        <f>AVERAGE(P20:R20)</f>
        <v>6.0716835016835056</v>
      </c>
      <c r="AE20" s="246">
        <f>AVERAGE(S20:T20:U20)</f>
        <v>0.532698412698414</v>
      </c>
      <c r="AF20" s="246">
        <f t="shared" ref="AF20:AF22" si="9">AVERAGE(V20:Z20)</f>
        <v>0.33333333333333331</v>
      </c>
      <c r="AG20" s="309">
        <f t="shared" ref="AG20:AG22" si="10">AVERAGE(AA20:AC20)</f>
        <v>1.5</v>
      </c>
      <c r="AH20" s="241">
        <f>AVERAGE(P20:AC20)</f>
        <v>2.1094288119288134</v>
      </c>
      <c r="AI20" s="272"/>
    </row>
    <row r="21" spans="1:358" ht="58.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4.5627777777777778</v>
      </c>
      <c r="R21" s="388">
        <v>3.8622727272727388</v>
      </c>
      <c r="S21" s="388">
        <v>3.33</v>
      </c>
      <c r="T21" s="388">
        <v>-0.23190476190475806</v>
      </c>
      <c r="U21" s="189">
        <v>-1</v>
      </c>
      <c r="V21" s="189">
        <v>-1</v>
      </c>
      <c r="W21" s="185" t="s">
        <v>206</v>
      </c>
      <c r="X21" s="186" t="s">
        <v>159</v>
      </c>
      <c r="Y21" s="189">
        <v>0</v>
      </c>
      <c r="Z21" s="189">
        <v>0</v>
      </c>
      <c r="AA21" s="189">
        <v>1</v>
      </c>
      <c r="AB21" s="189">
        <v>1</v>
      </c>
      <c r="AC21" s="297">
        <v>1</v>
      </c>
      <c r="AD21" s="308">
        <f>AVERAGE(P21:R21)</f>
        <v>6.0716835016835056</v>
      </c>
      <c r="AE21" s="246">
        <f>AVERAGE(S21:T21:U21)</f>
        <v>0.69936507936508063</v>
      </c>
      <c r="AF21" s="246">
        <f t="shared" si="9"/>
        <v>-0.33333333333333331</v>
      </c>
      <c r="AG21" s="309">
        <f t="shared" si="10"/>
        <v>1</v>
      </c>
      <c r="AH21" s="241">
        <f>AVERAGE(P21:AC21)</f>
        <v>1.8594288119288134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4.5627777777777778</v>
      </c>
      <c r="R22" s="388">
        <v>3.8622727272727388</v>
      </c>
      <c r="S22" s="388">
        <v>3.33</v>
      </c>
      <c r="T22" s="388">
        <v>-0.23190476190475806</v>
      </c>
      <c r="U22" s="189">
        <v>-1</v>
      </c>
      <c r="V22" s="189">
        <v>-1</v>
      </c>
      <c r="W22" s="185"/>
      <c r="X22" s="186"/>
      <c r="Y22" s="189">
        <v>-1</v>
      </c>
      <c r="Z22" s="189">
        <v>1.3</v>
      </c>
      <c r="AA22" s="189">
        <v>2</v>
      </c>
      <c r="AB22" s="189">
        <v>2.5</v>
      </c>
      <c r="AC22" s="297">
        <v>2.5</v>
      </c>
      <c r="AD22" s="308">
        <f>AVERAGE(P22:R22)</f>
        <v>6.0716835016835056</v>
      </c>
      <c r="AE22" s="246">
        <f>AVERAGE(S22:T22:U22)</f>
        <v>0.69936507936508063</v>
      </c>
      <c r="AF22" s="246">
        <f t="shared" si="9"/>
        <v>-0.23333333333333331</v>
      </c>
      <c r="AG22" s="309">
        <f t="shared" si="10"/>
        <v>2.3333333333333335</v>
      </c>
      <c r="AH22" s="241">
        <f>AVERAGE(P22:AC22)</f>
        <v>2.2177621452621468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3">AVERAGE(U19:U22)</f>
        <v>-1.3125</v>
      </c>
      <c r="V23" s="59">
        <f t="shared" si="13"/>
        <v>-1</v>
      </c>
      <c r="W23" s="375"/>
      <c r="X23" s="375"/>
      <c r="Y23" s="59">
        <f t="shared" si="13"/>
        <v>-0.625</v>
      </c>
      <c r="Z23" s="59">
        <f t="shared" si="13"/>
        <v>1.2500000000000011E-2</v>
      </c>
      <c r="AA23" s="59">
        <f t="shared" si="13"/>
        <v>0.625</v>
      </c>
      <c r="AB23" s="59">
        <f t="shared" si="13"/>
        <v>1</v>
      </c>
      <c r="AC23" s="234">
        <f t="shared" si="13"/>
        <v>1.25</v>
      </c>
      <c r="AD23" s="310">
        <f>AVERAGE(AD19:AD22)</f>
        <v>6.0716835016835056</v>
      </c>
      <c r="AE23" s="59">
        <f>AVERAGE(AE19:AE22)</f>
        <v>0.595198412698414</v>
      </c>
      <c r="AF23" s="59">
        <f t="shared" ref="AF23:AG23" si="14">AVERAGE(AF19:AF22)</f>
        <v>-0.53749999999999998</v>
      </c>
      <c r="AG23" s="311">
        <f t="shared" si="14"/>
        <v>0.95833333333333337</v>
      </c>
      <c r="AH23" s="242">
        <f>AVERAGE(AH19:AH22)</f>
        <v>1.7719288119288132</v>
      </c>
      <c r="AI23" s="272"/>
    </row>
    <row r="24" spans="1:358" ht="19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-1.5</v>
      </c>
      <c r="V24" s="164">
        <v>-1</v>
      </c>
      <c r="W24" s="370"/>
      <c r="X24" s="370"/>
      <c r="Y24" s="164">
        <v>-0.5</v>
      </c>
      <c r="Z24" s="164">
        <v>0</v>
      </c>
      <c r="AA24" s="164">
        <v>1</v>
      </c>
      <c r="AB24" s="164">
        <v>1.5</v>
      </c>
      <c r="AC24" s="229">
        <v>1.5</v>
      </c>
      <c r="AD24" s="312">
        <f>AVERAGE(P24:R24)</f>
        <v>6.0716835016835056</v>
      </c>
      <c r="AE24" s="164">
        <f>AVERAGE(S24:T24:U24)</f>
        <v>0.532698412698414</v>
      </c>
      <c r="AF24" s="164">
        <f>AVERAGE(V24:Z24)</f>
        <v>-0.5</v>
      </c>
      <c r="AG24" s="313">
        <f>AVERAGE(AA24:AC24)</f>
        <v>1.3333333333333333</v>
      </c>
      <c r="AH24" s="242">
        <f>AVERAGE(P24:AC24)</f>
        <v>1.8594288119288134</v>
      </c>
      <c r="AI24" s="271">
        <v>-1</v>
      </c>
    </row>
    <row r="25" spans="1:358" ht="21.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371"/>
      <c r="X25" s="371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"/>
      <c r="V26" s="39"/>
      <c r="W26" s="372"/>
      <c r="X26" s="372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83"/>
      <c r="B27" s="684"/>
      <c r="C27" s="684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376"/>
      <c r="X27" s="377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</v>
      </c>
      <c r="R28" s="388">
        <v>17.63000000000001</v>
      </c>
      <c r="S28" s="388">
        <v>15.56</v>
      </c>
      <c r="T28" s="388">
        <v>14.896666666666668</v>
      </c>
      <c r="U28" s="189">
        <v>13</v>
      </c>
      <c r="V28" s="189">
        <v>12.75</v>
      </c>
      <c r="W28" s="185"/>
      <c r="X28" s="186"/>
      <c r="Y28" s="189">
        <v>12.5</v>
      </c>
      <c r="Z28" s="189">
        <v>12</v>
      </c>
      <c r="AA28" s="189">
        <v>12.5</v>
      </c>
      <c r="AB28" s="189">
        <v>13</v>
      </c>
      <c r="AC28" s="297">
        <v>13</v>
      </c>
      <c r="AD28" s="308">
        <f>AVERAGE(P28:R28)</f>
        <v>18.813333333333336</v>
      </c>
      <c r="AE28" s="246">
        <f>AVERAGE(S28:T28:U28)</f>
        <v>14.485555555555557</v>
      </c>
      <c r="AF28" s="246">
        <f>AVERAGE(V28:Z28)</f>
        <v>12.416666666666666</v>
      </c>
      <c r="AG28" s="309">
        <f>AVERAGE(AA28:AC28)</f>
        <v>12.833333333333334</v>
      </c>
      <c r="AH28" s="241">
        <f>AVERAGE(P28:AC28)</f>
        <v>14.637222222222222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</v>
      </c>
      <c r="R29" s="389">
        <v>17.63000000000001</v>
      </c>
      <c r="S29" s="388">
        <v>15.56</v>
      </c>
      <c r="T29" s="389">
        <v>14.896666666666668</v>
      </c>
      <c r="U29" s="183">
        <v>13.6</v>
      </c>
      <c r="V29" s="183">
        <v>14.5</v>
      </c>
      <c r="W29" s="185"/>
      <c r="X29" s="186"/>
      <c r="Y29" s="183">
        <v>14.5</v>
      </c>
      <c r="Z29" s="183">
        <v>14</v>
      </c>
      <c r="AA29" s="183">
        <v>13.4</v>
      </c>
      <c r="AB29" s="183">
        <v>13</v>
      </c>
      <c r="AC29" s="298">
        <v>13.5</v>
      </c>
      <c r="AD29" s="308">
        <f>AVERAGE(P29:R29)</f>
        <v>18.813333333333336</v>
      </c>
      <c r="AE29" s="246">
        <f>AVERAGE(S29:T29:U29)</f>
        <v>14.685555555555558</v>
      </c>
      <c r="AF29" s="246">
        <f t="shared" ref="AF29:AF31" si="17">AVERAGE(V29:Z29)</f>
        <v>14.333333333333334</v>
      </c>
      <c r="AG29" s="309">
        <f t="shared" ref="AG29:AG31" si="18">AVERAGE(AA29:AC29)</f>
        <v>13.299999999999999</v>
      </c>
      <c r="AH29" s="241">
        <f>AVERAGE(P29:AC29)</f>
        <v>15.283055555555556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</v>
      </c>
      <c r="R30" s="388">
        <v>17.63000000000001</v>
      </c>
      <c r="S30" s="388">
        <v>15.56</v>
      </c>
      <c r="T30" s="388">
        <v>14.896666666666668</v>
      </c>
      <c r="U30" s="189">
        <v>14.5</v>
      </c>
      <c r="V30" s="189">
        <v>14.5</v>
      </c>
      <c r="W30" s="185" t="s">
        <v>196</v>
      </c>
      <c r="X30" s="186" t="s">
        <v>96</v>
      </c>
      <c r="Y30" s="189">
        <v>14.5</v>
      </c>
      <c r="Z30" s="189">
        <v>14.5</v>
      </c>
      <c r="AA30" s="189">
        <v>14.5</v>
      </c>
      <c r="AB30" s="189">
        <v>14.5</v>
      </c>
      <c r="AC30" s="297">
        <v>14.5</v>
      </c>
      <c r="AD30" s="308">
        <f>AVERAGE(P30:R30)</f>
        <v>18.813333333333336</v>
      </c>
      <c r="AE30" s="246">
        <f>AVERAGE(S30:T30:U30)</f>
        <v>14.985555555555557</v>
      </c>
      <c r="AF30" s="246">
        <f t="shared" si="17"/>
        <v>14.5</v>
      </c>
      <c r="AG30" s="309">
        <f t="shared" si="18"/>
        <v>14.5</v>
      </c>
      <c r="AH30" s="241">
        <f>AVERAGE(P30:AC30)</f>
        <v>15.699722222222222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</v>
      </c>
      <c r="R31" s="388">
        <v>17.63000000000001</v>
      </c>
      <c r="S31" s="388">
        <v>15.56</v>
      </c>
      <c r="T31" s="388">
        <v>14.896666666666668</v>
      </c>
      <c r="U31" s="189">
        <v>14.2</v>
      </c>
      <c r="V31" s="189">
        <v>13.8</v>
      </c>
      <c r="W31" s="185" t="s">
        <v>201</v>
      </c>
      <c r="X31" s="186"/>
      <c r="Y31" s="189">
        <v>13.5</v>
      </c>
      <c r="Z31" s="189">
        <v>13.2</v>
      </c>
      <c r="AA31" s="189">
        <v>13</v>
      </c>
      <c r="AB31" s="189">
        <v>12.5</v>
      </c>
      <c r="AC31" s="297">
        <v>12</v>
      </c>
      <c r="AD31" s="308">
        <f>AVERAGE(P31:R31)</f>
        <v>18.813333333333336</v>
      </c>
      <c r="AE31" s="246">
        <f>AVERAGE(S31:T31:U31)</f>
        <v>14.885555555555555</v>
      </c>
      <c r="AF31" s="246">
        <f t="shared" si="17"/>
        <v>13.5</v>
      </c>
      <c r="AG31" s="309">
        <f t="shared" si="18"/>
        <v>12.5</v>
      </c>
      <c r="AH31" s="241">
        <f>AVERAGE(P31:AC31)</f>
        <v>14.924722222222222</v>
      </c>
      <c r="AI31" s="272"/>
    </row>
    <row r="32" spans="1:358" s="62" customFormat="1" ht="19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15.56</v>
      </c>
      <c r="T32" s="59">
        <f>AVERAGE(T28:T31)</f>
        <v>14.896666666666668</v>
      </c>
      <c r="U32" s="59">
        <f t="shared" si="20"/>
        <v>13.824999999999999</v>
      </c>
      <c r="V32" s="59">
        <f t="shared" si="20"/>
        <v>13.887499999999999</v>
      </c>
      <c r="W32" s="369"/>
      <c r="X32" s="369"/>
      <c r="Y32" s="59">
        <f t="shared" si="20"/>
        <v>13.75</v>
      </c>
      <c r="Z32" s="59">
        <f t="shared" si="20"/>
        <v>13.425000000000001</v>
      </c>
      <c r="AA32" s="59">
        <f t="shared" si="20"/>
        <v>13.35</v>
      </c>
      <c r="AB32" s="59">
        <f t="shared" si="20"/>
        <v>13.25</v>
      </c>
      <c r="AC32" s="234">
        <f t="shared" si="20"/>
        <v>13.25</v>
      </c>
      <c r="AD32" s="310">
        <f>AVERAGE(AD28:AD31)</f>
        <v>18.813333333333336</v>
      </c>
      <c r="AE32" s="59">
        <f t="shared" ref="AE32:AG32" si="21">AVERAGE(AE28:AE31)</f>
        <v>14.760555555555557</v>
      </c>
      <c r="AF32" s="59">
        <f t="shared" si="21"/>
        <v>13.6875</v>
      </c>
      <c r="AG32" s="311">
        <f t="shared" si="21"/>
        <v>13.283333333333333</v>
      </c>
      <c r="AH32" s="242">
        <f>AVERAGE(AH28:AH31)</f>
        <v>15.136180555555555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13.5</v>
      </c>
      <c r="V33" s="164">
        <v>13.5</v>
      </c>
      <c r="W33" s="370"/>
      <c r="X33" s="370"/>
      <c r="Y33" s="164">
        <v>13</v>
      </c>
      <c r="Z33" s="164">
        <v>12</v>
      </c>
      <c r="AA33" s="164">
        <v>12</v>
      </c>
      <c r="AB33" s="164">
        <v>13</v>
      </c>
      <c r="AC33" s="229">
        <v>13</v>
      </c>
      <c r="AD33" s="312">
        <f>AVERAGE(P33:R33)</f>
        <v>18.813333333333336</v>
      </c>
      <c r="AE33" s="164">
        <f>AVERAGE(S33:T33:U33)</f>
        <v>14.652222222222223</v>
      </c>
      <c r="AF33" s="164">
        <f>AVERAGE(V33:Z33)</f>
        <v>12.833333333333334</v>
      </c>
      <c r="AG33" s="313">
        <f>AVERAGE(AA33:AC33)</f>
        <v>12.666666666666666</v>
      </c>
      <c r="AH33" s="242">
        <f>AVERAGE(P33:AC33)</f>
        <v>14.74138888888889</v>
      </c>
      <c r="AI33" s="271">
        <v>16</v>
      </c>
    </row>
    <row r="34" spans="1:358" ht="21.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371"/>
      <c r="X34" s="371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"/>
      <c r="V35" s="39"/>
      <c r="W35" s="378"/>
      <c r="X35" s="378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5"/>
      <c r="B36" s="676"/>
      <c r="C36" s="676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373"/>
      <c r="X36" s="37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11.62</v>
      </c>
      <c r="R37" s="390">
        <v>12.238181818181829</v>
      </c>
      <c r="S37" s="390">
        <v>10.5</v>
      </c>
      <c r="T37" s="390">
        <v>10.901428571428582</v>
      </c>
      <c r="U37" s="181">
        <v>11.5</v>
      </c>
      <c r="V37" s="181">
        <v>11</v>
      </c>
      <c r="W37" s="185"/>
      <c r="X37" s="186"/>
      <c r="Y37" s="181">
        <v>10.5</v>
      </c>
      <c r="Z37" s="181">
        <v>10.75</v>
      </c>
      <c r="AA37" s="181">
        <v>11.5</v>
      </c>
      <c r="AB37" s="181">
        <v>12.5</v>
      </c>
      <c r="AC37" s="299">
        <v>13.5</v>
      </c>
      <c r="AD37" s="308">
        <f>AVERAGE(P37:R37)</f>
        <v>11.652727272727276</v>
      </c>
      <c r="AE37" s="246">
        <f>AVERAGE(S37:T37:U37)</f>
        <v>10.967142857142861</v>
      </c>
      <c r="AF37" s="246">
        <f>AVERAGE(V37:Z37)</f>
        <v>10.75</v>
      </c>
      <c r="AG37" s="309">
        <f>AVERAGE(AA37:AC37)</f>
        <v>12.5</v>
      </c>
      <c r="AH37" s="241">
        <f>AVERAGE(P37:AC37)</f>
        <v>11.467467532467532</v>
      </c>
      <c r="AI37" s="272"/>
    </row>
    <row r="38" spans="1:358" ht="57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11.62</v>
      </c>
      <c r="R38" s="391">
        <v>12.238181818181829</v>
      </c>
      <c r="S38" s="390">
        <v>10.5</v>
      </c>
      <c r="T38" s="391">
        <v>10.901428571428582</v>
      </c>
      <c r="U38" s="175">
        <v>11.7</v>
      </c>
      <c r="V38" s="175">
        <v>11</v>
      </c>
      <c r="W38" s="185"/>
      <c r="X38" s="186"/>
      <c r="Y38" s="175">
        <v>10.5</v>
      </c>
      <c r="Z38" s="175">
        <v>11.5</v>
      </c>
      <c r="AA38" s="175">
        <v>12.7</v>
      </c>
      <c r="AB38" s="175">
        <v>13.3</v>
      </c>
      <c r="AC38" s="300">
        <v>13.5</v>
      </c>
      <c r="AD38" s="308">
        <f>AVERAGE(P38:R38)</f>
        <v>11.652727272727276</v>
      </c>
      <c r="AE38" s="246">
        <f>AVERAGE(S38:T38:U38)</f>
        <v>11.033809523809529</v>
      </c>
      <c r="AF38" s="246">
        <f t="shared" ref="AF38:AF40" si="24">AVERAGE(V38:Z38)</f>
        <v>11</v>
      </c>
      <c r="AG38" s="309">
        <f t="shared" ref="AG38:AG40" si="25">AVERAGE(AA38:AC38)</f>
        <v>13.166666666666666</v>
      </c>
      <c r="AH38" s="241">
        <f>AVERAGE(P38:AC38)</f>
        <v>11.713300865800868</v>
      </c>
      <c r="AI38" s="272"/>
    </row>
    <row r="39" spans="1:358" ht="57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11.62</v>
      </c>
      <c r="R39" s="388">
        <v>12.238181818181829</v>
      </c>
      <c r="S39" s="390">
        <v>10.5</v>
      </c>
      <c r="T39" s="390">
        <v>10.901428571428582</v>
      </c>
      <c r="U39" s="181">
        <v>10.5</v>
      </c>
      <c r="V39" s="181">
        <v>11</v>
      </c>
      <c r="W39" s="185" t="s">
        <v>161</v>
      </c>
      <c r="X39" s="186" t="s">
        <v>36</v>
      </c>
      <c r="Y39" s="181">
        <v>11</v>
      </c>
      <c r="Z39" s="181">
        <v>11.5</v>
      </c>
      <c r="AA39" s="181">
        <v>11</v>
      </c>
      <c r="AB39" s="181">
        <v>11.5</v>
      </c>
      <c r="AC39" s="299">
        <v>11.5</v>
      </c>
      <c r="AD39" s="308">
        <f>AVERAGE(P39:R39)</f>
        <v>11.652727272727276</v>
      </c>
      <c r="AE39" s="246">
        <f>AVERAGE(S39:T39:U39)</f>
        <v>10.633809523809527</v>
      </c>
      <c r="AF39" s="246">
        <f t="shared" si="24"/>
        <v>11.166666666666666</v>
      </c>
      <c r="AG39" s="309">
        <f t="shared" si="25"/>
        <v>11.333333333333334</v>
      </c>
      <c r="AH39" s="241">
        <f>AVERAGE(P39:AC39)</f>
        <v>11.1966341991342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11.62</v>
      </c>
      <c r="R40" s="390">
        <v>12.238181818181829</v>
      </c>
      <c r="S40" s="390">
        <v>10.5</v>
      </c>
      <c r="T40" s="390">
        <v>10.901428571428582</v>
      </c>
      <c r="U40" s="181">
        <v>11.66</v>
      </c>
      <c r="V40" s="181">
        <v>10.84</v>
      </c>
      <c r="W40" s="185" t="s">
        <v>202</v>
      </c>
      <c r="X40" s="186"/>
      <c r="Y40" s="181">
        <v>10.7</v>
      </c>
      <c r="Z40" s="181">
        <v>10.299999999999999</v>
      </c>
      <c r="AA40" s="181">
        <v>12.7</v>
      </c>
      <c r="AB40" s="181">
        <v>14.4</v>
      </c>
      <c r="AC40" s="299">
        <v>14.6</v>
      </c>
      <c r="AD40" s="308">
        <f>AVERAGE(P40:R40)</f>
        <v>11.652727272727276</v>
      </c>
      <c r="AE40" s="246">
        <f>AVERAGE(S40:T40:U40)</f>
        <v>11.020476190476193</v>
      </c>
      <c r="AF40" s="246">
        <f t="shared" si="24"/>
        <v>10.613333333333332</v>
      </c>
      <c r="AG40" s="309">
        <f t="shared" si="25"/>
        <v>13.9</v>
      </c>
      <c r="AH40" s="241">
        <f>AVERAGE(P40:AC40)</f>
        <v>11.796634199134202</v>
      </c>
      <c r="AI40" s="272"/>
    </row>
    <row r="41" spans="1:358" s="62" customFormat="1" ht="19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10.5</v>
      </c>
      <c r="T41" s="59">
        <f>AVERAGE(T37:T40)</f>
        <v>10.901428571428582</v>
      </c>
      <c r="U41" s="59">
        <f t="shared" si="27"/>
        <v>11.34</v>
      </c>
      <c r="V41" s="59">
        <f t="shared" si="27"/>
        <v>10.96</v>
      </c>
      <c r="W41" s="379"/>
      <c r="X41" s="379"/>
      <c r="Y41" s="59">
        <f t="shared" si="27"/>
        <v>10.675000000000001</v>
      </c>
      <c r="Z41" s="59">
        <f t="shared" si="27"/>
        <v>11.012499999999999</v>
      </c>
      <c r="AA41" s="59">
        <f t="shared" si="27"/>
        <v>11.975000000000001</v>
      </c>
      <c r="AB41" s="59">
        <f t="shared" si="27"/>
        <v>12.924999999999999</v>
      </c>
      <c r="AC41" s="234">
        <f t="shared" si="27"/>
        <v>13.275</v>
      </c>
      <c r="AD41" s="310">
        <f t="shared" si="27"/>
        <v>11.652727272727276</v>
      </c>
      <c r="AE41" s="59">
        <f t="shared" si="27"/>
        <v>10.913809523809528</v>
      </c>
      <c r="AF41" s="59">
        <f t="shared" si="27"/>
        <v>10.882499999999999</v>
      </c>
      <c r="AG41" s="311">
        <f t="shared" si="27"/>
        <v>12.725</v>
      </c>
      <c r="AH41" s="242">
        <f>AVERAGE(AH37:AH40)</f>
        <v>11.543509199134201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10.5</v>
      </c>
      <c r="T42" s="164">
        <f>T41</f>
        <v>10.901428571428582</v>
      </c>
      <c r="U42" s="164">
        <v>11.3</v>
      </c>
      <c r="V42" s="164">
        <v>11</v>
      </c>
      <c r="W42" s="370"/>
      <c r="X42" s="370"/>
      <c r="Y42" s="164">
        <v>10.5</v>
      </c>
      <c r="Z42" s="164">
        <v>11</v>
      </c>
      <c r="AA42" s="164">
        <v>12</v>
      </c>
      <c r="AB42" s="164">
        <v>13</v>
      </c>
      <c r="AC42" s="164">
        <v>14</v>
      </c>
      <c r="AD42" s="312">
        <f>AVERAGE(P42:R42)</f>
        <v>11.652727272727276</v>
      </c>
      <c r="AE42" s="164">
        <f>AVERAGE(S42:T42:U42)</f>
        <v>10.900476190476192</v>
      </c>
      <c r="AF42" s="164">
        <f>AVERAGE(V42:Z42)</f>
        <v>10.833333333333334</v>
      </c>
      <c r="AG42" s="313">
        <f>AVERAGE(AA42:AC42)</f>
        <v>13</v>
      </c>
      <c r="AH42" s="242">
        <f>AVERAGE(P42:AC42)</f>
        <v>11.596634199134201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1.4499999999999993</v>
      </c>
      <c r="T43" s="157">
        <f t="shared" si="29"/>
        <v>0.31809523809523199</v>
      </c>
      <c r="U43" s="157">
        <f t="shared" si="29"/>
        <v>0.17750000000000021</v>
      </c>
      <c r="V43" s="157">
        <f t="shared" si="29"/>
        <v>0.41000000000000014</v>
      </c>
      <c r="W43" s="159"/>
      <c r="X43" s="159"/>
      <c r="Y43" s="157">
        <f t="shared" si="29"/>
        <v>0.55000000000000071</v>
      </c>
      <c r="Z43" s="157">
        <f t="shared" si="29"/>
        <v>0.73749999999999893</v>
      </c>
      <c r="AA43" s="157">
        <f t="shared" si="29"/>
        <v>0.70000000000000107</v>
      </c>
      <c r="AB43" s="157">
        <f t="shared" si="29"/>
        <v>0.58249999999999957</v>
      </c>
      <c r="AC43" s="236">
        <f t="shared" si="29"/>
        <v>0.82500000000000107</v>
      </c>
      <c r="AD43" s="317">
        <f t="shared" si="29"/>
        <v>2.0274242424242441</v>
      </c>
      <c r="AE43" s="157">
        <f t="shared" si="29"/>
        <v>0.64853174603174324</v>
      </c>
      <c r="AF43" s="157">
        <f t="shared" si="29"/>
        <v>0.56583333333333385</v>
      </c>
      <c r="AG43" s="318">
        <f t="shared" si="29"/>
        <v>0.70250000000000057</v>
      </c>
      <c r="AH43" s="242">
        <f t="shared" si="29"/>
        <v>0.98607233044733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9"/>
        <v>0.19999999999999929</v>
      </c>
      <c r="O44" s="164">
        <f t="shared" si="29"/>
        <v>1.4499999999999993</v>
      </c>
      <c r="P44" s="164">
        <f t="shared" si="29"/>
        <v>1.7599999999999998</v>
      </c>
      <c r="Q44" s="164">
        <f t="shared" si="29"/>
        <v>2.4599999999999991</v>
      </c>
      <c r="R44" s="164">
        <f t="shared" si="29"/>
        <v>1.8622727272727317</v>
      </c>
      <c r="S44" s="164">
        <f t="shared" si="29"/>
        <v>1.4499999999999993</v>
      </c>
      <c r="T44" s="164">
        <f t="shared" si="29"/>
        <v>0.31809523809523199</v>
      </c>
      <c r="U44" s="164">
        <f t="shared" si="29"/>
        <v>0.10000000000000142</v>
      </c>
      <c r="V44" s="164">
        <f t="shared" si="29"/>
        <v>0.5</v>
      </c>
      <c r="W44" s="370"/>
      <c r="X44" s="370"/>
      <c r="Y44" s="164">
        <f t="shared" si="29"/>
        <v>0.5</v>
      </c>
      <c r="Z44" s="164">
        <f t="shared" si="29"/>
        <v>0.5</v>
      </c>
      <c r="AA44" s="164">
        <f t="shared" si="29"/>
        <v>1</v>
      </c>
      <c r="AB44" s="164">
        <f t="shared" si="29"/>
        <v>1</v>
      </c>
      <c r="AC44" s="229">
        <f t="shared" si="29"/>
        <v>1.5</v>
      </c>
      <c r="AD44" s="312">
        <f>AVERAGE(P44:R44)</f>
        <v>2.0274242424242437</v>
      </c>
      <c r="AE44" s="164">
        <f>AE42-AE53</f>
        <v>0.62269841269840853</v>
      </c>
      <c r="AF44" s="164">
        <f>AF42-AF53</f>
        <v>0.5</v>
      </c>
      <c r="AG44" s="313">
        <f>AG42-AG53</f>
        <v>1.1666666666666661</v>
      </c>
      <c r="AH44" s="243">
        <f>AH42-AH53</f>
        <v>1.0791973304473306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371"/>
      <c r="X45" s="371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1.0791973304473306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"/>
      <c r="V46" s="39"/>
      <c r="W46" s="381"/>
      <c r="X46" s="381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75"/>
      <c r="B47" s="676"/>
      <c r="C47" s="676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382"/>
      <c r="X47" s="383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189">
        <v>11.5</v>
      </c>
      <c r="V48" s="189">
        <v>10.5</v>
      </c>
      <c r="W48" s="185"/>
      <c r="X48" s="186"/>
      <c r="Y48" s="189">
        <v>10</v>
      </c>
      <c r="Z48" s="189">
        <v>10</v>
      </c>
      <c r="AA48" s="189">
        <v>10.5</v>
      </c>
      <c r="AB48" s="189">
        <v>11.5</v>
      </c>
      <c r="AC48" s="297">
        <v>12.5</v>
      </c>
      <c r="AD48" s="308">
        <f>AVERAGE(P48:R48)</f>
        <v>9.6253030303030318</v>
      </c>
      <c r="AE48" s="246">
        <f>AVERAGE(S48:T48:U48)</f>
        <v>10.377777777777784</v>
      </c>
      <c r="AF48" s="246">
        <f>AVERAGE(V48:Z48)</f>
        <v>10.166666666666666</v>
      </c>
      <c r="AG48" s="309">
        <f>AVERAGE(AA48:AC48)</f>
        <v>11.5</v>
      </c>
      <c r="AH48" s="241">
        <f>AVERAGE(P48:AC48)</f>
        <v>10.41743686868687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183">
        <v>11.5</v>
      </c>
      <c r="V49" s="183">
        <v>10.5</v>
      </c>
      <c r="W49" s="185"/>
      <c r="X49" s="186"/>
      <c r="Y49" s="183">
        <v>10</v>
      </c>
      <c r="Z49" s="183">
        <v>11</v>
      </c>
      <c r="AA49" s="183">
        <v>12</v>
      </c>
      <c r="AB49" s="183">
        <v>12.5</v>
      </c>
      <c r="AC49" s="298">
        <v>12.8</v>
      </c>
      <c r="AD49" s="308">
        <f>AVERAGE(P49:R49)</f>
        <v>9.6253030303030318</v>
      </c>
      <c r="AE49" s="246">
        <f>AVERAGE(S49:T49:U49)</f>
        <v>10.377777777777784</v>
      </c>
      <c r="AF49" s="246">
        <f t="shared" ref="AF49:AF51" si="30">AVERAGE(V49:Z49)</f>
        <v>10.5</v>
      </c>
      <c r="AG49" s="309">
        <f t="shared" ref="AG49:AG51" si="31">AVERAGE(AA49:AC49)</f>
        <v>12.433333333333332</v>
      </c>
      <c r="AH49" s="241">
        <f>AVERAGE(P49:AC49)</f>
        <v>10.734103535353539</v>
      </c>
      <c r="AI49" s="267"/>
    </row>
    <row r="50" spans="1:358" ht="50.25" hidden="1" customHeight="1" outlineLevel="1">
      <c r="A50" s="47" t="s">
        <v>25</v>
      </c>
      <c r="B50" s="78">
        <f t="shared" ref="B50" si="32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189">
        <v>10.5</v>
      </c>
      <c r="V50" s="189">
        <v>10.5</v>
      </c>
      <c r="W50" s="185" t="s">
        <v>162</v>
      </c>
      <c r="X50" s="186" t="s">
        <v>36</v>
      </c>
      <c r="Y50" s="189">
        <v>10.5</v>
      </c>
      <c r="Z50" s="189">
        <v>11</v>
      </c>
      <c r="AA50" s="189">
        <v>11</v>
      </c>
      <c r="AB50" s="189">
        <v>11.5</v>
      </c>
      <c r="AC50" s="297">
        <v>11.5</v>
      </c>
      <c r="AD50" s="308">
        <f>AVERAGE(P50:R50)</f>
        <v>9.6253030303030318</v>
      </c>
      <c r="AE50" s="246">
        <f>AVERAGE(S50:T50:U50)</f>
        <v>10.04444444444445</v>
      </c>
      <c r="AF50" s="246">
        <f t="shared" si="30"/>
        <v>10.666666666666666</v>
      </c>
      <c r="AG50" s="309">
        <f t="shared" si="31"/>
        <v>11.333333333333334</v>
      </c>
      <c r="AH50" s="241">
        <f>AVERAGE(P50:AC50)</f>
        <v>10.41743686868687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189">
        <v>11.15</v>
      </c>
      <c r="V51" s="189">
        <v>10.7</v>
      </c>
      <c r="W51" s="224" t="s">
        <v>203</v>
      </c>
      <c r="X51" s="186" t="s">
        <v>204</v>
      </c>
      <c r="Y51" s="183">
        <v>10</v>
      </c>
      <c r="Z51" s="183">
        <v>9.1</v>
      </c>
      <c r="AA51" s="183">
        <v>11.6</v>
      </c>
      <c r="AB51" s="183">
        <v>13.87</v>
      </c>
      <c r="AC51" s="298">
        <v>13</v>
      </c>
      <c r="AD51" s="308">
        <f>AVERAGE(P51:R51)</f>
        <v>9.6253030303030318</v>
      </c>
      <c r="AE51" s="246">
        <f>AVERAGE(S51:T51:U51)</f>
        <v>10.261111111111118</v>
      </c>
      <c r="AF51" s="246">
        <f t="shared" si="30"/>
        <v>9.9333333333333318</v>
      </c>
      <c r="AG51" s="309">
        <f t="shared" si="31"/>
        <v>12.823333333333332</v>
      </c>
      <c r="AH51" s="241">
        <f>AVERAGE(P51:AC51)</f>
        <v>10.660770202020204</v>
      </c>
      <c r="AI51" s="267"/>
    </row>
    <row r="52" spans="1:358" s="62" customFormat="1" ht="19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3">AVERAGE(J48:J51)</f>
        <v>#DIV/0!</v>
      </c>
      <c r="K52" s="157">
        <f t="shared" si="33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4">AVERAGE(R48:R51)</f>
        <v>10.375909090909097</v>
      </c>
      <c r="S52" s="59">
        <f t="shared" si="34"/>
        <v>9.0500000000000007</v>
      </c>
      <c r="T52" s="59">
        <f>AVERAGE(T48:T51)</f>
        <v>10.58333333333335</v>
      </c>
      <c r="U52" s="59">
        <f t="shared" si="34"/>
        <v>11.1625</v>
      </c>
      <c r="V52" s="59">
        <f t="shared" si="34"/>
        <v>10.55</v>
      </c>
      <c r="W52" s="379"/>
      <c r="X52" s="379"/>
      <c r="Y52" s="59">
        <f t="shared" si="34"/>
        <v>10.125</v>
      </c>
      <c r="Z52" s="59">
        <f t="shared" si="34"/>
        <v>10.275</v>
      </c>
      <c r="AA52" s="59">
        <f t="shared" si="34"/>
        <v>11.275</v>
      </c>
      <c r="AB52" s="59">
        <f t="shared" si="34"/>
        <v>12.342499999999999</v>
      </c>
      <c r="AC52" s="234">
        <f t="shared" si="34"/>
        <v>12.45</v>
      </c>
      <c r="AD52" s="310">
        <f t="shared" si="34"/>
        <v>9.6253030303030318</v>
      </c>
      <c r="AE52" s="59">
        <f t="shared" si="34"/>
        <v>10.265277777777785</v>
      </c>
      <c r="AF52" s="59">
        <f t="shared" si="34"/>
        <v>10.316666666666665</v>
      </c>
      <c r="AG52" s="311">
        <f t="shared" si="34"/>
        <v>12.022499999999999</v>
      </c>
      <c r="AH52" s="242">
        <f>AVERAGE(AH48:AH51)</f>
        <v>10.557436868686871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5">O52</f>
        <v>14.15</v>
      </c>
      <c r="P53" s="164">
        <f>P52</f>
        <v>9.34</v>
      </c>
      <c r="Q53" s="164">
        <f t="shared" ref="Q53" si="36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11.2</v>
      </c>
      <c r="V53" s="164">
        <v>10.5</v>
      </c>
      <c r="W53" s="370"/>
      <c r="X53" s="370"/>
      <c r="Y53" s="164">
        <v>10</v>
      </c>
      <c r="Z53" s="164">
        <v>10.5</v>
      </c>
      <c r="AA53" s="164">
        <v>11</v>
      </c>
      <c r="AB53" s="164">
        <v>12</v>
      </c>
      <c r="AC53" s="164">
        <v>12.5</v>
      </c>
      <c r="AD53" s="312">
        <f>AVERAGE(P53:R53)</f>
        <v>9.6253030303030318</v>
      </c>
      <c r="AE53" s="164">
        <f>AVERAGE(S53:T53:U53)</f>
        <v>10.277777777777784</v>
      </c>
      <c r="AF53" s="164">
        <f>AVERAGE(V53:Z53)</f>
        <v>10.333333333333334</v>
      </c>
      <c r="AG53" s="313">
        <f>AVERAGE(AA53:AC53)</f>
        <v>11.833333333333334</v>
      </c>
      <c r="AH53" s="242">
        <f>AVERAGE(P53:AC53)</f>
        <v>10.51743686868687</v>
      </c>
      <c r="AI53" s="275">
        <v>12.8</v>
      </c>
    </row>
    <row r="54" spans="1:358" ht="21.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371"/>
      <c r="X54" s="371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idden="1" outlineLevel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"/>
      <c r="V55" s="39"/>
      <c r="W55" s="372"/>
      <c r="X55" s="372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.5" hidden="1" outlineLevel="1">
      <c r="A56" s="675"/>
      <c r="B56" s="676"/>
      <c r="C56" s="676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376"/>
      <c r="X56" s="377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189">
        <v>-9.25</v>
      </c>
      <c r="V57" s="189">
        <v>-9</v>
      </c>
      <c r="W57" s="185"/>
      <c r="X57" s="186"/>
      <c r="Y57" s="189">
        <v>-9</v>
      </c>
      <c r="Z57" s="189">
        <v>-8.75</v>
      </c>
      <c r="AA57" s="189">
        <v>-8.75</v>
      </c>
      <c r="AB57" s="189">
        <v>-8.5</v>
      </c>
      <c r="AC57" s="297">
        <v>-8.25</v>
      </c>
      <c r="AD57" s="308">
        <f>AVERAGE(P57:R57)</f>
        <v>-5.1703388212837007</v>
      </c>
      <c r="AE57" s="246">
        <f>AVERAGE(S57:T57:U57)</f>
        <v>-9.0306736657917757</v>
      </c>
      <c r="AF57" s="246">
        <f>AVERAGE(V57:Z57)</f>
        <v>-8.9166666666666661</v>
      </c>
      <c r="AG57" s="309">
        <f>AVERAGE(AA57:AC57)</f>
        <v>-8.5</v>
      </c>
      <c r="AH57" s="241">
        <f>AVERAGE(P57:AC57)</f>
        <v>-7.9044197884355354</v>
      </c>
      <c r="AI57" s="267"/>
    </row>
    <row r="58" spans="1:358" ht="51" hidden="1" customHeight="1" outlineLevel="1">
      <c r="A58" s="47" t="s">
        <v>24</v>
      </c>
      <c r="B58" s="78">
        <f t="shared" ref="B58" si="37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189">
        <v>-9.1999999999999993</v>
      </c>
      <c r="V58" s="189">
        <v>-8.4</v>
      </c>
      <c r="W58" s="185"/>
      <c r="X58" s="186"/>
      <c r="Y58" s="189">
        <v>-7.7</v>
      </c>
      <c r="Z58" s="189">
        <v>-7.5</v>
      </c>
      <c r="AA58" s="189">
        <v>-7.5</v>
      </c>
      <c r="AB58" s="189">
        <v>-7</v>
      </c>
      <c r="AC58" s="297">
        <v>-6.7</v>
      </c>
      <c r="AD58" s="308">
        <f>AVERAGE(P58:R58)</f>
        <v>-5.1703388212837007</v>
      </c>
      <c r="AE58" s="246">
        <f>AVERAGE(S58:T58:U58)</f>
        <v>-9.0140069991251082</v>
      </c>
      <c r="AF58" s="246">
        <f t="shared" ref="AF58:AF60" si="38">AVERAGE(V58:Z58)</f>
        <v>-7.8666666666666671</v>
      </c>
      <c r="AG58" s="309">
        <f t="shared" ref="AG58:AG60" si="39">AVERAGE(AA58:AC58)</f>
        <v>-7.0666666666666664</v>
      </c>
      <c r="AH58" s="241">
        <f>AVERAGE(P58:AC58)</f>
        <v>-7.2794197884355363</v>
      </c>
      <c r="AI58" s="267"/>
    </row>
    <row r="59" spans="1:358" ht="51" hidden="1" customHeight="1" outlineLevel="1">
      <c r="A59" s="47" t="s">
        <v>25</v>
      </c>
      <c r="B59" s="78">
        <f t="shared" ref="B59" si="40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189">
        <v>-9</v>
      </c>
      <c r="V59" s="189">
        <v>-9</v>
      </c>
      <c r="W59" s="185" t="s">
        <v>43</v>
      </c>
      <c r="X59" s="186" t="s">
        <v>43</v>
      </c>
      <c r="Y59" s="189">
        <v>-9</v>
      </c>
      <c r="Z59" s="189">
        <v>-8.5</v>
      </c>
      <c r="AA59" s="189">
        <v>-8.5</v>
      </c>
      <c r="AB59" s="189">
        <v>-8.5</v>
      </c>
      <c r="AC59" s="297">
        <v>-8.5</v>
      </c>
      <c r="AD59" s="308">
        <f>AVERAGE(P59:R59)</f>
        <v>-5.1703388212837007</v>
      </c>
      <c r="AE59" s="246">
        <f>AVERAGE(S59:T59:U59)</f>
        <v>-8.9473403324584417</v>
      </c>
      <c r="AF59" s="246">
        <f t="shared" si="38"/>
        <v>-8.8333333333333339</v>
      </c>
      <c r="AG59" s="309">
        <f t="shared" si="39"/>
        <v>-8.5</v>
      </c>
      <c r="AH59" s="241">
        <f>AVERAGE(P59:AC59)</f>
        <v>-7.8627531217688684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189">
        <v>-9.1999999999999993</v>
      </c>
      <c r="V60" s="189">
        <v>-9.1999999999999993</v>
      </c>
      <c r="W60" s="185" t="s">
        <v>205</v>
      </c>
      <c r="X60" s="186"/>
      <c r="Y60" s="189">
        <v>-9</v>
      </c>
      <c r="Z60" s="189">
        <v>-9</v>
      </c>
      <c r="AA60" s="189">
        <v>-8.6999999999999993</v>
      </c>
      <c r="AB60" s="189">
        <v>-8.23</v>
      </c>
      <c r="AC60" s="297">
        <v>-8</v>
      </c>
      <c r="AD60" s="308">
        <f>AVERAGE(P60:R60)</f>
        <v>-5.1703388212837007</v>
      </c>
      <c r="AE60" s="246">
        <f>AVERAGE(S60:T60:U60)</f>
        <v>-9.0140069991251082</v>
      </c>
      <c r="AF60" s="246">
        <f t="shared" si="38"/>
        <v>-9.0666666666666664</v>
      </c>
      <c r="AG60" s="309">
        <f t="shared" si="39"/>
        <v>-8.31</v>
      </c>
      <c r="AH60" s="241">
        <f>AVERAGE(P60:AC60)</f>
        <v>-7.8902531217688692</v>
      </c>
      <c r="AI60" s="267"/>
    </row>
    <row r="61" spans="1:358" s="62" customFormat="1" ht="19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1">AVERAGE(K57:K60)</f>
        <v>-8.1550000000000011</v>
      </c>
      <c r="L61" s="59">
        <f t="shared" si="41"/>
        <v>-8.1550000000000011</v>
      </c>
      <c r="M61" s="59">
        <f t="shared" si="41"/>
        <v>-8.33</v>
      </c>
      <c r="N61" s="59">
        <f t="shared" si="41"/>
        <v>-6.9175000000000004</v>
      </c>
      <c r="O61" s="59">
        <f t="shared" si="41"/>
        <v>-6.7333333333333334</v>
      </c>
      <c r="P61" s="59">
        <f>AVERAGE(P57:P60)</f>
        <v>-3.13</v>
      </c>
      <c r="Q61" s="59">
        <f t="shared" si="41"/>
        <v>-5.08</v>
      </c>
      <c r="R61" s="59">
        <f t="shared" si="41"/>
        <v>-7.3010164638511021</v>
      </c>
      <c r="S61" s="59">
        <f t="shared" si="41"/>
        <v>-8.77</v>
      </c>
      <c r="T61" s="59">
        <f>AVERAGE(T57:T60)</f>
        <v>-9.0720209973753256</v>
      </c>
      <c r="U61" s="59">
        <f t="shared" si="41"/>
        <v>-9.1624999999999996</v>
      </c>
      <c r="V61" s="59">
        <f t="shared" si="41"/>
        <v>-8.8999999999999986</v>
      </c>
      <c r="W61" s="369"/>
      <c r="X61" s="369"/>
      <c r="Y61" s="59">
        <f t="shared" si="41"/>
        <v>-8.6750000000000007</v>
      </c>
      <c r="Z61" s="59">
        <f t="shared" si="41"/>
        <v>-8.4375</v>
      </c>
      <c r="AA61" s="59">
        <f t="shared" si="41"/>
        <v>-8.3625000000000007</v>
      </c>
      <c r="AB61" s="59">
        <f t="shared" si="41"/>
        <v>-8.057500000000001</v>
      </c>
      <c r="AC61" s="234">
        <f t="shared" si="41"/>
        <v>-7.8624999999999998</v>
      </c>
      <c r="AD61" s="310">
        <f t="shared" si="41"/>
        <v>-5.1703388212837007</v>
      </c>
      <c r="AE61" s="59">
        <f t="shared" si="41"/>
        <v>-9.0015069991251089</v>
      </c>
      <c r="AF61" s="59">
        <f t="shared" si="41"/>
        <v>-8.6708333333333343</v>
      </c>
      <c r="AG61" s="311">
        <f t="shared" si="41"/>
        <v>-8.0941666666666663</v>
      </c>
      <c r="AH61" s="242">
        <f>AVERAGE(AH57:AH60)</f>
        <v>-7.7342114551022023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2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-9.1999999999999993</v>
      </c>
      <c r="V62" s="164">
        <v>-9</v>
      </c>
      <c r="W62" s="370"/>
      <c r="X62" s="370"/>
      <c r="Y62" s="164">
        <v>-9</v>
      </c>
      <c r="Z62" s="164">
        <v>-8.75</v>
      </c>
      <c r="AA62" s="164">
        <v>-8.5</v>
      </c>
      <c r="AB62" s="164">
        <v>-8.5</v>
      </c>
      <c r="AC62" s="229">
        <f>-8.25</f>
        <v>-8.25</v>
      </c>
      <c r="AD62" s="312">
        <f>AVERAGE(P62:R62)</f>
        <v>-5.1703388212837007</v>
      </c>
      <c r="AE62" s="164">
        <f>AVERAGE(S62:T62:U62)</f>
        <v>-9.0140069991251082</v>
      </c>
      <c r="AF62" s="164">
        <f>AVERAGE(V62:Z62)</f>
        <v>-8.9166666666666661</v>
      </c>
      <c r="AG62" s="313">
        <f>AVERAGE(AA62:AC62)</f>
        <v>-8.4166666666666661</v>
      </c>
      <c r="AH62" s="242">
        <f>AVERAGE(P62:AC62)</f>
        <v>-7.879419788435535</v>
      </c>
      <c r="AI62" s="275">
        <v>-6.5</v>
      </c>
    </row>
    <row r="63" spans="1:358" ht="21.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371"/>
      <c r="X63" s="371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idden="1" outlineLevel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"/>
      <c r="V64" s="39"/>
      <c r="W64" s="384"/>
      <c r="X64" s="384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75"/>
      <c r="B65" s="676"/>
      <c r="C65" s="676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373"/>
      <c r="X65" s="37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189">
        <v>2.2894444444444488</v>
      </c>
      <c r="V66" s="189">
        <v>3.1</v>
      </c>
      <c r="W66" s="255"/>
      <c r="X66" s="255"/>
      <c r="Y66" s="189">
        <v>3.2</v>
      </c>
      <c r="Z66" s="189">
        <v>3.2</v>
      </c>
      <c r="AA66" s="189">
        <v>3.2</v>
      </c>
      <c r="AB66" s="189">
        <v>3.3</v>
      </c>
      <c r="AC66" s="297">
        <v>3.3</v>
      </c>
      <c r="AD66" s="308">
        <f>AVERAGE(P66:R66)</f>
        <v>3.3432575757575762</v>
      </c>
      <c r="AE66" s="246">
        <f>AVERAGE(S66:T66:U66)</f>
        <v>2.4487076719576719</v>
      </c>
      <c r="AF66" s="246">
        <f>AVERAGE(V66:Z66)</f>
        <v>3.1666666666666665</v>
      </c>
      <c r="AG66" s="309">
        <f>AVERAGE(AA66:AC66)</f>
        <v>3.2666666666666671</v>
      </c>
      <c r="AH66" s="241">
        <f>AVERAGE(P66:AC66)</f>
        <v>3.0563246452621446</v>
      </c>
      <c r="AI66" s="267"/>
    </row>
    <row r="67" spans="1:358" ht="48.75" hidden="1" customHeight="1" outlineLevel="1">
      <c r="A67" s="47" t="s">
        <v>24</v>
      </c>
      <c r="B67" s="78">
        <f t="shared" ref="B67" si="43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189">
        <v>2.7</v>
      </c>
      <c r="V67" s="189">
        <v>3.012218722136681</v>
      </c>
      <c r="W67" s="255"/>
      <c r="X67" s="255"/>
      <c r="Y67" s="189">
        <v>2.9</v>
      </c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2.5855595238095224</v>
      </c>
      <c r="AF67" s="246">
        <f t="shared" ref="AF67:AF69" si="44">AVERAGE(V67:Z67)</f>
        <v>2.9374062407122268</v>
      </c>
      <c r="AG67" s="309">
        <f t="shared" ref="AG67:AG69" si="45">AVERAGE(AA67:AC67)</f>
        <v>2.6333333333333333</v>
      </c>
      <c r="AH67" s="241">
        <f>AVERAGE(P67:AC67)</f>
        <v>2.8748891684031643</v>
      </c>
      <c r="AI67" s="267"/>
    </row>
    <row r="68" spans="1:358" ht="48.75" hidden="1" customHeight="1" outlineLevel="1">
      <c r="A68" s="47" t="s">
        <v>25</v>
      </c>
      <c r="B68" s="78">
        <f t="shared" ref="B68" si="46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189">
        <v>3</v>
      </c>
      <c r="V68" s="189">
        <v>3</v>
      </c>
      <c r="W68" s="185" t="s">
        <v>124</v>
      </c>
      <c r="X68" s="186" t="s">
        <v>124</v>
      </c>
      <c r="Y68" s="189">
        <v>3</v>
      </c>
      <c r="Z68" s="189">
        <v>3</v>
      </c>
      <c r="AA68" s="189">
        <v>3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AVERAGE(S68:T68:U68)</f>
        <v>2.685559523809522</v>
      </c>
      <c r="AF68" s="246">
        <f t="shared" si="44"/>
        <v>3</v>
      </c>
      <c r="AG68" s="309">
        <f t="shared" si="45"/>
        <v>3</v>
      </c>
      <c r="AH68" s="241">
        <f>AVERAGE(P68:AC68)</f>
        <v>3.0072042748917744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189">
        <v>3.1</v>
      </c>
      <c r="V69" s="189">
        <v>3.1</v>
      </c>
      <c r="W69" s="256"/>
      <c r="X69" s="256"/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2.7188928571428561</v>
      </c>
      <c r="AF69" s="246">
        <f t="shared" si="44"/>
        <v>2.8333333333333335</v>
      </c>
      <c r="AG69" s="309">
        <f t="shared" si="45"/>
        <v>2.7000000000000006</v>
      </c>
      <c r="AH69" s="241">
        <f>AVERAGE(P69:AC69)</f>
        <v>2.8988709415584419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7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8">AVERAGE(S66:S69)</f>
        <v>2.4500000000000002</v>
      </c>
      <c r="T70" s="59">
        <f>AVERAGE(T66:T69)</f>
        <v>2.6066785714285672</v>
      </c>
      <c r="U70" s="59">
        <f t="shared" si="48"/>
        <v>2.7723611111111124</v>
      </c>
      <c r="V70" s="59">
        <f t="shared" si="48"/>
        <v>3.0530546805341703</v>
      </c>
      <c r="W70" s="60"/>
      <c r="X70" s="60"/>
      <c r="Y70" s="59">
        <f t="shared" si="48"/>
        <v>2.95</v>
      </c>
      <c r="Z70" s="59">
        <f t="shared" si="48"/>
        <v>2.95</v>
      </c>
      <c r="AA70" s="59">
        <f t="shared" si="48"/>
        <v>2.8499999999999996</v>
      </c>
      <c r="AB70" s="59">
        <f t="shared" si="48"/>
        <v>2.9000000000000004</v>
      </c>
      <c r="AC70" s="234">
        <f t="shared" si="48"/>
        <v>2.95</v>
      </c>
      <c r="AD70" s="310">
        <f t="shared" si="48"/>
        <v>3.3432575757575762</v>
      </c>
      <c r="AE70" s="59">
        <f>AVERAGE(AE66:AE69)</f>
        <v>2.6096798941798931</v>
      </c>
      <c r="AF70" s="59">
        <f t="shared" ref="AF70:AG70" si="49">AVERAGE(AF66:AF69)</f>
        <v>2.9843515601780566</v>
      </c>
      <c r="AG70" s="311">
        <f t="shared" si="49"/>
        <v>2.9000000000000004</v>
      </c>
      <c r="AH70" s="242">
        <f>AVERAGE(AH66:AH69)</f>
        <v>2.9593222575288816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0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2.5</v>
      </c>
      <c r="V71" s="164">
        <v>3</v>
      </c>
      <c r="W71" s="164"/>
      <c r="X71" s="164"/>
      <c r="Y71" s="164">
        <v>3</v>
      </c>
      <c r="Z71" s="164">
        <v>3</v>
      </c>
      <c r="AA71" s="164">
        <v>3.1</v>
      </c>
      <c r="AB71" s="164">
        <v>3.1</v>
      </c>
      <c r="AC71" s="229">
        <v>3.1</v>
      </c>
      <c r="AD71" s="312">
        <f>AVERAGE(P71:R71)</f>
        <v>3.3432575757575762</v>
      </c>
      <c r="AE71" s="164">
        <f>AVERAGE(S71:T71:U71)</f>
        <v>2.5188928571428559</v>
      </c>
      <c r="AF71" s="164">
        <f>AVERAGE(V71:Z71)</f>
        <v>3</v>
      </c>
      <c r="AG71" s="313">
        <f>AVERAGE(AA71:AC71)</f>
        <v>3.1</v>
      </c>
      <c r="AH71" s="242">
        <f>AVERAGE(P71:AC71)</f>
        <v>2.9905376082251078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6"/>
      <c r="V72" s="126"/>
      <c r="W72" s="125"/>
      <c r="X72" s="125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30"/>
      <c r="X73" s="330"/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51">O15</f>
        <v>0</v>
      </c>
      <c r="P74" s="36">
        <f t="shared" si="51"/>
        <v>26.81</v>
      </c>
      <c r="Q74" s="36">
        <f t="shared" si="51"/>
        <v>29.38</v>
      </c>
      <c r="R74" s="36">
        <f t="shared" si="51"/>
        <v>35.141818181818174</v>
      </c>
      <c r="S74" s="36">
        <f t="shared" si="51"/>
        <v>39.03</v>
      </c>
      <c r="T74" s="36">
        <f t="shared" si="51"/>
        <v>44.268571428571427</v>
      </c>
      <c r="U74" s="36">
        <f t="shared" si="51"/>
        <v>46.5</v>
      </c>
      <c r="V74" s="36">
        <f t="shared" si="51"/>
        <v>45.5</v>
      </c>
      <c r="W74" s="36"/>
      <c r="X74" s="36"/>
      <c r="Y74" s="36">
        <f t="shared" si="51"/>
        <v>44.5</v>
      </c>
      <c r="Z74" s="36">
        <f t="shared" si="51"/>
        <v>44</v>
      </c>
      <c r="AA74" s="36">
        <f t="shared" si="51"/>
        <v>45</v>
      </c>
      <c r="AB74" s="36">
        <f t="shared" si="51"/>
        <v>46</v>
      </c>
      <c r="AC74" s="322">
        <f t="shared" si="51"/>
        <v>47.5</v>
      </c>
      <c r="AD74" s="319">
        <f t="shared" si="51"/>
        <v>30.443939393939388</v>
      </c>
      <c r="AE74" s="258">
        <f t="shared" si="51"/>
        <v>43.266190476190474</v>
      </c>
      <c r="AF74" s="258">
        <f t="shared" si="51"/>
        <v>44.666666666666664</v>
      </c>
      <c r="AG74" s="258">
        <f t="shared" si="51"/>
        <v>46.166666666666664</v>
      </c>
      <c r="AH74" s="334">
        <f t="shared" ref="AH74:AH80" si="52">AVERAGE(P74:AC74)</f>
        <v>41.135865800865794</v>
      </c>
    </row>
    <row r="75" spans="1:358" ht="18.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53">O15+O24</f>
        <v>6</v>
      </c>
      <c r="P75" s="36">
        <f t="shared" si="53"/>
        <v>36.599999999999994</v>
      </c>
      <c r="Q75" s="36">
        <f t="shared" si="53"/>
        <v>33.942777777777778</v>
      </c>
      <c r="R75" s="36">
        <f t="shared" si="53"/>
        <v>39.004090909090912</v>
      </c>
      <c r="S75" s="36">
        <f t="shared" si="53"/>
        <v>42.36</v>
      </c>
      <c r="T75" s="36">
        <f t="shared" si="53"/>
        <v>44.036666666666669</v>
      </c>
      <c r="U75" s="36">
        <f t="shared" si="53"/>
        <v>45</v>
      </c>
      <c r="V75" s="36">
        <f t="shared" si="53"/>
        <v>44.5</v>
      </c>
      <c r="W75" s="36"/>
      <c r="X75" s="36"/>
      <c r="Y75" s="36">
        <f t="shared" si="53"/>
        <v>44</v>
      </c>
      <c r="Z75" s="36">
        <f t="shared" si="53"/>
        <v>44</v>
      </c>
      <c r="AA75" s="36">
        <f t="shared" si="53"/>
        <v>46</v>
      </c>
      <c r="AB75" s="36">
        <f t="shared" si="53"/>
        <v>47.5</v>
      </c>
      <c r="AC75" s="322">
        <f t="shared" si="53"/>
        <v>49</v>
      </c>
      <c r="AD75" s="319">
        <f t="shared" si="53"/>
        <v>36.515622895622897</v>
      </c>
      <c r="AE75" s="258">
        <f t="shared" si="53"/>
        <v>43.798888888888889</v>
      </c>
      <c r="AF75" s="258">
        <f t="shared" si="53"/>
        <v>44.166666666666664</v>
      </c>
      <c r="AG75" s="258">
        <f t="shared" si="53"/>
        <v>47.5</v>
      </c>
      <c r="AH75" s="334">
        <f t="shared" si="52"/>
        <v>42.995294612794616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54">O33+O15</f>
        <v>17.5</v>
      </c>
      <c r="P76" s="36">
        <f t="shared" si="54"/>
        <v>50.42</v>
      </c>
      <c r="Q76" s="36">
        <f t="shared" si="54"/>
        <v>44.58</v>
      </c>
      <c r="R76" s="36">
        <f t="shared" si="54"/>
        <v>52.771818181818183</v>
      </c>
      <c r="S76" s="36">
        <f t="shared" si="54"/>
        <v>54.59</v>
      </c>
      <c r="T76" s="36">
        <f t="shared" si="54"/>
        <v>59.165238095238095</v>
      </c>
      <c r="U76" s="36">
        <f t="shared" si="54"/>
        <v>60</v>
      </c>
      <c r="V76" s="36">
        <f t="shared" si="54"/>
        <v>59</v>
      </c>
      <c r="W76" s="36"/>
      <c r="X76" s="36"/>
      <c r="Y76" s="36">
        <f t="shared" si="54"/>
        <v>57.5</v>
      </c>
      <c r="Z76" s="36">
        <f t="shared" si="54"/>
        <v>56</v>
      </c>
      <c r="AA76" s="36">
        <f t="shared" si="54"/>
        <v>57</v>
      </c>
      <c r="AB76" s="36">
        <f t="shared" si="54"/>
        <v>59</v>
      </c>
      <c r="AC76" s="322">
        <f t="shared" si="54"/>
        <v>60.5</v>
      </c>
      <c r="AD76" s="319">
        <f t="shared" si="54"/>
        <v>49.257272727272721</v>
      </c>
      <c r="AE76" s="258">
        <f t="shared" si="54"/>
        <v>57.918412698412695</v>
      </c>
      <c r="AF76" s="258">
        <f t="shared" si="54"/>
        <v>57.5</v>
      </c>
      <c r="AG76" s="258">
        <f t="shared" si="54"/>
        <v>58.833333333333329</v>
      </c>
      <c r="AH76" s="334">
        <f t="shared" si="52"/>
        <v>55.877254689754693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55">O42+O15</f>
        <v>15.6</v>
      </c>
      <c r="P77" s="36">
        <f t="shared" si="55"/>
        <v>37.909999999999997</v>
      </c>
      <c r="Q77" s="36">
        <f t="shared" si="55"/>
        <v>41</v>
      </c>
      <c r="R77" s="36">
        <f t="shared" si="55"/>
        <v>47.38</v>
      </c>
      <c r="S77" s="36">
        <f t="shared" si="55"/>
        <v>49.53</v>
      </c>
      <c r="T77" s="36">
        <f t="shared" si="55"/>
        <v>55.170000000000009</v>
      </c>
      <c r="U77" s="36">
        <f t="shared" si="55"/>
        <v>57.8</v>
      </c>
      <c r="V77" s="36">
        <f t="shared" si="55"/>
        <v>56.5</v>
      </c>
      <c r="W77" s="36"/>
      <c r="X77" s="36"/>
      <c r="Y77" s="36">
        <f t="shared" si="55"/>
        <v>55</v>
      </c>
      <c r="Z77" s="36">
        <f t="shared" si="55"/>
        <v>55</v>
      </c>
      <c r="AA77" s="36">
        <f t="shared" si="55"/>
        <v>57</v>
      </c>
      <c r="AB77" s="36">
        <f t="shared" si="55"/>
        <v>59</v>
      </c>
      <c r="AC77" s="322">
        <f t="shared" si="55"/>
        <v>61.5</v>
      </c>
      <c r="AD77" s="319">
        <f t="shared" si="55"/>
        <v>42.096666666666664</v>
      </c>
      <c r="AE77" s="258">
        <f t="shared" si="55"/>
        <v>54.166666666666664</v>
      </c>
      <c r="AF77" s="258">
        <f t="shared" si="55"/>
        <v>55.5</v>
      </c>
      <c r="AG77" s="258">
        <f t="shared" si="55"/>
        <v>59.166666666666664</v>
      </c>
      <c r="AH77" s="334">
        <f t="shared" si="52"/>
        <v>52.732499999999995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56">O53+O15</f>
        <v>14.15</v>
      </c>
      <c r="P78" s="36">
        <f t="shared" si="56"/>
        <v>36.15</v>
      </c>
      <c r="Q78" s="36">
        <f t="shared" si="56"/>
        <v>38.54</v>
      </c>
      <c r="R78" s="36">
        <f t="shared" si="56"/>
        <v>45.517727272727271</v>
      </c>
      <c r="S78" s="36">
        <f t="shared" si="56"/>
        <v>48.08</v>
      </c>
      <c r="T78" s="36">
        <f t="shared" si="56"/>
        <v>54.851904761904777</v>
      </c>
      <c r="U78" s="36">
        <f t="shared" si="56"/>
        <v>57.7</v>
      </c>
      <c r="V78" s="36">
        <f t="shared" si="56"/>
        <v>56</v>
      </c>
      <c r="W78" s="36"/>
      <c r="X78" s="36"/>
      <c r="Y78" s="36">
        <f t="shared" si="56"/>
        <v>54.5</v>
      </c>
      <c r="Z78" s="36">
        <f t="shared" si="56"/>
        <v>54.5</v>
      </c>
      <c r="AA78" s="36">
        <f t="shared" si="56"/>
        <v>56</v>
      </c>
      <c r="AB78" s="36">
        <f t="shared" si="56"/>
        <v>58</v>
      </c>
      <c r="AC78" s="322">
        <f t="shared" si="56"/>
        <v>60</v>
      </c>
      <c r="AD78" s="319">
        <f t="shared" si="56"/>
        <v>40.069242424242418</v>
      </c>
      <c r="AE78" s="258">
        <f t="shared" si="56"/>
        <v>53.543968253968259</v>
      </c>
      <c r="AF78" s="258">
        <f t="shared" si="56"/>
        <v>55</v>
      </c>
      <c r="AG78" s="258">
        <f t="shared" si="56"/>
        <v>58</v>
      </c>
      <c r="AH78" s="334">
        <f t="shared" si="52"/>
        <v>51.653302669552666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7">(O62+O15)*6.35</f>
        <v>-42.756666666666668</v>
      </c>
      <c r="P79" s="134">
        <f t="shared" si="57"/>
        <v>150.36799999999999</v>
      </c>
      <c r="Q79" s="134">
        <f t="shared" si="57"/>
        <v>154.30499999999998</v>
      </c>
      <c r="R79" s="134">
        <f t="shared" si="57"/>
        <v>176.7890909090909</v>
      </c>
      <c r="S79" s="134">
        <f t="shared" si="57"/>
        <v>192.15100000000001</v>
      </c>
      <c r="T79" s="134">
        <f t="shared" si="57"/>
        <v>223.49809523809523</v>
      </c>
      <c r="U79" s="134">
        <f t="shared" si="57"/>
        <v>236.85499999999996</v>
      </c>
      <c r="V79" s="134">
        <f t="shared" si="57"/>
        <v>231.77499999999998</v>
      </c>
      <c r="W79" s="134"/>
      <c r="X79" s="134"/>
      <c r="Y79" s="134">
        <f t="shared" si="57"/>
        <v>225.42499999999998</v>
      </c>
      <c r="Z79" s="134">
        <f t="shared" si="57"/>
        <v>223.83749999999998</v>
      </c>
      <c r="AA79" s="134">
        <f t="shared" si="57"/>
        <v>231.77499999999998</v>
      </c>
      <c r="AB79" s="134">
        <f t="shared" si="57"/>
        <v>238.125</v>
      </c>
      <c r="AC79" s="323">
        <f t="shared" si="57"/>
        <v>249.23749999999998</v>
      </c>
      <c r="AD79" s="320">
        <f t="shared" si="57"/>
        <v>160.48736363636363</v>
      </c>
      <c r="AE79" s="259">
        <f t="shared" si="57"/>
        <v>217.50136507936506</v>
      </c>
      <c r="AF79" s="259">
        <f t="shared" si="57"/>
        <v>227.01249999999999</v>
      </c>
      <c r="AG79" s="259">
        <f t="shared" si="57"/>
        <v>239.71249999999998</v>
      </c>
      <c r="AH79" s="334">
        <f t="shared" si="52"/>
        <v>211.17843217893218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8">K70</f>
        <v>1.2</v>
      </c>
      <c r="L80" s="338">
        <f t="shared" si="58"/>
        <v>1.5</v>
      </c>
      <c r="M80" s="338">
        <f>M70</f>
        <v>1.625</v>
      </c>
      <c r="N80" s="338">
        <f t="shared" ref="N80:AG80" si="59">N71+N15</f>
        <v>47.85</v>
      </c>
      <c r="O80" s="338">
        <f t="shared" si="59"/>
        <v>2.0666666666666669</v>
      </c>
      <c r="P80" s="338">
        <f t="shared" si="59"/>
        <v>30.31</v>
      </c>
      <c r="Q80" s="338">
        <f t="shared" si="59"/>
        <v>32.56</v>
      </c>
      <c r="R80" s="338">
        <f t="shared" si="59"/>
        <v>38.491590909090903</v>
      </c>
      <c r="S80" s="338">
        <f t="shared" si="59"/>
        <v>41.480000000000004</v>
      </c>
      <c r="T80" s="338">
        <f t="shared" si="59"/>
        <v>46.875249999999994</v>
      </c>
      <c r="U80" s="338">
        <f t="shared" si="59"/>
        <v>49</v>
      </c>
      <c r="V80" s="338">
        <f t="shared" si="59"/>
        <v>48.5</v>
      </c>
      <c r="W80" s="338"/>
      <c r="X80" s="338"/>
      <c r="Y80" s="338">
        <f t="shared" si="59"/>
        <v>47.5</v>
      </c>
      <c r="Z80" s="338">
        <f t="shared" si="59"/>
        <v>47</v>
      </c>
      <c r="AA80" s="338">
        <f t="shared" si="59"/>
        <v>48.1</v>
      </c>
      <c r="AB80" s="338">
        <f t="shared" si="59"/>
        <v>49.1</v>
      </c>
      <c r="AC80" s="339">
        <f t="shared" si="59"/>
        <v>50.6</v>
      </c>
      <c r="AD80" s="340">
        <f t="shared" si="59"/>
        <v>33.787196969696964</v>
      </c>
      <c r="AE80" s="341">
        <f t="shared" si="59"/>
        <v>45.785083333333333</v>
      </c>
      <c r="AF80" s="341">
        <f t="shared" si="59"/>
        <v>47.666666666666664</v>
      </c>
      <c r="AG80" s="341">
        <f t="shared" si="59"/>
        <v>49.266666666666666</v>
      </c>
      <c r="AH80" s="342">
        <f t="shared" si="52"/>
        <v>44.126403409090919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7"/>
      <c r="V81" s="137"/>
      <c r="W81" s="136"/>
      <c r="X81" s="136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8.5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30"/>
      <c r="X82" s="330"/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8.5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0">F74</f>
        <v>0</v>
      </c>
      <c r="G83" s="143">
        <f>G74</f>
        <v>56.18</v>
      </c>
      <c r="H83" s="143">
        <f t="shared" ref="H83" si="61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62">K74</f>
        <v>48.3</v>
      </c>
      <c r="L83" s="143">
        <f t="shared" si="62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63">R74</f>
        <v>35.141818181818174</v>
      </c>
      <c r="S83" s="143">
        <f t="shared" si="63"/>
        <v>39.03</v>
      </c>
      <c r="T83" s="143">
        <f>T74</f>
        <v>44.268571428571427</v>
      </c>
      <c r="U83" s="143">
        <f t="shared" si="63"/>
        <v>46.5</v>
      </c>
      <c r="V83" s="143">
        <f t="shared" si="63"/>
        <v>45.5</v>
      </c>
      <c r="W83" s="361"/>
      <c r="X83" s="361"/>
      <c r="Y83" s="143">
        <f t="shared" si="63"/>
        <v>44.5</v>
      </c>
      <c r="Z83" s="143">
        <f t="shared" si="63"/>
        <v>44</v>
      </c>
      <c r="AA83" s="143">
        <f t="shared" si="63"/>
        <v>45</v>
      </c>
      <c r="AB83" s="143">
        <f t="shared" si="63"/>
        <v>46</v>
      </c>
      <c r="AC83" s="353">
        <f t="shared" si="63"/>
        <v>47.5</v>
      </c>
      <c r="AD83" s="321">
        <f t="shared" si="63"/>
        <v>30.443939393939388</v>
      </c>
      <c r="AE83" s="260">
        <f t="shared" si="63"/>
        <v>43.266190476190474</v>
      </c>
      <c r="AF83" s="260">
        <f t="shared" si="63"/>
        <v>44.666666666666664</v>
      </c>
      <c r="AG83" s="260">
        <f t="shared" si="63"/>
        <v>46.166666666666664</v>
      </c>
      <c r="AH83" s="334">
        <f t="shared" ref="AH83:AH89" si="64">AVERAGE(P83:AC83)</f>
        <v>41.135865800865794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8.5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65">F75-F74</f>
        <v>0</v>
      </c>
      <c r="G84" s="143">
        <f>G75-G74</f>
        <v>-3.0341000000000022</v>
      </c>
      <c r="H84" s="143">
        <f t="shared" ref="H84" si="66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7">K75-K74</f>
        <v>#REF!</v>
      </c>
      <c r="L84" s="143" t="e">
        <f t="shared" si="67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68">R75-R74</f>
        <v>3.8622727272727388</v>
      </c>
      <c r="S84" s="143">
        <f t="shared" si="68"/>
        <v>3.3299999999999983</v>
      </c>
      <c r="T84" s="143">
        <f>T75-T74</f>
        <v>-0.23190476190475806</v>
      </c>
      <c r="U84" s="143">
        <f t="shared" si="68"/>
        <v>-1.5</v>
      </c>
      <c r="V84" s="143">
        <f t="shared" si="68"/>
        <v>-1</v>
      </c>
      <c r="W84" s="361"/>
      <c r="X84" s="361"/>
      <c r="Y84" s="143">
        <f t="shared" si="68"/>
        <v>-0.5</v>
      </c>
      <c r="Z84" s="143">
        <f t="shared" si="68"/>
        <v>0</v>
      </c>
      <c r="AA84" s="143">
        <f t="shared" si="68"/>
        <v>1</v>
      </c>
      <c r="AB84" s="143">
        <f t="shared" si="68"/>
        <v>1.5</v>
      </c>
      <c r="AC84" s="353">
        <f t="shared" si="68"/>
        <v>1.5</v>
      </c>
      <c r="AD84" s="321">
        <f t="shared" si="68"/>
        <v>6.0716835016835091</v>
      </c>
      <c r="AE84" s="260">
        <f t="shared" si="68"/>
        <v>0.53269841269841578</v>
      </c>
      <c r="AF84" s="260">
        <f t="shared" si="68"/>
        <v>-0.5</v>
      </c>
      <c r="AG84" s="260">
        <f t="shared" si="68"/>
        <v>1.3333333333333357</v>
      </c>
      <c r="AH84" s="334">
        <f t="shared" si="64"/>
        <v>1.8594288119288127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8.5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9">F76-F74</f>
        <v>0</v>
      </c>
      <c r="G85" s="143">
        <f>G76-G74</f>
        <v>19.766299999999994</v>
      </c>
      <c r="H85" s="143">
        <f t="shared" ref="H85" si="70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71">K76-K74</f>
        <v>16.482500000000002</v>
      </c>
      <c r="L85" s="143">
        <f t="shared" si="71"/>
        <v>17.249999999999993</v>
      </c>
      <c r="M85" s="143">
        <f t="shared" si="71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72">Q76-Q74</f>
        <v>15.2</v>
      </c>
      <c r="R85" s="143">
        <f>R76-R74</f>
        <v>17.63000000000001</v>
      </c>
      <c r="S85" s="143">
        <f t="shared" ref="S85:AG85" si="73">S76-S74</f>
        <v>15.560000000000002</v>
      </c>
      <c r="T85" s="143">
        <f>T76-T74</f>
        <v>14.896666666666668</v>
      </c>
      <c r="U85" s="143">
        <f t="shared" si="73"/>
        <v>13.5</v>
      </c>
      <c r="V85" s="143">
        <f t="shared" si="73"/>
        <v>13.5</v>
      </c>
      <c r="W85" s="361"/>
      <c r="X85" s="361"/>
      <c r="Y85" s="143">
        <f t="shared" si="73"/>
        <v>13</v>
      </c>
      <c r="Z85" s="143">
        <f t="shared" si="73"/>
        <v>12</v>
      </c>
      <c r="AA85" s="143">
        <f t="shared" si="73"/>
        <v>12</v>
      </c>
      <c r="AB85" s="143">
        <f t="shared" si="73"/>
        <v>13</v>
      </c>
      <c r="AC85" s="353">
        <f t="shared" si="73"/>
        <v>13</v>
      </c>
      <c r="AD85" s="321">
        <f t="shared" si="73"/>
        <v>18.813333333333333</v>
      </c>
      <c r="AE85" s="260">
        <f t="shared" si="73"/>
        <v>14.652222222222221</v>
      </c>
      <c r="AF85" s="260">
        <f t="shared" si="73"/>
        <v>12.833333333333336</v>
      </c>
      <c r="AG85" s="260">
        <f t="shared" si="73"/>
        <v>12.666666666666664</v>
      </c>
      <c r="AH85" s="334">
        <f t="shared" si="64"/>
        <v>14.74138888888889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8.5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74">F77-F74</f>
        <v>0</v>
      </c>
      <c r="G86" s="143">
        <f>G77-G74</f>
        <v>9.6289999999999978</v>
      </c>
      <c r="H86" s="143">
        <f t="shared" ref="H86" si="75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76">K77-K74</f>
        <v>13.11</v>
      </c>
      <c r="L86" s="143">
        <f t="shared" si="76"/>
        <v>13.435000000000002</v>
      </c>
      <c r="M86" s="143">
        <f t="shared" si="76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77">R77-R74</f>
        <v>12.238181818181829</v>
      </c>
      <c r="S86" s="143">
        <f t="shared" si="77"/>
        <v>10.5</v>
      </c>
      <c r="T86" s="143">
        <f>T77-T74</f>
        <v>10.901428571428582</v>
      </c>
      <c r="U86" s="143">
        <f t="shared" si="77"/>
        <v>11.299999999999997</v>
      </c>
      <c r="V86" s="143">
        <f t="shared" si="77"/>
        <v>11</v>
      </c>
      <c r="W86" s="361"/>
      <c r="X86" s="361"/>
      <c r="Y86" s="143">
        <f t="shared" si="77"/>
        <v>10.5</v>
      </c>
      <c r="Z86" s="143">
        <f t="shared" si="77"/>
        <v>11</v>
      </c>
      <c r="AA86" s="143">
        <f t="shared" si="77"/>
        <v>12</v>
      </c>
      <c r="AB86" s="143">
        <f t="shared" si="77"/>
        <v>13</v>
      </c>
      <c r="AC86" s="353">
        <f t="shared" si="77"/>
        <v>14</v>
      </c>
      <c r="AD86" s="321">
        <f t="shared" si="77"/>
        <v>11.652727272727276</v>
      </c>
      <c r="AE86" s="260">
        <f t="shared" si="77"/>
        <v>10.900476190476191</v>
      </c>
      <c r="AF86" s="260">
        <f t="shared" si="77"/>
        <v>10.833333333333336</v>
      </c>
      <c r="AG86" s="260">
        <f t="shared" si="77"/>
        <v>13</v>
      </c>
      <c r="AH86" s="334">
        <f t="shared" si="64"/>
        <v>11.596634199134201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8.5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8">F78-F74</f>
        <v>0</v>
      </c>
      <c r="G87" s="143">
        <f>G78-G74</f>
        <v>8.8899999999999935</v>
      </c>
      <c r="H87" s="143">
        <f t="shared" ref="H87" si="79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0">K78-K74</f>
        <v>13.350000000000001</v>
      </c>
      <c r="L87" s="143">
        <f t="shared" si="80"/>
        <v>13.75</v>
      </c>
      <c r="M87" s="143">
        <f t="shared" si="80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81">R78-R74</f>
        <v>10.375909090909097</v>
      </c>
      <c r="S87" s="143">
        <f t="shared" si="81"/>
        <v>9.0499999999999972</v>
      </c>
      <c r="T87" s="143">
        <f>T78-T74</f>
        <v>10.58333333333335</v>
      </c>
      <c r="U87" s="143">
        <f t="shared" si="81"/>
        <v>11.200000000000003</v>
      </c>
      <c r="V87" s="143">
        <f t="shared" si="81"/>
        <v>10.5</v>
      </c>
      <c r="W87" s="361"/>
      <c r="X87" s="361"/>
      <c r="Y87" s="143">
        <f t="shared" si="81"/>
        <v>10</v>
      </c>
      <c r="Z87" s="143">
        <f t="shared" si="81"/>
        <v>10.5</v>
      </c>
      <c r="AA87" s="143">
        <f t="shared" si="81"/>
        <v>11</v>
      </c>
      <c r="AB87" s="143">
        <f t="shared" si="81"/>
        <v>12</v>
      </c>
      <c r="AC87" s="353">
        <f t="shared" si="81"/>
        <v>12.5</v>
      </c>
      <c r="AD87" s="321">
        <f t="shared" si="81"/>
        <v>9.62530303030303</v>
      </c>
      <c r="AE87" s="260">
        <f t="shared" si="81"/>
        <v>10.277777777777786</v>
      </c>
      <c r="AF87" s="260">
        <f t="shared" si="81"/>
        <v>10.333333333333336</v>
      </c>
      <c r="AG87" s="260">
        <f t="shared" si="81"/>
        <v>11.833333333333336</v>
      </c>
      <c r="AH87" s="334">
        <f t="shared" si="64"/>
        <v>10.51743686868687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8.5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82">H79-H74</f>
        <v>-8.9503004558640669</v>
      </c>
      <c r="I88" s="143">
        <f t="shared" si="82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83">O62</f>
        <v>-6.7333333333333334</v>
      </c>
      <c r="P88" s="143">
        <f t="shared" si="83"/>
        <v>-3.13</v>
      </c>
      <c r="Q88" s="143">
        <f t="shared" si="83"/>
        <v>-5.08</v>
      </c>
      <c r="R88" s="143">
        <f t="shared" si="83"/>
        <v>-7.3010164638511021</v>
      </c>
      <c r="S88" s="143">
        <f t="shared" si="83"/>
        <v>-8.77</v>
      </c>
      <c r="T88" s="143">
        <f t="shared" si="83"/>
        <v>-9.0720209973753256</v>
      </c>
      <c r="U88" s="143">
        <f t="shared" si="83"/>
        <v>-9.1999999999999993</v>
      </c>
      <c r="V88" s="143">
        <f t="shared" si="83"/>
        <v>-9</v>
      </c>
      <c r="W88" s="143"/>
      <c r="X88" s="143"/>
      <c r="Y88" s="143">
        <f t="shared" si="83"/>
        <v>-9</v>
      </c>
      <c r="Z88" s="143">
        <f t="shared" si="83"/>
        <v>-8.75</v>
      </c>
      <c r="AA88" s="143">
        <f t="shared" si="83"/>
        <v>-8.5</v>
      </c>
      <c r="AB88" s="143">
        <f t="shared" si="83"/>
        <v>-8.5</v>
      </c>
      <c r="AC88" s="353">
        <f t="shared" si="83"/>
        <v>-8.25</v>
      </c>
      <c r="AD88" s="365">
        <f>AD61</f>
        <v>-5.1703388212837007</v>
      </c>
      <c r="AE88" s="260">
        <f>AE61</f>
        <v>-9.0015069991251089</v>
      </c>
      <c r="AF88" s="260">
        <f>AF79-AF74</f>
        <v>182.34583333333333</v>
      </c>
      <c r="AG88" s="358">
        <f>AG79-AG74</f>
        <v>193.54583333333332</v>
      </c>
      <c r="AH88" s="334">
        <f t="shared" si="64"/>
        <v>-7.879419788435535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84">F70</f>
        <v>0</v>
      </c>
      <c r="G89" s="349">
        <f>G70</f>
        <v>0</v>
      </c>
      <c r="H89" s="349">
        <f t="shared" ref="H89" si="85">H70</f>
        <v>0</v>
      </c>
      <c r="I89" s="349">
        <f>I70</f>
        <v>0</v>
      </c>
      <c r="J89" s="349" t="e">
        <f>J70</f>
        <v>#DIV/0!</v>
      </c>
      <c r="K89" s="349">
        <f t="shared" ref="K89:M89" si="86">K70</f>
        <v>1.2</v>
      </c>
      <c r="L89" s="349">
        <f t="shared" si="86"/>
        <v>1.5</v>
      </c>
      <c r="M89" s="349">
        <f t="shared" si="86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87">R80-R74</f>
        <v>3.3497727272727289</v>
      </c>
      <c r="S89" s="349">
        <f t="shared" si="87"/>
        <v>2.4500000000000028</v>
      </c>
      <c r="T89" s="349">
        <f>T80-T74</f>
        <v>2.6066785714285672</v>
      </c>
      <c r="U89" s="349">
        <f t="shared" si="87"/>
        <v>2.5</v>
      </c>
      <c r="V89" s="349">
        <f t="shared" si="87"/>
        <v>3</v>
      </c>
      <c r="W89" s="362"/>
      <c r="X89" s="362"/>
      <c r="Y89" s="349">
        <f t="shared" si="87"/>
        <v>3</v>
      </c>
      <c r="Z89" s="349">
        <f t="shared" si="87"/>
        <v>3</v>
      </c>
      <c r="AA89" s="349">
        <f t="shared" si="87"/>
        <v>3.1000000000000014</v>
      </c>
      <c r="AB89" s="349">
        <f t="shared" si="87"/>
        <v>3.1000000000000014</v>
      </c>
      <c r="AC89" s="354">
        <f t="shared" si="87"/>
        <v>3.1000000000000014</v>
      </c>
      <c r="AD89" s="351">
        <f>AD80-AD74</f>
        <v>3.3432575757575762</v>
      </c>
      <c r="AE89" s="352">
        <f>AE80-AE74</f>
        <v>2.518892857142859</v>
      </c>
      <c r="AF89" s="352">
        <f>AF80-AF74</f>
        <v>3</v>
      </c>
      <c r="AG89" s="352">
        <f t="shared" si="87"/>
        <v>3.1000000000000014</v>
      </c>
      <c r="AH89" s="342">
        <f t="shared" si="64"/>
        <v>2.9905376082251092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93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80"/>
      <c r="X90" s="280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93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5"/>
      <c r="X91" s="285"/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93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8">$B$92*$J$92</f>
        <v>-0.6</v>
      </c>
      <c r="L92" s="289">
        <f t="shared" si="88"/>
        <v>-0.6</v>
      </c>
      <c r="M92" s="289">
        <f t="shared" si="88"/>
        <v>-0.6</v>
      </c>
      <c r="N92" s="289">
        <f t="shared" si="88"/>
        <v>-0.6</v>
      </c>
      <c r="O92" s="289">
        <f t="shared" si="88"/>
        <v>-0.6</v>
      </c>
      <c r="P92" s="289">
        <f t="shared" si="88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2"/>
      <c r="X92" s="292"/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93"/>
      <c r="B93" s="287">
        <v>0.03</v>
      </c>
      <c r="C93" s="287">
        <v>0.03</v>
      </c>
      <c r="D93" s="288"/>
      <c r="E93" s="288"/>
      <c r="F93" s="289">
        <f t="shared" ref="F93:I96" si="89">$B93*(F75-F$74-1.7)</f>
        <v>-5.0999999999999997E-2</v>
      </c>
      <c r="G93" s="289">
        <f t="shared" si="89"/>
        <v>-0.14202300000000007</v>
      </c>
      <c r="H93" s="289">
        <f t="shared" si="89"/>
        <v>-0.10879736842105259</v>
      </c>
      <c r="I93" s="289">
        <f t="shared" si="89"/>
        <v>-8.1000000000004332E-3</v>
      </c>
      <c r="J93" s="290"/>
      <c r="K93" s="289" t="e">
        <f t="shared" ref="K93:P96" si="90">$B93*(K75-K$74-1.7)</f>
        <v>#REF!</v>
      </c>
      <c r="L93" s="289" t="e">
        <f t="shared" si="90"/>
        <v>#REF!</v>
      </c>
      <c r="M93" s="289">
        <f t="shared" si="90"/>
        <v>-8.2500000000000837E-3</v>
      </c>
      <c r="N93" s="289">
        <f t="shared" si="90"/>
        <v>6.5249999999999989E-2</v>
      </c>
      <c r="O93" s="289">
        <f t="shared" si="90"/>
        <v>0.129</v>
      </c>
      <c r="P93" s="289">
        <f t="shared" si="90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1" t="e">
        <v>#REF!</v>
      </c>
      <c r="W93" s="292"/>
      <c r="X93" s="292"/>
      <c r="Y93" s="291"/>
      <c r="Z93" s="291"/>
      <c r="AA93" s="291"/>
      <c r="AB93" s="291"/>
      <c r="AC93" s="291"/>
      <c r="AD93" s="289">
        <f t="shared" ref="AD93:AG96" si="91">$B93*(AD75-AD$74-1.7)</f>
        <v>0.13115050505050527</v>
      </c>
      <c r="AE93" s="289">
        <f t="shared" si="91"/>
        <v>-3.5019047619047526E-2</v>
      </c>
      <c r="AF93" s="289"/>
      <c r="AG93" s="289">
        <f t="shared" si="91"/>
        <v>-1.0999999999999927E-2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93"/>
      <c r="B94" s="287">
        <v>0.16</v>
      </c>
      <c r="C94" s="287">
        <v>0.16</v>
      </c>
      <c r="D94" s="288"/>
      <c r="E94" s="288"/>
      <c r="F94" s="289">
        <f t="shared" si="89"/>
        <v>-0.27200000000000002</v>
      </c>
      <c r="G94" s="289">
        <f t="shared" si="89"/>
        <v>2.8906079999999994</v>
      </c>
      <c r="H94" s="289">
        <f t="shared" si="89"/>
        <v>2.6582315789473734</v>
      </c>
      <c r="I94" s="289">
        <f t="shared" si="89"/>
        <v>2.9057599999999999</v>
      </c>
      <c r="J94" s="290"/>
      <c r="K94" s="289">
        <f t="shared" si="90"/>
        <v>2.3652000000000006</v>
      </c>
      <c r="L94" s="289">
        <f t="shared" si="90"/>
        <v>2.4879999999999991</v>
      </c>
      <c r="M94" s="289">
        <f t="shared" si="90"/>
        <v>2.3475999999999995</v>
      </c>
      <c r="N94" s="289">
        <f t="shared" si="90"/>
        <v>2.258</v>
      </c>
      <c r="O94" s="289">
        <f t="shared" si="90"/>
        <v>2.528</v>
      </c>
      <c r="P94" s="289">
        <f t="shared" si="90"/>
        <v>3.5056000000000007</v>
      </c>
      <c r="Q94" s="289">
        <f>$B94*(Q76-Q$74-1.7)</f>
        <v>2.16</v>
      </c>
      <c r="R94" s="291"/>
      <c r="S94" s="291"/>
      <c r="T94" s="291"/>
      <c r="U94" s="291"/>
      <c r="V94" s="291" t="e">
        <v>#REF!</v>
      </c>
      <c r="W94" s="292"/>
      <c r="X94" s="292"/>
      <c r="Y94" s="291"/>
      <c r="Z94" s="291"/>
      <c r="AA94" s="291"/>
      <c r="AB94" s="291"/>
      <c r="AC94" s="291"/>
      <c r="AD94" s="289">
        <f t="shared" si="91"/>
        <v>2.7381333333333333</v>
      </c>
      <c r="AE94" s="289">
        <f t="shared" si="91"/>
        <v>2.0723555555555557</v>
      </c>
      <c r="AF94" s="289"/>
      <c r="AG94" s="289">
        <f t="shared" si="91"/>
        <v>1.7546666666666664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9"/>
        <v>-0.255</v>
      </c>
      <c r="G95" s="289">
        <f t="shared" si="89"/>
        <v>1.1893499999999997</v>
      </c>
      <c r="H95" s="289">
        <f t="shared" si="89"/>
        <v>1.1527499999999997</v>
      </c>
      <c r="I95" s="289">
        <f t="shared" si="89"/>
        <v>1.7877749999999986</v>
      </c>
      <c r="J95" s="290"/>
      <c r="K95" s="289">
        <f t="shared" si="90"/>
        <v>1.7115</v>
      </c>
      <c r="L95" s="289">
        <f t="shared" si="90"/>
        <v>1.7602500000000003</v>
      </c>
      <c r="M95" s="289">
        <f t="shared" si="90"/>
        <v>1.7467499999999998</v>
      </c>
      <c r="N95" s="289">
        <f t="shared" si="90"/>
        <v>1.8794999999999995</v>
      </c>
      <c r="O95" s="289">
        <f t="shared" si="90"/>
        <v>2.085</v>
      </c>
      <c r="P95" s="289">
        <f t="shared" si="90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1" t="e">
        <v>#REF!</v>
      </c>
      <c r="W95" s="292"/>
      <c r="X95" s="292"/>
      <c r="Y95" s="291"/>
      <c r="Z95" s="291"/>
      <c r="AA95" s="291"/>
      <c r="AB95" s="291"/>
      <c r="AC95" s="291"/>
      <c r="AD95" s="289">
        <f t="shared" si="91"/>
        <v>1.4929090909090914</v>
      </c>
      <c r="AE95" s="289">
        <f t="shared" si="91"/>
        <v>1.3800714285714286</v>
      </c>
      <c r="AF95" s="289"/>
      <c r="AG95" s="289">
        <f t="shared" si="91"/>
        <v>1.6950000000000001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9"/>
        <v>-0.66300000000000003</v>
      </c>
      <c r="G96" s="289">
        <f t="shared" si="89"/>
        <v>2.8040999999999974</v>
      </c>
      <c r="H96" s="289">
        <f t="shared" si="89"/>
        <v>3.0129552631578984</v>
      </c>
      <c r="I96" s="289">
        <f t="shared" si="89"/>
        <v>4.8371700000000013</v>
      </c>
      <c r="J96" s="290"/>
      <c r="K96" s="289">
        <f t="shared" si="90"/>
        <v>4.5435000000000008</v>
      </c>
      <c r="L96" s="289">
        <f t="shared" si="90"/>
        <v>4.6995000000000005</v>
      </c>
      <c r="M96" s="289">
        <f t="shared" si="90"/>
        <v>4.4343000000000004</v>
      </c>
      <c r="N96" s="289">
        <f t="shared" si="90"/>
        <v>4.8087000000000009</v>
      </c>
      <c r="O96" s="289">
        <f t="shared" si="90"/>
        <v>4.8555000000000001</v>
      </c>
      <c r="P96" s="289">
        <f t="shared" si="90"/>
        <v>2.9796</v>
      </c>
      <c r="Q96" s="289">
        <f>$B96*(Q78-Q$74-1.7)</f>
        <v>2.9094000000000002</v>
      </c>
      <c r="R96" s="291"/>
      <c r="S96" s="291"/>
      <c r="T96" s="291"/>
      <c r="U96" s="291"/>
      <c r="V96" s="291" t="e">
        <v>#REF!</v>
      </c>
      <c r="W96" s="292"/>
      <c r="X96" s="292"/>
      <c r="Y96" s="291"/>
      <c r="Z96" s="291"/>
      <c r="AA96" s="291"/>
      <c r="AB96" s="291"/>
      <c r="AC96" s="291"/>
      <c r="AD96" s="289">
        <f t="shared" si="91"/>
        <v>3.0908681818181818</v>
      </c>
      <c r="AE96" s="289">
        <f t="shared" si="91"/>
        <v>3.3453333333333366</v>
      </c>
      <c r="AF96" s="289"/>
      <c r="AG96" s="289">
        <f t="shared" si="91"/>
        <v>3.9520000000000013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92">$B$97*((K79/6.5)-(K$74-1.7))</f>
        <v>-0.88577076923076925</v>
      </c>
      <c r="L97" s="289">
        <f t="shared" si="92"/>
        <v>-0.88175538461538472</v>
      </c>
      <c r="M97" s="289">
        <f t="shared" si="92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1" t="e">
        <v>#REF!</v>
      </c>
      <c r="W97" s="292"/>
      <c r="X97" s="292"/>
      <c r="Y97" s="291"/>
      <c r="Z97" s="291"/>
      <c r="AA97" s="291"/>
      <c r="AB97" s="291"/>
      <c r="AC97" s="291"/>
      <c r="AD97" s="289">
        <f t="shared" ref="AD97:AG97" si="93">$B$97*((AD79/6.5)-(AD$74-1.7))</f>
        <v>-0.48642909090909042</v>
      </c>
      <c r="AE97" s="289">
        <f t="shared" si="93"/>
        <v>-0.97253304029303989</v>
      </c>
      <c r="AF97" s="289"/>
      <c r="AG97" s="289">
        <f t="shared" si="93"/>
        <v>-0.91053846153846163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94">$B98*(K81-K$74-1.7)</f>
        <v>-1.5</v>
      </c>
      <c r="L98" s="289">
        <f t="shared" si="94"/>
        <v>-1.4565000000000001</v>
      </c>
      <c r="M98" s="289">
        <f t="shared" si="94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1" t="e">
        <v>#REF!</v>
      </c>
      <c r="W98" s="292"/>
      <c r="X98" s="292"/>
      <c r="Y98" s="291"/>
      <c r="Z98" s="291"/>
      <c r="AA98" s="291"/>
      <c r="AB98" s="291"/>
      <c r="AC98" s="291"/>
      <c r="AD98" s="289">
        <f t="shared" ref="AD98:AG98" si="95">$B98*(AD81-AD$74-1.7)</f>
        <v>-0.96431818181818174</v>
      </c>
      <c r="AE98" s="289">
        <f t="shared" si="95"/>
        <v>-1.3489857142857142</v>
      </c>
      <c r="AF98" s="289"/>
      <c r="AG98" s="289">
        <f t="shared" si="95"/>
        <v>-1.4359999999999999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2"/>
      <c r="X99" s="292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96">SUM(H92:H98)</f>
        <v>-0.17026991934711599</v>
      </c>
      <c r="I100" s="289">
        <f>SUM(I92:I98)</f>
        <v>2.9612135099939429</v>
      </c>
      <c r="J100" s="290"/>
      <c r="K100" s="289" t="e">
        <f t="shared" ref="K100:M100" si="97">SUM(K92:K98)</f>
        <v>#REF!</v>
      </c>
      <c r="L100" s="289" t="e">
        <f t="shared" si="97"/>
        <v>#REF!</v>
      </c>
      <c r="M100" s="289">
        <f t="shared" si="97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8">SUM(Q92:Q98)</f>
        <v>4.6379910256410248</v>
      </c>
      <c r="R100" s="291"/>
      <c r="S100" s="291"/>
      <c r="T100" s="291"/>
      <c r="U100" s="291"/>
      <c r="V100" s="291" t="e">
        <v>#REF!</v>
      </c>
      <c r="W100" s="292"/>
      <c r="X100" s="292"/>
      <c r="Y100" s="291"/>
      <c r="Z100" s="291"/>
      <c r="AA100" s="291"/>
      <c r="AB100" s="291"/>
      <c r="AC100" s="291"/>
      <c r="AD100" s="289">
        <f t="shared" ref="AD100:AG100" si="99">SUM(AD92:AD98)</f>
        <v>5.4023138383838401</v>
      </c>
      <c r="AE100" s="289">
        <f t="shared" si="99"/>
        <v>3.841222515262519</v>
      </c>
      <c r="AF100" s="289"/>
      <c r="AG100" s="289">
        <f t="shared" si="99"/>
        <v>4.4441282051282069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80"/>
      <c r="X101" s="280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80"/>
      <c r="X102" s="280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80"/>
      <c r="X103" s="280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80"/>
      <c r="X104" s="280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80"/>
      <c r="X105" s="280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80"/>
      <c r="X106" s="280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80"/>
      <c r="X107" s="280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80"/>
      <c r="X108" s="280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80"/>
      <c r="X109" s="280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93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80"/>
      <c r="X110" s="280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93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80"/>
      <c r="X111" s="280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80"/>
      <c r="X112" s="280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80"/>
      <c r="X113" s="280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80"/>
      <c r="X114" s="280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80"/>
      <c r="X115" s="280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80"/>
      <c r="X116" s="280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80"/>
      <c r="X117" s="280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80"/>
      <c r="X118" s="280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80"/>
      <c r="X119" s="280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80"/>
      <c r="X120" s="280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80"/>
      <c r="X121" s="280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80"/>
      <c r="X122" s="280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80"/>
      <c r="X123" s="280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5"/>
      <c r="X124" s="5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U5:U6"/>
    <mergeCell ref="V5:V6"/>
    <mergeCell ref="Y5:Y6"/>
    <mergeCell ref="Z5:Z6"/>
    <mergeCell ref="AA5:AA6"/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MT124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A5" sqref="A5"/>
    </sheetView>
  </sheetViews>
  <sheetFormatPr defaultColWidth="9.08984375" defaultRowHeight="21" outlineLevelRow="1" outlineLevelCol="1"/>
  <cols>
    <col min="1" max="1" width="17.90625" style="194" customWidth="1"/>
    <col min="2" max="2" width="24.90625" style="2" hidden="1" customWidth="1"/>
    <col min="3" max="3" width="21.36328125" style="2" hidden="1" customWidth="1"/>
    <col min="4" max="4" width="13.453125" style="1" hidden="1" customWidth="1"/>
    <col min="5" max="5" width="10.36328125" style="1" hidden="1" customWidth="1"/>
    <col min="6" max="9" width="11.08984375" style="3" hidden="1" customWidth="1"/>
    <col min="10" max="10" width="31.90625" style="4" hidden="1" customWidth="1"/>
    <col min="11" max="14" width="11.08984375" style="3" hidden="1" customWidth="1"/>
    <col min="15" max="15" width="15.453125" style="3" hidden="1" customWidth="1"/>
    <col min="16" max="21" width="9" style="3" customWidth="1"/>
    <col min="22" max="22" width="9" style="6" customWidth="1"/>
    <col min="23" max="24" width="26.453125" style="5" hidden="1" customWidth="1" outlineLevel="1"/>
    <col min="25" max="25" width="9" style="6" customWidth="1" collapsed="1"/>
    <col min="26" max="29" width="9" style="6" customWidth="1"/>
    <col min="30" max="33" width="9" style="6" hidden="1" customWidth="1" outlineLevel="1"/>
    <col min="34" max="34" width="9" style="153" customWidth="1" collapsed="1"/>
    <col min="35" max="35" width="10.08984375" style="7" bestFit="1" customWidth="1"/>
    <col min="36" max="358" width="9.08984375" style="7"/>
    <col min="359" max="16384" width="9.0898437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2"/>
      <c r="X2" s="12"/>
      <c r="Y2" s="10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W3" s="17"/>
      <c r="X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8" t="s">
        <v>3</v>
      </c>
      <c r="F5" s="673" t="s">
        <v>4</v>
      </c>
      <c r="G5" s="673" t="s">
        <v>5</v>
      </c>
      <c r="H5" s="680" t="s">
        <v>6</v>
      </c>
      <c r="I5" s="673" t="s">
        <v>7</v>
      </c>
      <c r="J5" s="28" t="s">
        <v>2</v>
      </c>
      <c r="K5" s="673" t="s">
        <v>8</v>
      </c>
      <c r="L5" s="397" t="s">
        <v>9</v>
      </c>
      <c r="M5" s="397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673" t="s">
        <v>65</v>
      </c>
      <c r="U5" s="673" t="s">
        <v>207</v>
      </c>
      <c r="V5" s="673" t="s">
        <v>67</v>
      </c>
      <c r="W5" s="29" t="s">
        <v>10</v>
      </c>
      <c r="X5" s="30" t="s">
        <v>11</v>
      </c>
      <c r="Y5" s="673" t="s">
        <v>68</v>
      </c>
      <c r="Z5" s="673" t="s">
        <v>69</v>
      </c>
      <c r="AA5" s="673" t="s">
        <v>70</v>
      </c>
      <c r="AB5" s="673" t="s">
        <v>77</v>
      </c>
      <c r="AC5" s="697" t="s">
        <v>78</v>
      </c>
      <c r="AD5" s="699" t="s">
        <v>79</v>
      </c>
      <c r="AE5" s="688" t="s">
        <v>80</v>
      </c>
      <c r="AF5" s="688" t="s">
        <v>81</v>
      </c>
      <c r="AG5" s="695" t="s">
        <v>82</v>
      </c>
      <c r="AH5" s="685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79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674"/>
      <c r="V6" s="674"/>
      <c r="W6" s="187">
        <v>42552</v>
      </c>
      <c r="X6" s="188">
        <v>42583</v>
      </c>
      <c r="Y6" s="674"/>
      <c r="Z6" s="674"/>
      <c r="AA6" s="674"/>
      <c r="AB6" s="674"/>
      <c r="AC6" s="698"/>
      <c r="AD6" s="700"/>
      <c r="AE6" s="689"/>
      <c r="AF6" s="689"/>
      <c r="AG6" s="696"/>
      <c r="AH6" s="686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2"/>
      <c r="X7" s="22"/>
      <c r="Y7" s="23"/>
      <c r="Z7" s="24"/>
      <c r="AA7" s="24"/>
      <c r="AB7" s="24"/>
      <c r="AC7" s="24"/>
      <c r="AD7" s="302"/>
      <c r="AE7" s="24"/>
      <c r="AF7" s="24"/>
      <c r="AG7" s="303"/>
      <c r="AH7" s="238"/>
      <c r="AI7" s="399"/>
    </row>
    <row r="8" spans="1:358" ht="21.5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>
        <v>46.44</v>
      </c>
      <c r="V8" s="39"/>
      <c r="W8" s="360"/>
      <c r="X8" s="215"/>
      <c r="Y8" s="38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81"/>
      <c r="B9" s="682"/>
      <c r="C9" s="682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16"/>
      <c r="X9" s="217"/>
      <c r="Y9" s="208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29.38</v>
      </c>
      <c r="R10" s="388">
        <v>35.141818181818174</v>
      </c>
      <c r="S10" s="388">
        <v>39.03</v>
      </c>
      <c r="T10" s="388">
        <v>44.268571428571427</v>
      </c>
      <c r="U10" s="189">
        <v>46.3</v>
      </c>
      <c r="V10" s="189">
        <v>44</v>
      </c>
      <c r="W10" s="185"/>
      <c r="X10" s="186"/>
      <c r="Y10" s="189">
        <v>44</v>
      </c>
      <c r="Z10" s="189">
        <v>44.5</v>
      </c>
      <c r="AA10" s="189">
        <v>45</v>
      </c>
      <c r="AB10" s="189">
        <v>46.5</v>
      </c>
      <c r="AC10" s="297">
        <v>47</v>
      </c>
      <c r="AD10" s="308">
        <f>AVERAGE(P10:R10)</f>
        <v>30.443939393939388</v>
      </c>
      <c r="AE10" s="246">
        <f>AVERAGE(S10:T10:U10)</f>
        <v>43.199523809523804</v>
      </c>
      <c r="AF10" s="246">
        <f>AVERAGE(V10:Z10)</f>
        <v>44.166666666666664</v>
      </c>
      <c r="AG10" s="309">
        <f>AVERAGE(AA10:AC10)</f>
        <v>46.166666666666664</v>
      </c>
      <c r="AH10" s="241">
        <f>AVERAGE(P10:AC10)</f>
        <v>40.994199134199128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29.38</v>
      </c>
      <c r="R11" s="389">
        <v>35.141818181818174</v>
      </c>
      <c r="S11" s="388">
        <v>39.03</v>
      </c>
      <c r="T11" s="388">
        <v>44.268571428571427</v>
      </c>
      <c r="U11" s="183">
        <v>46.5</v>
      </c>
      <c r="V11" s="183">
        <v>45</v>
      </c>
      <c r="W11" s="185"/>
      <c r="X11" s="186"/>
      <c r="Y11" s="183">
        <v>45</v>
      </c>
      <c r="Z11" s="183">
        <v>44</v>
      </c>
      <c r="AA11" s="183">
        <v>45</v>
      </c>
      <c r="AB11" s="183">
        <v>46</v>
      </c>
      <c r="AC11" s="298">
        <v>47</v>
      </c>
      <c r="AD11" s="308">
        <f>AVERAGE(P11:R11)</f>
        <v>30.443939393939388</v>
      </c>
      <c r="AE11" s="246">
        <f>AVERAGE(S11:T11:U11)</f>
        <v>43.266190476190474</v>
      </c>
      <c r="AF11" s="246">
        <f t="shared" ref="AF11:AF13" si="1">AVERAGE(V11:Z11)</f>
        <v>44.666666666666664</v>
      </c>
      <c r="AG11" s="309">
        <f t="shared" ref="AG11:AG13" si="2">AVERAGE(AA11:AC11)</f>
        <v>46</v>
      </c>
      <c r="AH11" s="241">
        <f>AVERAGE(P11:AC11)</f>
        <v>41.09419913419913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29.38</v>
      </c>
      <c r="R12" s="388">
        <v>35.141818181818174</v>
      </c>
      <c r="S12" s="388">
        <v>39.03</v>
      </c>
      <c r="T12" s="388">
        <v>44.268571428571427</v>
      </c>
      <c r="U12" s="183">
        <v>46.443888888888893</v>
      </c>
      <c r="V12" s="183">
        <v>46.3</v>
      </c>
      <c r="W12" s="185" t="s">
        <v>194</v>
      </c>
      <c r="X12" s="186" t="s">
        <v>194</v>
      </c>
      <c r="Y12" s="189">
        <v>46.7</v>
      </c>
      <c r="Z12" s="189">
        <v>47</v>
      </c>
      <c r="AA12" s="189">
        <v>47.5</v>
      </c>
      <c r="AB12" s="189">
        <v>47.7</v>
      </c>
      <c r="AC12" s="297">
        <v>48</v>
      </c>
      <c r="AD12" s="308">
        <f>AVERAGE(P12:R12)</f>
        <v>30.443939393939388</v>
      </c>
      <c r="AE12" s="246">
        <f>AVERAGE(S12:T12:U12)</f>
        <v>43.247486772486774</v>
      </c>
      <c r="AF12" s="246">
        <f t="shared" si="1"/>
        <v>46.666666666666664</v>
      </c>
      <c r="AG12" s="309">
        <f t="shared" si="2"/>
        <v>47.733333333333327</v>
      </c>
      <c r="AH12" s="241">
        <f>AVERAGE(P12:AC12)</f>
        <v>42.022856541606536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29.38</v>
      </c>
      <c r="R13" s="388">
        <v>35.141818181818174</v>
      </c>
      <c r="S13" s="388">
        <v>39.03</v>
      </c>
      <c r="T13" s="388">
        <v>44.268571428571427</v>
      </c>
      <c r="U13" s="189">
        <v>46.44</v>
      </c>
      <c r="V13" s="189">
        <v>45</v>
      </c>
      <c r="W13" s="253" t="s">
        <v>210</v>
      </c>
      <c r="X13" s="254"/>
      <c r="Y13" s="189">
        <v>45.5</v>
      </c>
      <c r="Z13" s="189">
        <v>46</v>
      </c>
      <c r="AA13" s="189">
        <v>48.3</v>
      </c>
      <c r="AB13" s="189">
        <v>49.2</v>
      </c>
      <c r="AC13" s="297">
        <v>50</v>
      </c>
      <c r="AD13" s="308">
        <f>AVERAGE(P13:R13)</f>
        <v>30.443939393939388</v>
      </c>
      <c r="AE13" s="246">
        <f>AVERAGE(S13:T13:U13)</f>
        <v>43.246190476190471</v>
      </c>
      <c r="AF13" s="246">
        <f t="shared" si="1"/>
        <v>45.5</v>
      </c>
      <c r="AG13" s="309">
        <f t="shared" si="2"/>
        <v>49.166666666666664</v>
      </c>
      <c r="AH13" s="241">
        <f>AVERAGE(P13:AC13)</f>
        <v>42.089199134199134</v>
      </c>
      <c r="AI13" s="267"/>
    </row>
    <row r="14" spans="1:358" s="62" customFormat="1" ht="19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3">AVERAGE(J10:J13)</f>
        <v>#DIV/0!</v>
      </c>
      <c r="K14" s="59">
        <f t="shared" si="3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4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5">AVERAGE(U10:U13)</f>
        <v>46.420972222222218</v>
      </c>
      <c r="V14" s="59">
        <f t="shared" si="5"/>
        <v>45.075000000000003</v>
      </c>
      <c r="W14" s="369"/>
      <c r="X14" s="369"/>
      <c r="Y14" s="59">
        <f t="shared" si="5"/>
        <v>45.3</v>
      </c>
      <c r="Z14" s="59">
        <f t="shared" si="5"/>
        <v>45.375</v>
      </c>
      <c r="AA14" s="59">
        <f t="shared" si="5"/>
        <v>46.45</v>
      </c>
      <c r="AB14" s="59">
        <f t="shared" si="5"/>
        <v>47.349999999999994</v>
      </c>
      <c r="AC14" s="234">
        <f t="shared" si="5"/>
        <v>48</v>
      </c>
      <c r="AD14" s="310">
        <f>AVERAGE(AD10:AD13)</f>
        <v>30.443939393939388</v>
      </c>
      <c r="AE14" s="59">
        <f t="shared" ref="AE14" si="6">AVERAGE(AE10:AE13)</f>
        <v>43.239847883597882</v>
      </c>
      <c r="AF14" s="59">
        <f>AVERAGE(AF10:AF13)</f>
        <v>45.25</v>
      </c>
      <c r="AG14" s="311">
        <f>AVERAGE(AG10:AG13)</f>
        <v>47.266666666666659</v>
      </c>
      <c r="AH14" s="242">
        <f>AVERAGE(AH10:AH13)</f>
        <v>41.550113486050982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7">Q14</f>
        <v>29.38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46.4</v>
      </c>
      <c r="V15" s="164">
        <v>45</v>
      </c>
      <c r="W15" s="370"/>
      <c r="X15" s="370"/>
      <c r="Y15" s="164">
        <v>45</v>
      </c>
      <c r="Z15" s="164">
        <v>45.4</v>
      </c>
      <c r="AA15" s="164">
        <v>46.5</v>
      </c>
      <c r="AB15" s="164">
        <v>47</v>
      </c>
      <c r="AC15" s="229">
        <v>47.5</v>
      </c>
      <c r="AD15" s="312">
        <f>AVERAGE(P15:R15)</f>
        <v>30.443939393939388</v>
      </c>
      <c r="AE15" s="164">
        <f>AVERAGE(S15:T15:U15)</f>
        <v>43.232857142857142</v>
      </c>
      <c r="AF15" s="164">
        <f>AVERAGE(V15:Z15)</f>
        <v>45.133333333333333</v>
      </c>
      <c r="AG15" s="313">
        <f>AVERAGE(AA15:AC15)</f>
        <v>47</v>
      </c>
      <c r="AH15" s="242">
        <f>AVERAGE(P15:AC15)</f>
        <v>41.452532467532464</v>
      </c>
      <c r="AI15" s="271">
        <v>54</v>
      </c>
      <c r="AJ15" s="179"/>
      <c r="AK15" s="179"/>
    </row>
    <row r="16" spans="1:358" ht="21.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371"/>
      <c r="X16" s="371"/>
      <c r="Y16" s="23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t="21.5" hidden="1" outlineLevel="1" thickBot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>
        <v>-0.95</v>
      </c>
      <c r="V17" s="39"/>
      <c r="W17" s="372"/>
      <c r="X17" s="372"/>
      <c r="Y17" s="38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5"/>
      <c r="B18" s="676"/>
      <c r="C18" s="676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373"/>
      <c r="X18" s="374"/>
      <c r="Y18" s="4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4.5627777777777778</v>
      </c>
      <c r="R19" s="388">
        <v>3.8622727272727388</v>
      </c>
      <c r="S19" s="388">
        <v>3.33</v>
      </c>
      <c r="T19" s="388">
        <v>-0.23190476190475806</v>
      </c>
      <c r="U19" s="189">
        <v>-1</v>
      </c>
      <c r="V19" s="189">
        <v>-0.5</v>
      </c>
      <c r="W19" s="185"/>
      <c r="X19" s="186"/>
      <c r="Y19" s="189">
        <v>-0.25</v>
      </c>
      <c r="Z19" s="189">
        <v>0</v>
      </c>
      <c r="AA19" s="189">
        <v>1</v>
      </c>
      <c r="AB19" s="189">
        <v>1.5</v>
      </c>
      <c r="AC19" s="297">
        <v>2</v>
      </c>
      <c r="AD19" s="308">
        <f>AVERAGE(P19:R19)</f>
        <v>6.0716835016835056</v>
      </c>
      <c r="AE19" s="246">
        <f>AVERAGE(S19:T19:U19)</f>
        <v>0.69936507936508063</v>
      </c>
      <c r="AF19" s="246">
        <f>AVERAGE(V19:Z19)</f>
        <v>-0.25</v>
      </c>
      <c r="AG19" s="309">
        <f>AVERAGE(AA19:AC19)</f>
        <v>1.5</v>
      </c>
      <c r="AH19" s="241">
        <f>AVERAGE(P19:AC19)</f>
        <v>2.0052621452621469</v>
      </c>
      <c r="AI19" s="272"/>
    </row>
    <row r="20" spans="1:358" ht="58.5" hidden="1" customHeight="1" outlineLevel="1">
      <c r="A20" s="47" t="s">
        <v>24</v>
      </c>
      <c r="B20" s="48">
        <f t="shared" ref="B20" si="8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4.5627777777777778</v>
      </c>
      <c r="R20" s="389">
        <v>3.8622727272727388</v>
      </c>
      <c r="S20" s="388">
        <v>3.33</v>
      </c>
      <c r="T20" s="388">
        <v>-0.23190476190475806</v>
      </c>
      <c r="U20" s="183">
        <v>-0.8</v>
      </c>
      <c r="V20" s="183">
        <v>-0.5</v>
      </c>
      <c r="W20" s="185"/>
      <c r="X20" s="186"/>
      <c r="Y20" s="183">
        <v>-0.5</v>
      </c>
      <c r="Z20" s="183">
        <v>0</v>
      </c>
      <c r="AA20" s="183">
        <v>1</v>
      </c>
      <c r="AB20" s="183">
        <v>1.5</v>
      </c>
      <c r="AC20" s="298">
        <v>1.5</v>
      </c>
      <c r="AD20" s="308">
        <f>AVERAGE(P20:R20)</f>
        <v>6.0716835016835056</v>
      </c>
      <c r="AE20" s="246">
        <f>AVERAGE(S20:T20:U20)</f>
        <v>0.7660317460317474</v>
      </c>
      <c r="AF20" s="246">
        <f t="shared" ref="AF20:AF22" si="9">AVERAGE(V20:Z20)</f>
        <v>-0.33333333333333331</v>
      </c>
      <c r="AG20" s="309">
        <f t="shared" ref="AG20:AG22" si="10">AVERAGE(AA20:AC20)</f>
        <v>1.3333333333333333</v>
      </c>
      <c r="AH20" s="241">
        <f>AVERAGE(P20:AC20)</f>
        <v>1.9594288119288132</v>
      </c>
      <c r="AI20" s="272"/>
    </row>
    <row r="21" spans="1:358" ht="58.5" hidden="1" customHeight="1" outlineLevel="1">
      <c r="A21" s="47" t="s">
        <v>25</v>
      </c>
      <c r="B21" s="78">
        <f t="shared" ref="B21" si="11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4.5627777777777778</v>
      </c>
      <c r="R21" s="388">
        <v>3.8622727272727388</v>
      </c>
      <c r="S21" s="388">
        <v>3.33</v>
      </c>
      <c r="T21" s="388">
        <v>-0.23190476190475806</v>
      </c>
      <c r="U21" s="189">
        <v>-0.95444444444444798</v>
      </c>
      <c r="V21" s="189">
        <v>0</v>
      </c>
      <c r="W21" s="185" t="s">
        <v>208</v>
      </c>
      <c r="X21" s="186" t="s">
        <v>208</v>
      </c>
      <c r="Y21" s="189">
        <v>0.3</v>
      </c>
      <c r="Z21" s="189">
        <v>0.1</v>
      </c>
      <c r="AA21" s="189">
        <v>0</v>
      </c>
      <c r="AB21" s="189">
        <v>-0.3</v>
      </c>
      <c r="AC21" s="297">
        <v>-0.45</v>
      </c>
      <c r="AD21" s="308">
        <f>AVERAGE(P21:R21)</f>
        <v>6.0716835016835056</v>
      </c>
      <c r="AE21" s="246">
        <f>AVERAGE(S21:T21:U21)</f>
        <v>0.71455026455026471</v>
      </c>
      <c r="AF21" s="246">
        <f t="shared" si="9"/>
        <v>0.13333333333333333</v>
      </c>
      <c r="AG21" s="309">
        <f t="shared" si="10"/>
        <v>-0.25</v>
      </c>
      <c r="AH21" s="241">
        <f>AVERAGE(P21:AC21)</f>
        <v>1.6673917748917761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4.5627777777777778</v>
      </c>
      <c r="R22" s="388">
        <v>3.8622727272727388</v>
      </c>
      <c r="S22" s="388">
        <v>3.33</v>
      </c>
      <c r="T22" s="388">
        <v>-0.23190476190475806</v>
      </c>
      <c r="U22" s="189">
        <v>-1</v>
      </c>
      <c r="V22" s="189">
        <v>0.5</v>
      </c>
      <c r="W22" s="185"/>
      <c r="X22" s="186"/>
      <c r="Y22" s="189">
        <v>0.5</v>
      </c>
      <c r="Z22" s="189">
        <v>1</v>
      </c>
      <c r="AA22" s="189">
        <v>1</v>
      </c>
      <c r="AB22" s="189">
        <v>1.5</v>
      </c>
      <c r="AC22" s="297">
        <v>1.5</v>
      </c>
      <c r="AD22" s="308">
        <f>AVERAGE(P22:R22)</f>
        <v>6.0716835016835056</v>
      </c>
      <c r="AE22" s="246">
        <f>AVERAGE(S22:T22:U22)</f>
        <v>0.69936507936508063</v>
      </c>
      <c r="AF22" s="246">
        <f t="shared" si="9"/>
        <v>0.66666666666666663</v>
      </c>
      <c r="AG22" s="309">
        <f t="shared" si="10"/>
        <v>1.3333333333333333</v>
      </c>
      <c r="AH22" s="241">
        <f>AVERAGE(P22:AC22)</f>
        <v>2.1927621452621469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2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3">AVERAGE(U19:U22)</f>
        <v>-0.93861111111111195</v>
      </c>
      <c r="V23" s="59">
        <f t="shared" si="13"/>
        <v>-0.125</v>
      </c>
      <c r="W23" s="375"/>
      <c r="X23" s="375"/>
      <c r="Y23" s="59">
        <f t="shared" si="13"/>
        <v>1.2499999999999997E-2</v>
      </c>
      <c r="Z23" s="59">
        <f t="shared" si="13"/>
        <v>0.27500000000000002</v>
      </c>
      <c r="AA23" s="59">
        <f t="shared" si="13"/>
        <v>0.75</v>
      </c>
      <c r="AB23" s="59">
        <f t="shared" si="13"/>
        <v>1.05</v>
      </c>
      <c r="AC23" s="234">
        <f t="shared" si="13"/>
        <v>1.1375</v>
      </c>
      <c r="AD23" s="310">
        <f>AVERAGE(AD19:AD22)</f>
        <v>6.0716835016835056</v>
      </c>
      <c r="AE23" s="59">
        <f>AVERAGE(AE19:AE22)</f>
        <v>0.71982804232804332</v>
      </c>
      <c r="AF23" s="59">
        <f t="shared" ref="AF23:AG23" si="14">AVERAGE(AF19:AF22)</f>
        <v>5.4166666666666669E-2</v>
      </c>
      <c r="AG23" s="311">
        <f t="shared" si="14"/>
        <v>0.97916666666666652</v>
      </c>
      <c r="AH23" s="242">
        <f>AVERAGE(AH19:AH22)</f>
        <v>1.9562112193362209</v>
      </c>
      <c r="AI23" s="272"/>
    </row>
    <row r="24" spans="1:358" ht="19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5">Q23</f>
        <v>4.5627777777777778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-0.8</v>
      </c>
      <c r="V24" s="164">
        <v>-0.5</v>
      </c>
      <c r="W24" s="370"/>
      <c r="X24" s="370"/>
      <c r="Y24" s="164">
        <v>0</v>
      </c>
      <c r="Z24" s="164">
        <v>0.3</v>
      </c>
      <c r="AA24" s="164">
        <v>1</v>
      </c>
      <c r="AB24" s="164">
        <v>1.5</v>
      </c>
      <c r="AC24" s="229">
        <v>1.5</v>
      </c>
      <c r="AD24" s="312">
        <f>AVERAGE(P24:R24)</f>
        <v>6.0716835016835056</v>
      </c>
      <c r="AE24" s="164">
        <f>AVERAGE(S24:T24:U24)</f>
        <v>0.7660317460317474</v>
      </c>
      <c r="AF24" s="164">
        <f>AVERAGE(V24:Z24)</f>
        <v>-6.6666666666666666E-2</v>
      </c>
      <c r="AG24" s="313">
        <f>AVERAGE(AA24:AC24)</f>
        <v>1.3333333333333333</v>
      </c>
      <c r="AH24" s="242">
        <f>AVERAGE(P24:AC24)</f>
        <v>2.0260954785954799</v>
      </c>
      <c r="AI24" s="271">
        <v>-1</v>
      </c>
    </row>
    <row r="25" spans="1:358" ht="21.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371"/>
      <c r="X25" s="371"/>
      <c r="Y25" s="23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t="21.5" hidden="1" outlineLevel="1" thickBot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>
        <v>13.05</v>
      </c>
      <c r="V26" s="39"/>
      <c r="W26" s="372"/>
      <c r="X26" s="372"/>
      <c r="Y26" s="38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83"/>
      <c r="B27" s="684"/>
      <c r="C27" s="684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376"/>
      <c r="X27" s="377"/>
      <c r="Y27" s="44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</v>
      </c>
      <c r="R28" s="388">
        <v>17.63000000000001</v>
      </c>
      <c r="S28" s="388">
        <v>15.56</v>
      </c>
      <c r="T28" s="388">
        <v>14.896666666666668</v>
      </c>
      <c r="U28" s="189">
        <v>13</v>
      </c>
      <c r="V28" s="189">
        <v>13</v>
      </c>
      <c r="W28" s="185"/>
      <c r="X28" s="186"/>
      <c r="Y28" s="189">
        <v>12.5</v>
      </c>
      <c r="Z28" s="189">
        <v>12</v>
      </c>
      <c r="AA28" s="189">
        <v>12.5</v>
      </c>
      <c r="AB28" s="189">
        <v>13</v>
      </c>
      <c r="AC28" s="297">
        <v>13</v>
      </c>
      <c r="AD28" s="308">
        <f>AVERAGE(P28:R28)</f>
        <v>18.813333333333336</v>
      </c>
      <c r="AE28" s="246">
        <f>AVERAGE(S28:T28:U28)</f>
        <v>14.485555555555557</v>
      </c>
      <c r="AF28" s="246">
        <f>AVERAGE(V28:Z28)</f>
        <v>12.5</v>
      </c>
      <c r="AG28" s="309">
        <f>AVERAGE(AA28:AC28)</f>
        <v>12.833333333333334</v>
      </c>
      <c r="AH28" s="241">
        <f>AVERAGE(P28:AC28)</f>
        <v>14.658055555555556</v>
      </c>
      <c r="AI28" s="272"/>
    </row>
    <row r="29" spans="1:358" ht="54.75" hidden="1" customHeight="1" outlineLevel="1">
      <c r="A29" s="47" t="s">
        <v>24</v>
      </c>
      <c r="B29" s="78">
        <f t="shared" ref="B29" si="16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</v>
      </c>
      <c r="R29" s="389">
        <v>17.63000000000001</v>
      </c>
      <c r="S29" s="388">
        <v>15.56</v>
      </c>
      <c r="T29" s="389">
        <v>14.896666666666668</v>
      </c>
      <c r="U29" s="183">
        <v>13</v>
      </c>
      <c r="V29" s="183">
        <v>13.5</v>
      </c>
      <c r="W29" s="185"/>
      <c r="X29" s="186"/>
      <c r="Y29" s="183">
        <v>13</v>
      </c>
      <c r="Z29" s="183">
        <v>12</v>
      </c>
      <c r="AA29" s="183">
        <v>12</v>
      </c>
      <c r="AB29" s="183">
        <v>13</v>
      </c>
      <c r="AC29" s="298">
        <v>13</v>
      </c>
      <c r="AD29" s="308">
        <f>AVERAGE(P29:R29)</f>
        <v>18.813333333333336</v>
      </c>
      <c r="AE29" s="246">
        <f>AVERAGE(S29:T29:U29)</f>
        <v>14.485555555555557</v>
      </c>
      <c r="AF29" s="246">
        <f t="shared" ref="AF29:AF31" si="17">AVERAGE(V29:Z29)</f>
        <v>12.833333333333334</v>
      </c>
      <c r="AG29" s="309">
        <f t="shared" ref="AG29:AG31" si="18">AVERAGE(AA29:AC29)</f>
        <v>12.666666666666666</v>
      </c>
      <c r="AH29" s="241">
        <f>AVERAGE(P29:AC29)</f>
        <v>14.699722222222222</v>
      </c>
      <c r="AI29" s="272"/>
    </row>
    <row r="30" spans="1:358" ht="54.75" hidden="1" customHeight="1" outlineLevel="1">
      <c r="A30" s="47" t="s">
        <v>25</v>
      </c>
      <c r="B30" s="48">
        <f t="shared" ref="B30" si="19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</v>
      </c>
      <c r="R30" s="388">
        <v>17.63000000000001</v>
      </c>
      <c r="S30" s="388">
        <v>15.56</v>
      </c>
      <c r="T30" s="388">
        <v>14.896666666666668</v>
      </c>
      <c r="U30" s="189">
        <v>13.044999999999995</v>
      </c>
      <c r="V30" s="189">
        <v>13.5</v>
      </c>
      <c r="W30" s="185" t="s">
        <v>209</v>
      </c>
      <c r="X30" s="186" t="s">
        <v>209</v>
      </c>
      <c r="Y30" s="189">
        <v>13.5</v>
      </c>
      <c r="Z30" s="189">
        <v>13.5</v>
      </c>
      <c r="AA30" s="189">
        <v>13.3</v>
      </c>
      <c r="AB30" s="189">
        <v>12.5</v>
      </c>
      <c r="AC30" s="297">
        <v>12.5</v>
      </c>
      <c r="AD30" s="308">
        <f>AVERAGE(P30:R30)</f>
        <v>18.813333333333336</v>
      </c>
      <c r="AE30" s="246">
        <f>AVERAGE(S30:T30:U30)</f>
        <v>14.500555555555556</v>
      </c>
      <c r="AF30" s="246">
        <f t="shared" si="17"/>
        <v>13.5</v>
      </c>
      <c r="AG30" s="309">
        <f t="shared" si="18"/>
        <v>12.766666666666666</v>
      </c>
      <c r="AH30" s="241">
        <f>AVERAGE(P30:AC30)</f>
        <v>14.895138888888889</v>
      </c>
      <c r="AI30" s="272"/>
    </row>
    <row r="31" spans="1:358" ht="47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</v>
      </c>
      <c r="R31" s="388">
        <v>17.63000000000001</v>
      </c>
      <c r="S31" s="388">
        <v>15.56</v>
      </c>
      <c r="T31" s="388">
        <v>14.896666666666668</v>
      </c>
      <c r="U31" s="189">
        <v>13.05</v>
      </c>
      <c r="V31" s="189">
        <v>13.8</v>
      </c>
      <c r="W31" s="185" t="s">
        <v>211</v>
      </c>
      <c r="X31" s="186"/>
      <c r="Y31" s="189">
        <v>13.5</v>
      </c>
      <c r="Z31" s="189">
        <v>13.2</v>
      </c>
      <c r="AA31" s="189">
        <v>13</v>
      </c>
      <c r="AB31" s="189">
        <v>12.5</v>
      </c>
      <c r="AC31" s="297">
        <v>12</v>
      </c>
      <c r="AD31" s="308">
        <f>AVERAGE(P31:R31)</f>
        <v>18.813333333333336</v>
      </c>
      <c r="AE31" s="246">
        <f>AVERAGE(S31:T31:U31)</f>
        <v>14.502222222222224</v>
      </c>
      <c r="AF31" s="246">
        <f t="shared" si="17"/>
        <v>13.5</v>
      </c>
      <c r="AG31" s="309">
        <f t="shared" si="18"/>
        <v>12.5</v>
      </c>
      <c r="AH31" s="241">
        <f>AVERAGE(P31:AC31)</f>
        <v>14.828888888888889</v>
      </c>
      <c r="AI31" s="272"/>
    </row>
    <row r="32" spans="1:358" s="62" customFormat="1" ht="19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20">AVERAGE(J28:J31)</f>
        <v>#DIV/0!</v>
      </c>
      <c r="K32" s="59">
        <f t="shared" si="20"/>
        <v>16.482500000000002</v>
      </c>
      <c r="L32" s="59">
        <f t="shared" si="20"/>
        <v>17.25</v>
      </c>
      <c r="M32" s="59">
        <f t="shared" si="20"/>
        <v>16.372499999999999</v>
      </c>
      <c r="N32" s="59">
        <f t="shared" si="20"/>
        <v>15.8125</v>
      </c>
      <c r="O32" s="59">
        <f t="shared" si="20"/>
        <v>18.166666666666668</v>
      </c>
      <c r="P32" s="59">
        <f t="shared" si="20"/>
        <v>23.61</v>
      </c>
      <c r="Q32" s="59">
        <f t="shared" si="20"/>
        <v>15.2</v>
      </c>
      <c r="R32" s="59">
        <f t="shared" si="20"/>
        <v>17.63000000000001</v>
      </c>
      <c r="S32" s="59">
        <f t="shared" si="20"/>
        <v>15.56</v>
      </c>
      <c r="T32" s="59">
        <f>AVERAGE(T28:T31)</f>
        <v>14.896666666666668</v>
      </c>
      <c r="U32" s="59">
        <f t="shared" si="20"/>
        <v>13.02375</v>
      </c>
      <c r="V32" s="59">
        <f t="shared" si="20"/>
        <v>13.45</v>
      </c>
      <c r="W32" s="369"/>
      <c r="X32" s="369"/>
      <c r="Y32" s="59">
        <f t="shared" si="20"/>
        <v>13.125</v>
      </c>
      <c r="Z32" s="59">
        <f t="shared" si="20"/>
        <v>12.675000000000001</v>
      </c>
      <c r="AA32" s="59">
        <f t="shared" si="20"/>
        <v>12.7</v>
      </c>
      <c r="AB32" s="59">
        <f t="shared" si="20"/>
        <v>12.75</v>
      </c>
      <c r="AC32" s="234">
        <f t="shared" si="20"/>
        <v>12.625</v>
      </c>
      <c r="AD32" s="310">
        <f>AVERAGE(AD28:AD31)</f>
        <v>18.813333333333336</v>
      </c>
      <c r="AE32" s="59">
        <f t="shared" ref="AE32:AG32" si="21">AVERAGE(AE28:AE31)</f>
        <v>14.493472222222223</v>
      </c>
      <c r="AF32" s="59">
        <f t="shared" si="21"/>
        <v>13.083333333333334</v>
      </c>
      <c r="AG32" s="311">
        <f t="shared" si="21"/>
        <v>12.691666666666666</v>
      </c>
      <c r="AH32" s="242">
        <f>AVERAGE(AH28:AH31)</f>
        <v>14.770451388888889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22">Q32</f>
        <v>15.2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13</v>
      </c>
      <c r="V33" s="164">
        <v>13.5</v>
      </c>
      <c r="W33" s="370"/>
      <c r="X33" s="370"/>
      <c r="Y33" s="164">
        <v>13</v>
      </c>
      <c r="Z33" s="164">
        <v>12</v>
      </c>
      <c r="AA33" s="164">
        <v>12.5</v>
      </c>
      <c r="AB33" s="164">
        <v>13</v>
      </c>
      <c r="AC33" s="229">
        <v>13</v>
      </c>
      <c r="AD33" s="312">
        <f>AVERAGE(P33:R33)</f>
        <v>18.813333333333336</v>
      </c>
      <c r="AE33" s="164">
        <f>AVERAGE(S33:T33:U33)</f>
        <v>14.485555555555557</v>
      </c>
      <c r="AF33" s="164">
        <f>AVERAGE(V33:Z33)</f>
        <v>12.833333333333334</v>
      </c>
      <c r="AG33" s="313">
        <f>AVERAGE(AA33:AC33)</f>
        <v>12.833333333333334</v>
      </c>
      <c r="AH33" s="242">
        <f>AVERAGE(P33:AC33)</f>
        <v>14.74138888888889</v>
      </c>
      <c r="AI33" s="271">
        <v>16</v>
      </c>
    </row>
    <row r="34" spans="1:358" ht="21.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371"/>
      <c r="X34" s="371"/>
      <c r="Y34" s="23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t="21.5" hidden="1" outlineLevel="1" thickBot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>
        <v>12.05</v>
      </c>
      <c r="V35" s="39"/>
      <c r="W35" s="378"/>
      <c r="X35" s="378"/>
      <c r="Y35" s="3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5"/>
      <c r="B36" s="676"/>
      <c r="C36" s="676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373"/>
      <c r="X36" s="374"/>
      <c r="Y36" s="4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11.62</v>
      </c>
      <c r="R37" s="390">
        <v>12.238181818181829</v>
      </c>
      <c r="S37" s="390">
        <v>10.5</v>
      </c>
      <c r="T37" s="390">
        <v>10.901428571428582</v>
      </c>
      <c r="U37" s="181">
        <v>11.9</v>
      </c>
      <c r="V37" s="181">
        <v>11.7</v>
      </c>
      <c r="W37" s="185"/>
      <c r="X37" s="186"/>
      <c r="Y37" s="181">
        <v>11</v>
      </c>
      <c r="Z37" s="181">
        <v>11.5</v>
      </c>
      <c r="AA37" s="181">
        <v>12</v>
      </c>
      <c r="AB37" s="181">
        <v>13</v>
      </c>
      <c r="AC37" s="299">
        <v>13.5</v>
      </c>
      <c r="AD37" s="308">
        <f>AVERAGE(P37:R37)</f>
        <v>11.652727272727276</v>
      </c>
      <c r="AE37" s="246">
        <f>AVERAGE(S37:T37:U37)</f>
        <v>11.100476190476193</v>
      </c>
      <c r="AF37" s="246">
        <f>AVERAGE(V37:Z37)</f>
        <v>11.4</v>
      </c>
      <c r="AG37" s="309">
        <f>AVERAGE(AA37:AC37)</f>
        <v>12.833333333333334</v>
      </c>
      <c r="AH37" s="241">
        <f>AVERAGE(P37:AC37)</f>
        <v>11.746634199134201</v>
      </c>
      <c r="AI37" s="272"/>
    </row>
    <row r="38" spans="1:358" ht="57.75" hidden="1" customHeight="1" outlineLevel="1">
      <c r="A38" s="47" t="s">
        <v>24</v>
      </c>
      <c r="B38" s="78">
        <f t="shared" ref="B38" si="23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11.62</v>
      </c>
      <c r="R38" s="391">
        <v>12.238181818181829</v>
      </c>
      <c r="S38" s="390">
        <v>10.5</v>
      </c>
      <c r="T38" s="391">
        <v>10.901428571428582</v>
      </c>
      <c r="U38" s="175">
        <v>12</v>
      </c>
      <c r="V38" s="175">
        <v>11.1</v>
      </c>
      <c r="W38" s="185"/>
      <c r="X38" s="186"/>
      <c r="Y38" s="175">
        <v>10.5</v>
      </c>
      <c r="Z38" s="175">
        <v>11</v>
      </c>
      <c r="AA38" s="175">
        <v>12</v>
      </c>
      <c r="AB38" s="175">
        <v>13</v>
      </c>
      <c r="AC38" s="300">
        <v>14</v>
      </c>
      <c r="AD38" s="308">
        <f>AVERAGE(P38:R38)</f>
        <v>11.652727272727276</v>
      </c>
      <c r="AE38" s="246">
        <f>AVERAGE(S38:T38:U38)</f>
        <v>11.133809523809527</v>
      </c>
      <c r="AF38" s="246">
        <f t="shared" ref="AF38:AF40" si="24">AVERAGE(V38:Z38)</f>
        <v>10.866666666666667</v>
      </c>
      <c r="AG38" s="309">
        <f t="shared" ref="AG38:AG40" si="25">AVERAGE(AA38:AC38)</f>
        <v>13</v>
      </c>
      <c r="AH38" s="241">
        <f>AVERAGE(P38:AC38)</f>
        <v>11.663300865800869</v>
      </c>
      <c r="AI38" s="272"/>
    </row>
    <row r="39" spans="1:358" ht="57.75" hidden="1" customHeight="1" outlineLevel="1">
      <c r="A39" s="47" t="s">
        <v>25</v>
      </c>
      <c r="B39" s="78">
        <f t="shared" ref="B39" si="26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11.62</v>
      </c>
      <c r="R39" s="388">
        <v>12.238181818181829</v>
      </c>
      <c r="S39" s="390">
        <v>10.5</v>
      </c>
      <c r="T39" s="390">
        <v>10.901428571428582</v>
      </c>
      <c r="U39" s="181">
        <v>12.053333333333335</v>
      </c>
      <c r="V39" s="181">
        <v>12.408629033942777</v>
      </c>
      <c r="W39" s="185" t="s">
        <v>161</v>
      </c>
      <c r="X39" s="186" t="s">
        <v>36</v>
      </c>
      <c r="Y39" s="181">
        <v>12.428676391800403</v>
      </c>
      <c r="Z39" s="181">
        <v>12.571666666666662</v>
      </c>
      <c r="AA39" s="181">
        <v>12.760333333333332</v>
      </c>
      <c r="AB39" s="181">
        <v>12.964333333333332</v>
      </c>
      <c r="AC39" s="299">
        <v>13.058333333333332</v>
      </c>
      <c r="AD39" s="308">
        <f>AVERAGE(P39:R39)</f>
        <v>11.652727272727276</v>
      </c>
      <c r="AE39" s="246">
        <f>AVERAGE(S39:T39:U39)</f>
        <v>11.151587301587305</v>
      </c>
      <c r="AF39" s="246">
        <f t="shared" si="24"/>
        <v>12.469657364136614</v>
      </c>
      <c r="AG39" s="309">
        <f t="shared" si="25"/>
        <v>12.927666666666665</v>
      </c>
      <c r="AH39" s="241">
        <f>AVERAGE(P39:AC39)</f>
        <v>12.050409651279466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11.62</v>
      </c>
      <c r="R40" s="390">
        <v>12.238181818181829</v>
      </c>
      <c r="S40" s="390">
        <v>10.5</v>
      </c>
      <c r="T40" s="390">
        <v>10.901428571428582</v>
      </c>
      <c r="U40" s="181">
        <v>12.05</v>
      </c>
      <c r="V40" s="181">
        <v>10.84</v>
      </c>
      <c r="W40" s="185" t="s">
        <v>212</v>
      </c>
      <c r="X40" s="186" t="s">
        <v>213</v>
      </c>
      <c r="Y40" s="181">
        <v>10.7</v>
      </c>
      <c r="Z40" s="181">
        <v>10.299999999999999</v>
      </c>
      <c r="AA40" s="181">
        <v>12.7</v>
      </c>
      <c r="AB40" s="181">
        <v>13</v>
      </c>
      <c r="AC40" s="299">
        <v>14</v>
      </c>
      <c r="AD40" s="308">
        <f>AVERAGE(P40:R40)</f>
        <v>11.652727272727276</v>
      </c>
      <c r="AE40" s="246">
        <f>AVERAGE(S40:T40:U40)</f>
        <v>11.150476190476192</v>
      </c>
      <c r="AF40" s="246">
        <f t="shared" si="24"/>
        <v>10.613333333333332</v>
      </c>
      <c r="AG40" s="309">
        <f t="shared" si="25"/>
        <v>13.233333333333334</v>
      </c>
      <c r="AH40" s="241">
        <f>AVERAGE(P40:AC40)</f>
        <v>11.662467532467536</v>
      </c>
      <c r="AI40" s="272"/>
    </row>
    <row r="41" spans="1:358" s="62" customFormat="1" ht="19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7">AVERAGE(J37:J40)</f>
        <v>#DIV/0!</v>
      </c>
      <c r="K41" s="157">
        <f t="shared" si="27"/>
        <v>13.11</v>
      </c>
      <c r="L41" s="157">
        <f t="shared" si="27"/>
        <v>13.435000000000002</v>
      </c>
      <c r="M41" s="157">
        <f t="shared" si="27"/>
        <v>13.345000000000001</v>
      </c>
      <c r="N41" s="157">
        <f t="shared" si="27"/>
        <v>14.229999999999999</v>
      </c>
      <c r="O41" s="157">
        <f t="shared" si="27"/>
        <v>14.25</v>
      </c>
      <c r="P41" s="157">
        <f t="shared" si="27"/>
        <v>11.1</v>
      </c>
      <c r="Q41" s="157">
        <f t="shared" si="27"/>
        <v>11.62</v>
      </c>
      <c r="R41" s="157">
        <f t="shared" si="27"/>
        <v>12.238181818181829</v>
      </c>
      <c r="S41" s="59">
        <f t="shared" si="27"/>
        <v>10.5</v>
      </c>
      <c r="T41" s="59">
        <f>AVERAGE(T37:T40)</f>
        <v>10.901428571428582</v>
      </c>
      <c r="U41" s="59">
        <f t="shared" si="27"/>
        <v>12.000833333333333</v>
      </c>
      <c r="V41" s="59">
        <f t="shared" si="27"/>
        <v>11.512157258485693</v>
      </c>
      <c r="W41" s="379"/>
      <c r="X41" s="379"/>
      <c r="Y41" s="59">
        <f t="shared" si="27"/>
        <v>11.157169097950099</v>
      </c>
      <c r="Z41" s="59">
        <f t="shared" si="27"/>
        <v>11.342916666666664</v>
      </c>
      <c r="AA41" s="59">
        <f t="shared" si="27"/>
        <v>12.365083333333335</v>
      </c>
      <c r="AB41" s="59">
        <f t="shared" si="27"/>
        <v>12.991083333333332</v>
      </c>
      <c r="AC41" s="234">
        <f t="shared" si="27"/>
        <v>13.639583333333333</v>
      </c>
      <c r="AD41" s="310">
        <f t="shared" si="27"/>
        <v>11.652727272727276</v>
      </c>
      <c r="AE41" s="59">
        <f t="shared" si="27"/>
        <v>11.134087301587304</v>
      </c>
      <c r="AF41" s="59">
        <f t="shared" si="27"/>
        <v>11.337414341034153</v>
      </c>
      <c r="AG41" s="311">
        <f t="shared" si="27"/>
        <v>12.998583333333334</v>
      </c>
      <c r="AH41" s="242">
        <f>AVERAGE(AH37:AH40)</f>
        <v>11.780703062170518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8">Q41</f>
        <v>11.62</v>
      </c>
      <c r="R42" s="164">
        <f t="shared" si="28"/>
        <v>12.238181818181829</v>
      </c>
      <c r="S42" s="164">
        <f>S41</f>
        <v>10.5</v>
      </c>
      <c r="T42" s="164">
        <f>T41</f>
        <v>10.901428571428582</v>
      </c>
      <c r="U42" s="164">
        <v>11.9</v>
      </c>
      <c r="V42" s="164">
        <v>11.4</v>
      </c>
      <c r="W42" s="370"/>
      <c r="X42" s="370"/>
      <c r="Y42" s="164">
        <v>11</v>
      </c>
      <c r="Z42" s="164">
        <v>11</v>
      </c>
      <c r="AA42" s="164">
        <v>12</v>
      </c>
      <c r="AB42" s="164">
        <v>13.4</v>
      </c>
      <c r="AC42" s="164">
        <v>13.7</v>
      </c>
      <c r="AD42" s="312">
        <f>AVERAGE(P42:R42)</f>
        <v>11.652727272727276</v>
      </c>
      <c r="AE42" s="164">
        <f>AVERAGE(S42:T42:U42)</f>
        <v>11.100476190476193</v>
      </c>
      <c r="AF42" s="164">
        <f>AVERAGE(V42:Z42)</f>
        <v>11.133333333333333</v>
      </c>
      <c r="AG42" s="313">
        <f>AVERAGE(AA42:AC42)</f>
        <v>13.033333333333331</v>
      </c>
      <c r="AH42" s="242">
        <f>AVERAGE(P42:AC42)</f>
        <v>11.729967532467535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9">M41-M52</f>
        <v>0.27500000000000036</v>
      </c>
      <c r="N43" s="157">
        <f t="shared" si="29"/>
        <v>0.19999999999999929</v>
      </c>
      <c r="O43" s="157">
        <f t="shared" si="29"/>
        <v>9.9999999999999645E-2</v>
      </c>
      <c r="P43" s="157">
        <f t="shared" si="29"/>
        <v>1.7599999999999998</v>
      </c>
      <c r="Q43" s="157">
        <f t="shared" si="29"/>
        <v>2.4599999999999991</v>
      </c>
      <c r="R43" s="157">
        <f t="shared" si="29"/>
        <v>1.8622727272727317</v>
      </c>
      <c r="S43" s="157">
        <f t="shared" si="29"/>
        <v>1.4499999999999993</v>
      </c>
      <c r="T43" s="157">
        <f t="shared" si="29"/>
        <v>0.31809523809523199</v>
      </c>
      <c r="U43" s="157">
        <f t="shared" si="29"/>
        <v>0.40513888888888872</v>
      </c>
      <c r="V43" s="157">
        <f t="shared" si="29"/>
        <v>0.36941666666666606</v>
      </c>
      <c r="W43" s="159"/>
      <c r="X43" s="159"/>
      <c r="Y43" s="157">
        <f t="shared" si="29"/>
        <v>0.57174999999999798</v>
      </c>
      <c r="Z43" s="157">
        <f t="shared" si="29"/>
        <v>0.79291666666666316</v>
      </c>
      <c r="AA43" s="157">
        <f t="shared" si="29"/>
        <v>1.0650833333333338</v>
      </c>
      <c r="AB43" s="157">
        <f t="shared" si="29"/>
        <v>0.59858333333333213</v>
      </c>
      <c r="AC43" s="236">
        <f t="shared" si="29"/>
        <v>1.2145833333333318</v>
      </c>
      <c r="AD43" s="317">
        <f t="shared" si="29"/>
        <v>2.0274242424242441</v>
      </c>
      <c r="AE43" s="157">
        <f t="shared" si="29"/>
        <v>0.72441137566137215</v>
      </c>
      <c r="AF43" s="157">
        <f t="shared" si="29"/>
        <v>0.5780277777777787</v>
      </c>
      <c r="AG43" s="318">
        <f t="shared" si="29"/>
        <v>0.95941666666666769</v>
      </c>
      <c r="AH43" s="242">
        <f t="shared" si="29"/>
        <v>1.072320015632517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9"/>
        <v>0.19999999999999929</v>
      </c>
      <c r="O44" s="164">
        <f t="shared" si="29"/>
        <v>1.4499999999999993</v>
      </c>
      <c r="P44" s="164">
        <f t="shared" si="29"/>
        <v>1.7599999999999998</v>
      </c>
      <c r="Q44" s="164">
        <f t="shared" si="29"/>
        <v>2.4599999999999991</v>
      </c>
      <c r="R44" s="164">
        <f t="shared" si="29"/>
        <v>1.8622727272727317</v>
      </c>
      <c r="S44" s="164">
        <f t="shared" si="29"/>
        <v>1.4499999999999993</v>
      </c>
      <c r="T44" s="164">
        <f t="shared" si="29"/>
        <v>0.31809523809523199</v>
      </c>
      <c r="U44" s="164">
        <f t="shared" si="29"/>
        <v>0.20000000000000107</v>
      </c>
      <c r="V44" s="164">
        <f t="shared" si="29"/>
        <v>0.30000000000000071</v>
      </c>
      <c r="W44" s="370"/>
      <c r="X44" s="370"/>
      <c r="Y44" s="164">
        <f t="shared" si="29"/>
        <v>0.5</v>
      </c>
      <c r="Z44" s="164">
        <f t="shared" si="29"/>
        <v>0.5</v>
      </c>
      <c r="AA44" s="164">
        <f t="shared" si="29"/>
        <v>0.69999999999999929</v>
      </c>
      <c r="AB44" s="164">
        <f t="shared" si="29"/>
        <v>1</v>
      </c>
      <c r="AC44" s="229">
        <f t="shared" si="29"/>
        <v>1.1999999999999993</v>
      </c>
      <c r="AD44" s="312">
        <f>AVERAGE(P44:R44)</f>
        <v>2.0274242424242437</v>
      </c>
      <c r="AE44" s="164">
        <f>AE42-AE53</f>
        <v>0.65603174603174352</v>
      </c>
      <c r="AF44" s="164">
        <f>AF42-AF53</f>
        <v>0.43333333333333179</v>
      </c>
      <c r="AG44" s="313">
        <f>AG42-AG53</f>
        <v>0.96666666666666323</v>
      </c>
      <c r="AH44" s="243">
        <f>AH42-AH53</f>
        <v>1.0208639971139988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371"/>
      <c r="X45" s="371"/>
      <c r="Y45" s="177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1.0208639971139988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5">
        <v>11.83</v>
      </c>
      <c r="V46" s="39"/>
      <c r="W46" s="381"/>
      <c r="X46" s="381"/>
      <c r="Y46" s="38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75"/>
      <c r="B47" s="676"/>
      <c r="C47" s="676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382"/>
      <c r="X47" s="383"/>
      <c r="Y47" s="44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189">
        <v>11.7</v>
      </c>
      <c r="V48" s="189">
        <v>11.2</v>
      </c>
      <c r="W48" s="185"/>
      <c r="X48" s="186"/>
      <c r="Y48" s="189">
        <v>10.5</v>
      </c>
      <c r="Z48" s="189">
        <v>11</v>
      </c>
      <c r="AA48" s="189">
        <v>11</v>
      </c>
      <c r="AB48" s="189">
        <v>12</v>
      </c>
      <c r="AC48" s="297">
        <v>12.5</v>
      </c>
      <c r="AD48" s="308">
        <f>AVERAGE(P48:R48)</f>
        <v>9.6253030303030318</v>
      </c>
      <c r="AE48" s="246">
        <f>AVERAGE(S48:T48:U48)</f>
        <v>10.44444444444445</v>
      </c>
      <c r="AF48" s="246">
        <f>AVERAGE(V48:Z48)</f>
        <v>10.9</v>
      </c>
      <c r="AG48" s="309">
        <f>AVERAGE(AA48:AC48)</f>
        <v>11.833333333333334</v>
      </c>
      <c r="AH48" s="241">
        <f>AVERAGE(P48:AC48)</f>
        <v>10.700770202020204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183">
        <v>11.7</v>
      </c>
      <c r="V49" s="183">
        <v>10.799999999999999</v>
      </c>
      <c r="W49" s="185"/>
      <c r="X49" s="186"/>
      <c r="Y49" s="183">
        <v>10.199999999999999</v>
      </c>
      <c r="Z49" s="183">
        <v>10.5</v>
      </c>
      <c r="AA49" s="183">
        <v>11</v>
      </c>
      <c r="AB49" s="183">
        <v>12</v>
      </c>
      <c r="AC49" s="298">
        <v>12.5</v>
      </c>
      <c r="AD49" s="308">
        <f>AVERAGE(P49:R49)</f>
        <v>9.6253030303030318</v>
      </c>
      <c r="AE49" s="246">
        <f>AVERAGE(S49:T49:U49)</f>
        <v>10.44444444444445</v>
      </c>
      <c r="AF49" s="246">
        <f t="shared" ref="AF49:AF51" si="30">AVERAGE(V49:Z49)</f>
        <v>10.5</v>
      </c>
      <c r="AG49" s="309">
        <f t="shared" ref="AG49:AG51" si="31">AVERAGE(AA49:AC49)</f>
        <v>11.833333333333334</v>
      </c>
      <c r="AH49" s="241">
        <f>AVERAGE(P49:AC49)</f>
        <v>10.600770202020204</v>
      </c>
      <c r="AI49" s="267"/>
    </row>
    <row r="50" spans="1:358" ht="50.25" hidden="1" customHeight="1" outlineLevel="1">
      <c r="A50" s="47" t="s">
        <v>25</v>
      </c>
      <c r="B50" s="78">
        <f t="shared" ref="B50" si="32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189">
        <v>11.832777777777778</v>
      </c>
      <c r="V50" s="189">
        <v>11.870962367276109</v>
      </c>
      <c r="W50" s="185" t="s">
        <v>162</v>
      </c>
      <c r="X50" s="186" t="s">
        <v>36</v>
      </c>
      <c r="Y50" s="189">
        <v>11.641676391800404</v>
      </c>
      <c r="Z50" s="189">
        <v>11.6</v>
      </c>
      <c r="AA50" s="189">
        <v>11.6</v>
      </c>
      <c r="AB50" s="189">
        <v>11.7</v>
      </c>
      <c r="AC50" s="297">
        <v>11.7</v>
      </c>
      <c r="AD50" s="308">
        <f>AVERAGE(P50:R50)</f>
        <v>9.6253030303030318</v>
      </c>
      <c r="AE50" s="246">
        <f>AVERAGE(S50:T50:U50)</f>
        <v>10.48870370370371</v>
      </c>
      <c r="AF50" s="246">
        <f t="shared" si="30"/>
        <v>11.70421291969217</v>
      </c>
      <c r="AG50" s="309">
        <f t="shared" si="31"/>
        <v>11.666666666666666</v>
      </c>
      <c r="AH50" s="241">
        <f>AVERAGE(P50:AC50)</f>
        <v>10.871221580091394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189">
        <v>11.15</v>
      </c>
      <c r="V51" s="189">
        <v>10.7</v>
      </c>
      <c r="W51" s="224" t="s">
        <v>203</v>
      </c>
      <c r="X51" s="186" t="s">
        <v>204</v>
      </c>
      <c r="Y51" s="183">
        <v>10</v>
      </c>
      <c r="Z51" s="183">
        <v>9.1</v>
      </c>
      <c r="AA51" s="183">
        <v>11.6</v>
      </c>
      <c r="AB51" s="183">
        <v>13.87</v>
      </c>
      <c r="AC51" s="298">
        <v>13</v>
      </c>
      <c r="AD51" s="308">
        <f>AVERAGE(P51:R51)</f>
        <v>9.6253030303030318</v>
      </c>
      <c r="AE51" s="246">
        <f>AVERAGE(S51:T51:U51)</f>
        <v>10.261111111111118</v>
      </c>
      <c r="AF51" s="246">
        <f t="shared" si="30"/>
        <v>9.9333333333333318</v>
      </c>
      <c r="AG51" s="309">
        <f t="shared" si="31"/>
        <v>12.823333333333332</v>
      </c>
      <c r="AH51" s="241">
        <f>AVERAGE(P51:AC51)</f>
        <v>10.660770202020204</v>
      </c>
      <c r="AI51" s="267"/>
    </row>
    <row r="52" spans="1:358" s="62" customFormat="1" ht="19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33">AVERAGE(J48:J51)</f>
        <v>#DIV/0!</v>
      </c>
      <c r="K52" s="157">
        <f t="shared" si="33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34">AVERAGE(R48:R51)</f>
        <v>10.375909090909097</v>
      </c>
      <c r="S52" s="59">
        <f t="shared" si="34"/>
        <v>9.0500000000000007</v>
      </c>
      <c r="T52" s="59">
        <f>AVERAGE(T48:T51)</f>
        <v>10.58333333333335</v>
      </c>
      <c r="U52" s="59">
        <f t="shared" si="34"/>
        <v>11.595694444444444</v>
      </c>
      <c r="V52" s="59">
        <f t="shared" si="34"/>
        <v>11.142740591819027</v>
      </c>
      <c r="W52" s="379"/>
      <c r="X52" s="379"/>
      <c r="Y52" s="59">
        <f t="shared" si="34"/>
        <v>10.585419097950101</v>
      </c>
      <c r="Z52" s="59">
        <f t="shared" si="34"/>
        <v>10.55</v>
      </c>
      <c r="AA52" s="59">
        <f t="shared" si="34"/>
        <v>11.3</v>
      </c>
      <c r="AB52" s="59">
        <f t="shared" si="34"/>
        <v>12.3925</v>
      </c>
      <c r="AC52" s="234">
        <f t="shared" si="34"/>
        <v>12.425000000000001</v>
      </c>
      <c r="AD52" s="310">
        <f t="shared" si="34"/>
        <v>9.6253030303030318</v>
      </c>
      <c r="AE52" s="59">
        <f t="shared" si="34"/>
        <v>10.409675925925931</v>
      </c>
      <c r="AF52" s="59">
        <f t="shared" si="34"/>
        <v>10.759386563256374</v>
      </c>
      <c r="AG52" s="311">
        <f t="shared" si="34"/>
        <v>12.039166666666667</v>
      </c>
      <c r="AH52" s="242">
        <f>AVERAGE(AH48:AH51)</f>
        <v>10.708383046538001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5">O52</f>
        <v>14.15</v>
      </c>
      <c r="P53" s="164">
        <f>P52</f>
        <v>9.34</v>
      </c>
      <c r="Q53" s="164">
        <f t="shared" ref="Q53" si="36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11.7</v>
      </c>
      <c r="V53" s="164">
        <v>11.1</v>
      </c>
      <c r="W53" s="370"/>
      <c r="X53" s="370"/>
      <c r="Y53" s="164">
        <v>10.5</v>
      </c>
      <c r="Z53" s="164">
        <v>10.5</v>
      </c>
      <c r="AA53" s="164">
        <v>11.3</v>
      </c>
      <c r="AB53" s="164">
        <v>12.4</v>
      </c>
      <c r="AC53" s="164">
        <v>12.5</v>
      </c>
      <c r="AD53" s="312">
        <f>AVERAGE(P53:R53)</f>
        <v>9.6253030303030318</v>
      </c>
      <c r="AE53" s="164">
        <f>AVERAGE(S53:T53:U53)</f>
        <v>10.44444444444445</v>
      </c>
      <c r="AF53" s="164">
        <f>AVERAGE(V53:Z53)</f>
        <v>10.700000000000001</v>
      </c>
      <c r="AG53" s="313">
        <f>AVERAGE(AA53:AC53)</f>
        <v>12.066666666666668</v>
      </c>
      <c r="AH53" s="242">
        <f>AVERAGE(P53:AC53)</f>
        <v>10.709103535353536</v>
      </c>
      <c r="AI53" s="275">
        <v>12.8</v>
      </c>
    </row>
    <row r="54" spans="1:358" ht="21.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371"/>
      <c r="X54" s="371"/>
      <c r="Y54" s="23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t="21.5" hidden="1" outlineLevel="1" thickBot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6">
        <v>-8.9</v>
      </c>
      <c r="V55" s="39"/>
      <c r="W55" s="372"/>
      <c r="X55" s="372"/>
      <c r="Y55" s="38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9" hidden="1" outlineLevel="1" thickBot="1">
      <c r="A56" s="675"/>
      <c r="B56" s="676"/>
      <c r="C56" s="676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376"/>
      <c r="X56" s="377"/>
      <c r="Y56" s="44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189">
        <v>-8.6999999999999993</v>
      </c>
      <c r="V57" s="189">
        <v>-8</v>
      </c>
      <c r="W57" s="185"/>
      <c r="X57" s="186"/>
      <c r="Y57" s="189">
        <v>-8</v>
      </c>
      <c r="Z57" s="189">
        <v>-8</v>
      </c>
      <c r="AA57" s="189">
        <v>-7.75</v>
      </c>
      <c r="AB57" s="189">
        <v>-7.75</v>
      </c>
      <c r="AC57" s="297">
        <v>-7.5</v>
      </c>
      <c r="AD57" s="308">
        <f>AVERAGE(P57:R57)</f>
        <v>-5.1703388212837007</v>
      </c>
      <c r="AE57" s="246">
        <f>AVERAGE(S57:T57:U57)</f>
        <v>-8.8473403324584421</v>
      </c>
      <c r="AF57" s="246">
        <f>AVERAGE(V57:Z57)</f>
        <v>-8</v>
      </c>
      <c r="AG57" s="309">
        <f>AVERAGE(AA57:AC57)</f>
        <v>-7.666666666666667</v>
      </c>
      <c r="AH57" s="241">
        <f>AVERAGE(P57:AC57)</f>
        <v>-7.421086455102202</v>
      </c>
      <c r="AI57" s="267"/>
    </row>
    <row r="58" spans="1:358" ht="51" hidden="1" customHeight="1" outlineLevel="1">
      <c r="A58" s="47" t="s">
        <v>24</v>
      </c>
      <c r="B58" s="78">
        <f t="shared" ref="B58" si="37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189">
        <v>-8.6</v>
      </c>
      <c r="V58" s="189">
        <v>-8</v>
      </c>
      <c r="W58" s="185"/>
      <c r="X58" s="186"/>
      <c r="Y58" s="189">
        <v>-8</v>
      </c>
      <c r="Z58" s="189">
        <v>-8.5</v>
      </c>
      <c r="AA58" s="189">
        <v>-8</v>
      </c>
      <c r="AB58" s="189">
        <v>-7.8</v>
      </c>
      <c r="AC58" s="297">
        <v>-7.6</v>
      </c>
      <c r="AD58" s="308">
        <f>AVERAGE(P58:R58)</f>
        <v>-5.1703388212837007</v>
      </c>
      <c r="AE58" s="246">
        <f>AVERAGE(S58:T58:U58)</f>
        <v>-8.8140069991251071</v>
      </c>
      <c r="AF58" s="246">
        <f t="shared" ref="AF58:AF60" si="38">AVERAGE(V58:Z58)</f>
        <v>-8.1666666666666661</v>
      </c>
      <c r="AG58" s="309">
        <f t="shared" ref="AG58:AG60" si="39">AVERAGE(AA58:AC58)</f>
        <v>-7.8</v>
      </c>
      <c r="AH58" s="241">
        <f>AVERAGE(P58:AC58)</f>
        <v>-7.4877531217688684</v>
      </c>
      <c r="AI58" s="267"/>
    </row>
    <row r="59" spans="1:358" ht="51" hidden="1" customHeight="1" outlineLevel="1">
      <c r="A59" s="47" t="s">
        <v>25</v>
      </c>
      <c r="B59" s="78">
        <f t="shared" ref="B59" si="40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189">
        <v>-8.8989195100612477</v>
      </c>
      <c r="V59" s="189">
        <v>-8.5</v>
      </c>
      <c r="W59" s="185" t="s">
        <v>43</v>
      </c>
      <c r="X59" s="186" t="s">
        <v>43</v>
      </c>
      <c r="Y59" s="189">
        <v>-8.5</v>
      </c>
      <c r="Z59" s="189">
        <v>-8</v>
      </c>
      <c r="AA59" s="189">
        <v>-8</v>
      </c>
      <c r="AB59" s="189">
        <v>-8</v>
      </c>
      <c r="AC59" s="297">
        <v>-8</v>
      </c>
      <c r="AD59" s="308">
        <f>AVERAGE(P59:R59)</f>
        <v>-5.1703388212837007</v>
      </c>
      <c r="AE59" s="246">
        <f>AVERAGE(S59:T59:U59)</f>
        <v>-8.913646835812191</v>
      </c>
      <c r="AF59" s="246">
        <f t="shared" si="38"/>
        <v>-8.3333333333333339</v>
      </c>
      <c r="AG59" s="309">
        <f t="shared" si="39"/>
        <v>-8</v>
      </c>
      <c r="AH59" s="241">
        <f>AVERAGE(P59:AC59)</f>
        <v>-7.6043297476073066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189">
        <v>-8.9</v>
      </c>
      <c r="V60" s="189">
        <v>-9</v>
      </c>
      <c r="W60" s="185" t="s">
        <v>205</v>
      </c>
      <c r="X60" s="186"/>
      <c r="Y60" s="189">
        <v>-9</v>
      </c>
      <c r="Z60" s="189">
        <v>-9</v>
      </c>
      <c r="AA60" s="189">
        <v>-8.6999999999999993</v>
      </c>
      <c r="AB60" s="189">
        <v>-8.23</v>
      </c>
      <c r="AC60" s="297">
        <v>-8</v>
      </c>
      <c r="AD60" s="308">
        <f>AVERAGE(P60:R60)</f>
        <v>-5.1703388212837007</v>
      </c>
      <c r="AE60" s="246">
        <f>AVERAGE(S60:T60:U60)</f>
        <v>-8.9140069991251085</v>
      </c>
      <c r="AF60" s="246">
        <f t="shared" si="38"/>
        <v>-9</v>
      </c>
      <c r="AG60" s="309">
        <f t="shared" si="39"/>
        <v>-8.31</v>
      </c>
      <c r="AH60" s="241">
        <f>AVERAGE(P60:AC60)</f>
        <v>-7.8485864551022031</v>
      </c>
      <c r="AI60" s="267"/>
    </row>
    <row r="61" spans="1:358" s="62" customFormat="1" ht="19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41">AVERAGE(K57:K60)</f>
        <v>-8.1550000000000011</v>
      </c>
      <c r="L61" s="59">
        <f t="shared" si="41"/>
        <v>-8.1550000000000011</v>
      </c>
      <c r="M61" s="59">
        <f t="shared" si="41"/>
        <v>-8.33</v>
      </c>
      <c r="N61" s="59">
        <f t="shared" si="41"/>
        <v>-6.9175000000000004</v>
      </c>
      <c r="O61" s="59">
        <f t="shared" si="41"/>
        <v>-6.7333333333333334</v>
      </c>
      <c r="P61" s="59">
        <f>AVERAGE(P57:P60)</f>
        <v>-3.13</v>
      </c>
      <c r="Q61" s="59">
        <f t="shared" si="41"/>
        <v>-5.08</v>
      </c>
      <c r="R61" s="59">
        <f t="shared" si="41"/>
        <v>-7.3010164638511021</v>
      </c>
      <c r="S61" s="59">
        <f t="shared" si="41"/>
        <v>-8.77</v>
      </c>
      <c r="T61" s="59">
        <f>AVERAGE(T57:T60)</f>
        <v>-9.0720209973753256</v>
      </c>
      <c r="U61" s="59">
        <f t="shared" si="41"/>
        <v>-8.7747298775153109</v>
      </c>
      <c r="V61" s="59">
        <f t="shared" si="41"/>
        <v>-8.375</v>
      </c>
      <c r="W61" s="369"/>
      <c r="X61" s="369"/>
      <c r="Y61" s="59">
        <f t="shared" si="41"/>
        <v>-8.375</v>
      </c>
      <c r="Z61" s="59">
        <f t="shared" si="41"/>
        <v>-8.375</v>
      </c>
      <c r="AA61" s="59">
        <f t="shared" si="41"/>
        <v>-8.1125000000000007</v>
      </c>
      <c r="AB61" s="59">
        <f t="shared" si="41"/>
        <v>-7.9450000000000003</v>
      </c>
      <c r="AC61" s="234">
        <f t="shared" si="41"/>
        <v>-7.7750000000000004</v>
      </c>
      <c r="AD61" s="310">
        <f t="shared" si="41"/>
        <v>-5.1703388212837007</v>
      </c>
      <c r="AE61" s="59">
        <f t="shared" si="41"/>
        <v>-8.8722502916302126</v>
      </c>
      <c r="AF61" s="59">
        <f t="shared" si="41"/>
        <v>-8.375</v>
      </c>
      <c r="AG61" s="311">
        <f t="shared" si="41"/>
        <v>-7.9441666666666677</v>
      </c>
      <c r="AH61" s="242">
        <f>AVERAGE(AH57:AH60)</f>
        <v>-7.590438944895145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42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-8.8000000000000007</v>
      </c>
      <c r="V62" s="164">
        <v>-8.25</v>
      </c>
      <c r="W62" s="370"/>
      <c r="X62" s="370"/>
      <c r="Y62" s="164">
        <v>-8.25</v>
      </c>
      <c r="Z62" s="164">
        <v>-8.25</v>
      </c>
      <c r="AA62" s="164">
        <v>-8</v>
      </c>
      <c r="AB62" s="164">
        <v>-7.9</v>
      </c>
      <c r="AC62" s="229">
        <v>-7.8</v>
      </c>
      <c r="AD62" s="312">
        <f>AVERAGE(P62:R62)</f>
        <v>-5.1703388212837007</v>
      </c>
      <c r="AE62" s="164">
        <f>AVERAGE(S62:T62:U62)</f>
        <v>-8.8806736657917753</v>
      </c>
      <c r="AF62" s="164">
        <f>AVERAGE(V62:Z62)</f>
        <v>-8.25</v>
      </c>
      <c r="AG62" s="313">
        <f>AVERAGE(AA62:AC62)</f>
        <v>-7.8999999999999995</v>
      </c>
      <c r="AH62" s="242">
        <f>AVERAGE(P62:AC62)</f>
        <v>-7.5502531217688693</v>
      </c>
      <c r="AI62" s="275">
        <v>-6.5</v>
      </c>
    </row>
    <row r="63" spans="1:358" ht="21.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371"/>
      <c r="X63" s="371"/>
      <c r="Y63" s="23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idden="1" outlineLevel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5">
        <v>2.09</v>
      </c>
      <c r="V64" s="39"/>
      <c r="W64" s="384"/>
      <c r="X64" s="384"/>
      <c r="Y64" s="38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75"/>
      <c r="B65" s="676"/>
      <c r="C65" s="676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373"/>
      <c r="X65" s="374"/>
      <c r="Y65" s="4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189">
        <v>2.1</v>
      </c>
      <c r="V66" s="189">
        <v>2.8</v>
      </c>
      <c r="W66" s="255"/>
      <c r="X66" s="255"/>
      <c r="Y66" s="189">
        <v>3</v>
      </c>
      <c r="Z66" s="189">
        <v>3</v>
      </c>
      <c r="AA66" s="189">
        <v>3.1</v>
      </c>
      <c r="AB66" s="189">
        <v>3.1</v>
      </c>
      <c r="AC66" s="297">
        <v>3.1</v>
      </c>
      <c r="AD66" s="308">
        <f>AVERAGE(P66:R66)</f>
        <v>3.3432575757575762</v>
      </c>
      <c r="AE66" s="246">
        <f>AVERAGE(S66:T66:U66)</f>
        <v>2.3855595238095226</v>
      </c>
      <c r="AF66" s="246">
        <f>AVERAGE(V66:Z66)</f>
        <v>2.9333333333333336</v>
      </c>
      <c r="AG66" s="309">
        <f>AVERAGE(AA66:AC66)</f>
        <v>3.1</v>
      </c>
      <c r="AH66" s="241">
        <f>AVERAGE(P66:AC66)</f>
        <v>2.9405376082251085</v>
      </c>
      <c r="AI66" s="267"/>
    </row>
    <row r="67" spans="1:358" ht="48.75" hidden="1" customHeight="1" outlineLevel="1">
      <c r="A67" s="47" t="s">
        <v>24</v>
      </c>
      <c r="B67" s="78">
        <f t="shared" ref="B67" si="43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189">
        <v>2.1</v>
      </c>
      <c r="V67" s="189">
        <v>2.8</v>
      </c>
      <c r="W67" s="255"/>
      <c r="X67" s="255"/>
      <c r="Y67" s="189">
        <v>3</v>
      </c>
      <c r="Z67" s="189">
        <v>3</v>
      </c>
      <c r="AA67" s="189">
        <v>2.7</v>
      </c>
      <c r="AB67" s="189">
        <v>2.8</v>
      </c>
      <c r="AC67" s="297">
        <v>2.8</v>
      </c>
      <c r="AD67" s="308">
        <f>AVERAGE(P67:R67)</f>
        <v>3.3432575757575762</v>
      </c>
      <c r="AE67" s="246">
        <f>AVERAGE(S67:T67:U67)</f>
        <v>2.3855595238095226</v>
      </c>
      <c r="AF67" s="246">
        <f t="shared" ref="AF67:AF69" si="44">AVERAGE(V67:Z67)</f>
        <v>2.9333333333333336</v>
      </c>
      <c r="AG67" s="309">
        <f t="shared" ref="AG67:AG69" si="45">AVERAGE(AA67:AC67)</f>
        <v>2.7666666666666671</v>
      </c>
      <c r="AH67" s="241">
        <f>AVERAGE(P67:AC67)</f>
        <v>2.8572042748917745</v>
      </c>
      <c r="AI67" s="267"/>
    </row>
    <row r="68" spans="1:358" ht="48.75" hidden="1" customHeight="1" outlineLevel="1">
      <c r="A68" s="47" t="s">
        <v>25</v>
      </c>
      <c r="B68" s="78">
        <f t="shared" ref="B68" si="46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189">
        <v>2.0944444444444343</v>
      </c>
      <c r="V68" s="189">
        <v>2.9</v>
      </c>
      <c r="W68" s="185" t="s">
        <v>124</v>
      </c>
      <c r="X68" s="186" t="s">
        <v>124</v>
      </c>
      <c r="Y68" s="189">
        <v>3.2</v>
      </c>
      <c r="Z68" s="189">
        <v>3.2</v>
      </c>
      <c r="AA68" s="189">
        <v>3.1</v>
      </c>
      <c r="AB68" s="189">
        <v>3</v>
      </c>
      <c r="AC68" s="297">
        <v>3</v>
      </c>
      <c r="AD68" s="308">
        <f>AVERAGE(P68:R68)</f>
        <v>3.3432575757575762</v>
      </c>
      <c r="AE68" s="246">
        <f>AVERAGE(S68:T68:U68)</f>
        <v>2.3837076719576671</v>
      </c>
      <c r="AF68" s="246">
        <f t="shared" si="44"/>
        <v>3.1</v>
      </c>
      <c r="AG68" s="309">
        <f t="shared" si="45"/>
        <v>3.0333333333333332</v>
      </c>
      <c r="AH68" s="241">
        <f>AVERAGE(P68:AC68)</f>
        <v>2.9650746452621441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189">
        <v>3.1</v>
      </c>
      <c r="V69" s="189">
        <v>3.1</v>
      </c>
      <c r="W69" s="256"/>
      <c r="X69" s="256"/>
      <c r="Y69" s="189">
        <v>2.7</v>
      </c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2.7188928571428561</v>
      </c>
      <c r="AF69" s="246">
        <f t="shared" si="44"/>
        <v>2.8333333333333335</v>
      </c>
      <c r="AG69" s="309">
        <f t="shared" si="45"/>
        <v>2.7000000000000006</v>
      </c>
      <c r="AH69" s="241">
        <f>AVERAGE(P69:AC69)</f>
        <v>2.8988709415584419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7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8">AVERAGE(S66:S69)</f>
        <v>2.4500000000000002</v>
      </c>
      <c r="T70" s="59">
        <f>AVERAGE(T66:T69)</f>
        <v>2.6066785714285672</v>
      </c>
      <c r="U70" s="59">
        <f t="shared" si="48"/>
        <v>2.3486111111111088</v>
      </c>
      <c r="V70" s="59">
        <f t="shared" si="48"/>
        <v>2.9</v>
      </c>
      <c r="W70" s="60"/>
      <c r="X70" s="60"/>
      <c r="Y70" s="59">
        <f t="shared" si="48"/>
        <v>2.9749999999999996</v>
      </c>
      <c r="Z70" s="59">
        <f t="shared" si="48"/>
        <v>2.9749999999999996</v>
      </c>
      <c r="AA70" s="59">
        <f t="shared" si="48"/>
        <v>2.9000000000000004</v>
      </c>
      <c r="AB70" s="59">
        <f t="shared" si="48"/>
        <v>2.9000000000000004</v>
      </c>
      <c r="AC70" s="234">
        <f t="shared" si="48"/>
        <v>2.9000000000000004</v>
      </c>
      <c r="AD70" s="310">
        <f t="shared" si="48"/>
        <v>3.3432575757575762</v>
      </c>
      <c r="AE70" s="59">
        <f>AVERAGE(AE66:AE69)</f>
        <v>2.4684298941798923</v>
      </c>
      <c r="AF70" s="59">
        <f t="shared" ref="AF70:AG70" si="49">AVERAGE(AF66:AF69)</f>
        <v>2.95</v>
      </c>
      <c r="AG70" s="311">
        <f t="shared" si="49"/>
        <v>2.9000000000000004</v>
      </c>
      <c r="AH70" s="242">
        <f>AVERAGE(AH66:AH69)</f>
        <v>2.9154218674843673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50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2.1</v>
      </c>
      <c r="V71" s="164">
        <v>2.9</v>
      </c>
      <c r="W71" s="164"/>
      <c r="X71" s="164"/>
      <c r="Y71" s="164">
        <v>3</v>
      </c>
      <c r="Z71" s="164">
        <v>3</v>
      </c>
      <c r="AA71" s="164">
        <v>2.9</v>
      </c>
      <c r="AB71" s="164">
        <v>2.9</v>
      </c>
      <c r="AC71" s="229">
        <v>2.9</v>
      </c>
      <c r="AD71" s="312">
        <f>AVERAGE(P71:R71)</f>
        <v>3.3432575757575762</v>
      </c>
      <c r="AE71" s="164">
        <f>AVERAGE(S71:T71:U71)</f>
        <v>2.3855595238095226</v>
      </c>
      <c r="AF71" s="164">
        <f>AVERAGE(V71:Z71)</f>
        <v>2.9666666666666668</v>
      </c>
      <c r="AG71" s="313">
        <f>AVERAGE(AA71:AC71)</f>
        <v>2.9</v>
      </c>
      <c r="AH71" s="242">
        <f>AVERAGE(P71:AC71)</f>
        <v>2.8988709415584411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"/>
      <c r="Q72" s="1"/>
      <c r="R72" s="126"/>
      <c r="S72" s="126"/>
      <c r="T72" s="126"/>
      <c r="U72" s="126"/>
      <c r="V72" s="126"/>
      <c r="W72" s="125"/>
      <c r="X72" s="125"/>
      <c r="Y72" s="126"/>
      <c r="Z72" s="126"/>
      <c r="AA72" s="126"/>
      <c r="AB72" s="126"/>
      <c r="AC72" s="126"/>
      <c r="AD72" s="126"/>
      <c r="AE72" s="126"/>
      <c r="AF72" s="126"/>
      <c r="AG72" s="12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30"/>
      <c r="X73" s="330"/>
      <c r="Y73" s="329" t="s">
        <v>68</v>
      </c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51">O15</f>
        <v>0</v>
      </c>
      <c r="P74" s="36">
        <f t="shared" si="51"/>
        <v>26.81</v>
      </c>
      <c r="Q74" s="36">
        <f t="shared" si="51"/>
        <v>29.38</v>
      </c>
      <c r="R74" s="36">
        <f t="shared" si="51"/>
        <v>35.141818181818174</v>
      </c>
      <c r="S74" s="36">
        <f t="shared" si="51"/>
        <v>39.03</v>
      </c>
      <c r="T74" s="36">
        <f t="shared" si="51"/>
        <v>44.268571428571427</v>
      </c>
      <c r="U74" s="36">
        <f t="shared" si="51"/>
        <v>46.4</v>
      </c>
      <c r="V74" s="36">
        <f t="shared" si="51"/>
        <v>45</v>
      </c>
      <c r="W74" s="36"/>
      <c r="X74" s="36"/>
      <c r="Y74" s="36">
        <f t="shared" si="51"/>
        <v>45</v>
      </c>
      <c r="Z74" s="36">
        <f t="shared" si="51"/>
        <v>45.4</v>
      </c>
      <c r="AA74" s="36">
        <f t="shared" si="51"/>
        <v>46.5</v>
      </c>
      <c r="AB74" s="36">
        <f t="shared" si="51"/>
        <v>47</v>
      </c>
      <c r="AC74" s="322">
        <f t="shared" si="51"/>
        <v>47.5</v>
      </c>
      <c r="AD74" s="319">
        <f t="shared" si="51"/>
        <v>30.443939393939388</v>
      </c>
      <c r="AE74" s="258">
        <f t="shared" si="51"/>
        <v>43.232857142857142</v>
      </c>
      <c r="AF74" s="258">
        <f t="shared" si="51"/>
        <v>45.133333333333333</v>
      </c>
      <c r="AG74" s="258">
        <f t="shared" si="51"/>
        <v>47</v>
      </c>
      <c r="AH74" s="334">
        <f t="shared" ref="AH74:AH80" si="52">AVERAGE(P74:AC74)</f>
        <v>41.452532467532464</v>
      </c>
    </row>
    <row r="75" spans="1:358" ht="18.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53">O15+O24</f>
        <v>6</v>
      </c>
      <c r="P75" s="36">
        <f t="shared" si="53"/>
        <v>36.599999999999994</v>
      </c>
      <c r="Q75" s="36">
        <f t="shared" si="53"/>
        <v>33.942777777777778</v>
      </c>
      <c r="R75" s="36">
        <f t="shared" si="53"/>
        <v>39.004090909090912</v>
      </c>
      <c r="S75" s="36">
        <f t="shared" si="53"/>
        <v>42.36</v>
      </c>
      <c r="T75" s="36">
        <f t="shared" si="53"/>
        <v>44.036666666666669</v>
      </c>
      <c r="U75" s="36">
        <f t="shared" si="53"/>
        <v>45.6</v>
      </c>
      <c r="V75" s="36">
        <f t="shared" si="53"/>
        <v>44.5</v>
      </c>
      <c r="W75" s="36"/>
      <c r="X75" s="36"/>
      <c r="Y75" s="36">
        <f t="shared" si="53"/>
        <v>45</v>
      </c>
      <c r="Z75" s="36">
        <f t="shared" si="53"/>
        <v>45.699999999999996</v>
      </c>
      <c r="AA75" s="36">
        <f t="shared" si="53"/>
        <v>47.5</v>
      </c>
      <c r="AB75" s="36">
        <f t="shared" si="53"/>
        <v>48.5</v>
      </c>
      <c r="AC75" s="322">
        <f t="shared" si="53"/>
        <v>49</v>
      </c>
      <c r="AD75" s="319">
        <f t="shared" si="53"/>
        <v>36.515622895622897</v>
      </c>
      <c r="AE75" s="258">
        <f t="shared" si="53"/>
        <v>43.998888888888892</v>
      </c>
      <c r="AF75" s="258">
        <f t="shared" si="53"/>
        <v>45.066666666666663</v>
      </c>
      <c r="AG75" s="258">
        <f t="shared" si="53"/>
        <v>48.333333333333336</v>
      </c>
      <c r="AH75" s="334">
        <f t="shared" si="52"/>
        <v>43.478627946127943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54">O33+O15</f>
        <v>17.5</v>
      </c>
      <c r="P76" s="36">
        <f t="shared" si="54"/>
        <v>50.42</v>
      </c>
      <c r="Q76" s="36">
        <f t="shared" si="54"/>
        <v>44.58</v>
      </c>
      <c r="R76" s="36">
        <f t="shared" si="54"/>
        <v>52.771818181818183</v>
      </c>
      <c r="S76" s="36">
        <f t="shared" si="54"/>
        <v>54.59</v>
      </c>
      <c r="T76" s="36">
        <f t="shared" si="54"/>
        <v>59.165238095238095</v>
      </c>
      <c r="U76" s="36">
        <f t="shared" si="54"/>
        <v>59.4</v>
      </c>
      <c r="V76" s="36">
        <f t="shared" si="54"/>
        <v>58.5</v>
      </c>
      <c r="W76" s="36"/>
      <c r="X76" s="36"/>
      <c r="Y76" s="36">
        <f t="shared" si="54"/>
        <v>58</v>
      </c>
      <c r="Z76" s="36">
        <f t="shared" si="54"/>
        <v>57.4</v>
      </c>
      <c r="AA76" s="36">
        <f t="shared" si="54"/>
        <v>59</v>
      </c>
      <c r="AB76" s="36">
        <f t="shared" si="54"/>
        <v>60</v>
      </c>
      <c r="AC76" s="322">
        <f t="shared" si="54"/>
        <v>60.5</v>
      </c>
      <c r="AD76" s="319">
        <f t="shared" si="54"/>
        <v>49.257272727272721</v>
      </c>
      <c r="AE76" s="258">
        <f t="shared" si="54"/>
        <v>57.718412698412699</v>
      </c>
      <c r="AF76" s="258">
        <f t="shared" si="54"/>
        <v>57.966666666666669</v>
      </c>
      <c r="AG76" s="258">
        <f t="shared" si="54"/>
        <v>59.833333333333336</v>
      </c>
      <c r="AH76" s="334">
        <f t="shared" si="52"/>
        <v>56.193921356421356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55">O42+O15</f>
        <v>15.6</v>
      </c>
      <c r="P77" s="36">
        <f t="shared" si="55"/>
        <v>37.909999999999997</v>
      </c>
      <c r="Q77" s="36">
        <f t="shared" si="55"/>
        <v>41</v>
      </c>
      <c r="R77" s="36">
        <f t="shared" si="55"/>
        <v>47.38</v>
      </c>
      <c r="S77" s="36">
        <f t="shared" si="55"/>
        <v>49.53</v>
      </c>
      <c r="T77" s="36">
        <f t="shared" si="55"/>
        <v>55.170000000000009</v>
      </c>
      <c r="U77" s="36">
        <f t="shared" si="55"/>
        <v>58.3</v>
      </c>
      <c r="V77" s="36">
        <f t="shared" si="55"/>
        <v>56.4</v>
      </c>
      <c r="W77" s="36"/>
      <c r="X77" s="36"/>
      <c r="Y77" s="36">
        <f t="shared" si="55"/>
        <v>56</v>
      </c>
      <c r="Z77" s="36">
        <f t="shared" si="55"/>
        <v>56.4</v>
      </c>
      <c r="AA77" s="36">
        <f t="shared" si="55"/>
        <v>58.5</v>
      </c>
      <c r="AB77" s="36">
        <f t="shared" si="55"/>
        <v>60.4</v>
      </c>
      <c r="AC77" s="322">
        <f t="shared" si="55"/>
        <v>61.2</v>
      </c>
      <c r="AD77" s="319">
        <f t="shared" si="55"/>
        <v>42.096666666666664</v>
      </c>
      <c r="AE77" s="258">
        <f t="shared" si="55"/>
        <v>54.333333333333336</v>
      </c>
      <c r="AF77" s="258">
        <f t="shared" si="55"/>
        <v>56.266666666666666</v>
      </c>
      <c r="AG77" s="258">
        <f t="shared" si="55"/>
        <v>60.033333333333331</v>
      </c>
      <c r="AH77" s="334">
        <f t="shared" si="52"/>
        <v>53.182499999999997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56">O53+O15</f>
        <v>14.15</v>
      </c>
      <c r="P78" s="36">
        <f t="shared" si="56"/>
        <v>36.15</v>
      </c>
      <c r="Q78" s="36">
        <f t="shared" si="56"/>
        <v>38.54</v>
      </c>
      <c r="R78" s="36">
        <f t="shared" si="56"/>
        <v>45.517727272727271</v>
      </c>
      <c r="S78" s="36">
        <f t="shared" si="56"/>
        <v>48.08</v>
      </c>
      <c r="T78" s="36">
        <f t="shared" si="56"/>
        <v>54.851904761904777</v>
      </c>
      <c r="U78" s="36">
        <f t="shared" si="56"/>
        <v>58.099999999999994</v>
      </c>
      <c r="V78" s="36">
        <f t="shared" si="56"/>
        <v>56.1</v>
      </c>
      <c r="W78" s="36"/>
      <c r="X78" s="36"/>
      <c r="Y78" s="36">
        <f t="shared" si="56"/>
        <v>55.5</v>
      </c>
      <c r="Z78" s="36">
        <f t="shared" si="56"/>
        <v>55.9</v>
      </c>
      <c r="AA78" s="36">
        <f t="shared" si="56"/>
        <v>57.8</v>
      </c>
      <c r="AB78" s="36">
        <f t="shared" si="56"/>
        <v>59.4</v>
      </c>
      <c r="AC78" s="322">
        <f t="shared" si="56"/>
        <v>60</v>
      </c>
      <c r="AD78" s="319">
        <f t="shared" si="56"/>
        <v>40.069242424242418</v>
      </c>
      <c r="AE78" s="258">
        <f t="shared" si="56"/>
        <v>53.677301587301592</v>
      </c>
      <c r="AF78" s="258">
        <f t="shared" si="56"/>
        <v>55.833333333333336</v>
      </c>
      <c r="AG78" s="258">
        <f t="shared" si="56"/>
        <v>59.06666666666667</v>
      </c>
      <c r="AH78" s="334">
        <f t="shared" si="52"/>
        <v>52.161636002886006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7">(O62+O15)*6.35</f>
        <v>-42.756666666666668</v>
      </c>
      <c r="P79" s="134">
        <f t="shared" si="57"/>
        <v>150.36799999999999</v>
      </c>
      <c r="Q79" s="134">
        <f t="shared" si="57"/>
        <v>154.30499999999998</v>
      </c>
      <c r="R79" s="134">
        <f t="shared" si="57"/>
        <v>176.7890909090909</v>
      </c>
      <c r="S79" s="134">
        <f t="shared" si="57"/>
        <v>192.15100000000001</v>
      </c>
      <c r="T79" s="134">
        <f t="shared" si="57"/>
        <v>223.49809523809523</v>
      </c>
      <c r="U79" s="134">
        <f t="shared" si="57"/>
        <v>238.75999999999996</v>
      </c>
      <c r="V79" s="134">
        <f t="shared" si="57"/>
        <v>233.36249999999998</v>
      </c>
      <c r="W79" s="134"/>
      <c r="X79" s="134"/>
      <c r="Y79" s="134">
        <f t="shared" si="57"/>
        <v>233.36249999999998</v>
      </c>
      <c r="Z79" s="134">
        <f t="shared" si="57"/>
        <v>235.90249999999997</v>
      </c>
      <c r="AA79" s="134">
        <f t="shared" si="57"/>
        <v>244.47499999999999</v>
      </c>
      <c r="AB79" s="134">
        <f t="shared" si="57"/>
        <v>248.285</v>
      </c>
      <c r="AC79" s="323">
        <f t="shared" si="57"/>
        <v>252.095</v>
      </c>
      <c r="AD79" s="320">
        <f t="shared" si="57"/>
        <v>160.48736363636363</v>
      </c>
      <c r="AE79" s="259">
        <f t="shared" si="57"/>
        <v>218.13636507936508</v>
      </c>
      <c r="AF79" s="259">
        <f t="shared" si="57"/>
        <v>234.20916666666665</v>
      </c>
      <c r="AG79" s="259">
        <f t="shared" si="57"/>
        <v>248.285</v>
      </c>
      <c r="AH79" s="334">
        <f t="shared" si="52"/>
        <v>215.2794738455988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8">K70</f>
        <v>1.2</v>
      </c>
      <c r="L80" s="338">
        <f t="shared" si="58"/>
        <v>1.5</v>
      </c>
      <c r="M80" s="338">
        <f>M70</f>
        <v>1.625</v>
      </c>
      <c r="N80" s="338">
        <f t="shared" ref="N80:AG80" si="59">N71+N15</f>
        <v>47.85</v>
      </c>
      <c r="O80" s="338">
        <f t="shared" si="59"/>
        <v>2.0666666666666669</v>
      </c>
      <c r="P80" s="338">
        <f t="shared" si="59"/>
        <v>30.31</v>
      </c>
      <c r="Q80" s="338">
        <f t="shared" si="59"/>
        <v>32.56</v>
      </c>
      <c r="R80" s="338">
        <f t="shared" si="59"/>
        <v>38.491590909090903</v>
      </c>
      <c r="S80" s="338">
        <f t="shared" si="59"/>
        <v>41.480000000000004</v>
      </c>
      <c r="T80" s="338">
        <f t="shared" si="59"/>
        <v>46.875249999999994</v>
      </c>
      <c r="U80" s="338">
        <f t="shared" si="59"/>
        <v>48.5</v>
      </c>
      <c r="V80" s="338">
        <f t="shared" si="59"/>
        <v>47.9</v>
      </c>
      <c r="W80" s="338"/>
      <c r="X80" s="338"/>
      <c r="Y80" s="338">
        <f t="shared" si="59"/>
        <v>48</v>
      </c>
      <c r="Z80" s="338">
        <f t="shared" si="59"/>
        <v>48.4</v>
      </c>
      <c r="AA80" s="338">
        <f t="shared" si="59"/>
        <v>49.4</v>
      </c>
      <c r="AB80" s="338">
        <f t="shared" si="59"/>
        <v>49.9</v>
      </c>
      <c r="AC80" s="339">
        <f t="shared" si="59"/>
        <v>50.4</v>
      </c>
      <c r="AD80" s="340">
        <f t="shared" si="59"/>
        <v>33.787196969696964</v>
      </c>
      <c r="AE80" s="341">
        <f t="shared" si="59"/>
        <v>45.618416666666661</v>
      </c>
      <c r="AF80" s="341">
        <f t="shared" si="59"/>
        <v>48.1</v>
      </c>
      <c r="AG80" s="341">
        <f t="shared" si="59"/>
        <v>49.9</v>
      </c>
      <c r="AH80" s="342">
        <f t="shared" si="52"/>
        <v>44.351403409090899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135"/>
      <c r="Q81" s="135"/>
      <c r="R81" s="137"/>
      <c r="S81" s="137"/>
      <c r="T81" s="137"/>
      <c r="U81" s="137"/>
      <c r="V81" s="137"/>
      <c r="W81" s="136"/>
      <c r="X81" s="136"/>
      <c r="Y81" s="137"/>
      <c r="Z81" s="137"/>
      <c r="AA81" s="137"/>
      <c r="AB81" s="137"/>
      <c r="AC81" s="137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9.5" customHeight="1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30"/>
      <c r="X82" s="330"/>
      <c r="Y82" s="329" t="s">
        <v>68</v>
      </c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9.5" customHeight="1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0">F74</f>
        <v>0</v>
      </c>
      <c r="G83" s="143">
        <f>G74</f>
        <v>56.18</v>
      </c>
      <c r="H83" s="143">
        <f t="shared" ref="H83" si="61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62">K74</f>
        <v>48.3</v>
      </c>
      <c r="L83" s="143">
        <f t="shared" si="62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63">R74</f>
        <v>35.141818181818174</v>
      </c>
      <c r="S83" s="143">
        <f t="shared" si="63"/>
        <v>39.03</v>
      </c>
      <c r="T83" s="143">
        <f>T74</f>
        <v>44.268571428571427</v>
      </c>
      <c r="U83" s="143">
        <f t="shared" si="63"/>
        <v>46.4</v>
      </c>
      <c r="V83" s="143">
        <f t="shared" si="63"/>
        <v>45</v>
      </c>
      <c r="W83" s="361"/>
      <c r="X83" s="361"/>
      <c r="Y83" s="143">
        <f t="shared" si="63"/>
        <v>45</v>
      </c>
      <c r="Z83" s="143">
        <f t="shared" si="63"/>
        <v>45.4</v>
      </c>
      <c r="AA83" s="143">
        <f t="shared" si="63"/>
        <v>46.5</v>
      </c>
      <c r="AB83" s="143">
        <f t="shared" si="63"/>
        <v>47</v>
      </c>
      <c r="AC83" s="353">
        <f t="shared" si="63"/>
        <v>47.5</v>
      </c>
      <c r="AD83" s="321">
        <f t="shared" si="63"/>
        <v>30.443939393939388</v>
      </c>
      <c r="AE83" s="260">
        <f t="shared" si="63"/>
        <v>43.232857142857142</v>
      </c>
      <c r="AF83" s="260">
        <f t="shared" si="63"/>
        <v>45.133333333333333</v>
      </c>
      <c r="AG83" s="260">
        <f t="shared" si="63"/>
        <v>47</v>
      </c>
      <c r="AH83" s="334">
        <f t="shared" ref="AH83:AH89" si="64">AVERAGE(P83:AC83)</f>
        <v>41.452532467532464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65">F75-F74</f>
        <v>0</v>
      </c>
      <c r="G84" s="143">
        <f>G75-G74</f>
        <v>-3.0341000000000022</v>
      </c>
      <c r="H84" s="143">
        <f t="shared" ref="H84" si="66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7">K75-K74</f>
        <v>#REF!</v>
      </c>
      <c r="L84" s="143" t="e">
        <f t="shared" si="67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68">R75-R74</f>
        <v>3.8622727272727388</v>
      </c>
      <c r="S84" s="143">
        <f t="shared" si="68"/>
        <v>3.3299999999999983</v>
      </c>
      <c r="T84" s="143">
        <f>T75-T74</f>
        <v>-0.23190476190475806</v>
      </c>
      <c r="U84" s="143">
        <f t="shared" si="68"/>
        <v>-0.79999999999999716</v>
      </c>
      <c r="V84" s="143">
        <f t="shared" si="68"/>
        <v>-0.5</v>
      </c>
      <c r="W84" s="361"/>
      <c r="X84" s="361"/>
      <c r="Y84" s="143">
        <f t="shared" si="68"/>
        <v>0</v>
      </c>
      <c r="Z84" s="143">
        <f t="shared" si="68"/>
        <v>0.29999999999999716</v>
      </c>
      <c r="AA84" s="143">
        <f t="shared" si="68"/>
        <v>1</v>
      </c>
      <c r="AB84" s="143">
        <f t="shared" si="68"/>
        <v>1.5</v>
      </c>
      <c r="AC84" s="353">
        <f t="shared" si="68"/>
        <v>1.5</v>
      </c>
      <c r="AD84" s="321">
        <f t="shared" si="68"/>
        <v>6.0716835016835091</v>
      </c>
      <c r="AE84" s="260">
        <f t="shared" si="68"/>
        <v>0.76603174603175006</v>
      </c>
      <c r="AF84" s="260">
        <f t="shared" si="68"/>
        <v>-6.6666666666669983E-2</v>
      </c>
      <c r="AG84" s="260">
        <f t="shared" si="68"/>
        <v>1.3333333333333357</v>
      </c>
      <c r="AH84" s="334">
        <f t="shared" si="64"/>
        <v>2.0260954785954794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9">F76-F74</f>
        <v>0</v>
      </c>
      <c r="G85" s="143">
        <f>G76-G74</f>
        <v>19.766299999999994</v>
      </c>
      <c r="H85" s="143">
        <f t="shared" ref="H85" si="70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71">K76-K74</f>
        <v>16.482500000000002</v>
      </c>
      <c r="L85" s="143">
        <f t="shared" si="71"/>
        <v>17.249999999999993</v>
      </c>
      <c r="M85" s="143">
        <f t="shared" si="71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72">Q76-Q74</f>
        <v>15.2</v>
      </c>
      <c r="R85" s="143">
        <f>R76-R74</f>
        <v>17.63000000000001</v>
      </c>
      <c r="S85" s="143">
        <f t="shared" ref="S85:AG85" si="73">S76-S74</f>
        <v>15.560000000000002</v>
      </c>
      <c r="T85" s="143">
        <f>T76-T74</f>
        <v>14.896666666666668</v>
      </c>
      <c r="U85" s="143">
        <f t="shared" si="73"/>
        <v>13</v>
      </c>
      <c r="V85" s="143">
        <f t="shared" si="73"/>
        <v>13.5</v>
      </c>
      <c r="W85" s="361"/>
      <c r="X85" s="361"/>
      <c r="Y85" s="143">
        <f t="shared" si="73"/>
        <v>13</v>
      </c>
      <c r="Z85" s="143">
        <f t="shared" si="73"/>
        <v>12</v>
      </c>
      <c r="AA85" s="143">
        <f t="shared" si="73"/>
        <v>12.5</v>
      </c>
      <c r="AB85" s="143">
        <f t="shared" si="73"/>
        <v>13</v>
      </c>
      <c r="AC85" s="353">
        <f t="shared" si="73"/>
        <v>13</v>
      </c>
      <c r="AD85" s="321">
        <f t="shared" si="73"/>
        <v>18.813333333333333</v>
      </c>
      <c r="AE85" s="260">
        <f t="shared" si="73"/>
        <v>14.485555555555557</v>
      </c>
      <c r="AF85" s="260">
        <f t="shared" si="73"/>
        <v>12.833333333333336</v>
      </c>
      <c r="AG85" s="260">
        <f t="shared" si="73"/>
        <v>12.833333333333336</v>
      </c>
      <c r="AH85" s="334">
        <f t="shared" si="64"/>
        <v>14.74138888888889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74">F77-F74</f>
        <v>0</v>
      </c>
      <c r="G86" s="143">
        <f>G77-G74</f>
        <v>9.6289999999999978</v>
      </c>
      <c r="H86" s="143">
        <f t="shared" ref="H86" si="75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76">K77-K74</f>
        <v>13.11</v>
      </c>
      <c r="L86" s="143">
        <f t="shared" si="76"/>
        <v>13.435000000000002</v>
      </c>
      <c r="M86" s="143">
        <f t="shared" si="76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77">R77-R74</f>
        <v>12.238181818181829</v>
      </c>
      <c r="S86" s="143">
        <f t="shared" si="77"/>
        <v>10.5</v>
      </c>
      <c r="T86" s="143">
        <f>T77-T74</f>
        <v>10.901428571428582</v>
      </c>
      <c r="U86" s="143">
        <f t="shared" si="77"/>
        <v>11.899999999999999</v>
      </c>
      <c r="V86" s="143">
        <f t="shared" si="77"/>
        <v>11.399999999999999</v>
      </c>
      <c r="W86" s="361"/>
      <c r="X86" s="361"/>
      <c r="Y86" s="143">
        <f t="shared" si="77"/>
        <v>11</v>
      </c>
      <c r="Z86" s="143">
        <f t="shared" si="77"/>
        <v>11</v>
      </c>
      <c r="AA86" s="143">
        <f t="shared" si="77"/>
        <v>12</v>
      </c>
      <c r="AB86" s="143">
        <f t="shared" si="77"/>
        <v>13.399999999999999</v>
      </c>
      <c r="AC86" s="353">
        <f t="shared" si="77"/>
        <v>13.700000000000003</v>
      </c>
      <c r="AD86" s="321">
        <f t="shared" si="77"/>
        <v>11.652727272727276</v>
      </c>
      <c r="AE86" s="260">
        <f t="shared" si="77"/>
        <v>11.100476190476193</v>
      </c>
      <c r="AF86" s="260">
        <f t="shared" si="77"/>
        <v>11.133333333333333</v>
      </c>
      <c r="AG86" s="260">
        <f t="shared" si="77"/>
        <v>13.033333333333331</v>
      </c>
      <c r="AH86" s="334">
        <f t="shared" si="64"/>
        <v>11.729967532467535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8">F78-F74</f>
        <v>0</v>
      </c>
      <c r="G87" s="143">
        <f>G78-G74</f>
        <v>8.8899999999999935</v>
      </c>
      <c r="H87" s="143">
        <f t="shared" ref="H87" si="79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0">K78-K74</f>
        <v>13.350000000000001</v>
      </c>
      <c r="L87" s="143">
        <f t="shared" si="80"/>
        <v>13.75</v>
      </c>
      <c r="M87" s="143">
        <f t="shared" si="80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81">R78-R74</f>
        <v>10.375909090909097</v>
      </c>
      <c r="S87" s="143">
        <f t="shared" si="81"/>
        <v>9.0499999999999972</v>
      </c>
      <c r="T87" s="143">
        <f>T78-T74</f>
        <v>10.58333333333335</v>
      </c>
      <c r="U87" s="143">
        <f t="shared" si="81"/>
        <v>11.699999999999996</v>
      </c>
      <c r="V87" s="143">
        <f t="shared" si="81"/>
        <v>11.100000000000001</v>
      </c>
      <c r="W87" s="361"/>
      <c r="X87" s="361"/>
      <c r="Y87" s="143">
        <f t="shared" si="81"/>
        <v>10.5</v>
      </c>
      <c r="Z87" s="143">
        <f t="shared" si="81"/>
        <v>10.5</v>
      </c>
      <c r="AA87" s="143">
        <f t="shared" si="81"/>
        <v>11.299999999999997</v>
      </c>
      <c r="AB87" s="143">
        <f t="shared" si="81"/>
        <v>12.399999999999999</v>
      </c>
      <c r="AC87" s="353">
        <f t="shared" si="81"/>
        <v>12.5</v>
      </c>
      <c r="AD87" s="321">
        <f t="shared" si="81"/>
        <v>9.62530303030303</v>
      </c>
      <c r="AE87" s="260">
        <f t="shared" si="81"/>
        <v>10.44444444444445</v>
      </c>
      <c r="AF87" s="260">
        <f t="shared" si="81"/>
        <v>10.700000000000003</v>
      </c>
      <c r="AG87" s="260">
        <f t="shared" si="81"/>
        <v>12.06666666666667</v>
      </c>
      <c r="AH87" s="334">
        <f t="shared" si="64"/>
        <v>10.709103535353536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82">H79-H74</f>
        <v>-8.9503004558640669</v>
      </c>
      <c r="I88" s="143">
        <f t="shared" si="82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83">O62</f>
        <v>-6.7333333333333334</v>
      </c>
      <c r="P88" s="143">
        <f t="shared" si="83"/>
        <v>-3.13</v>
      </c>
      <c r="Q88" s="143">
        <f t="shared" si="83"/>
        <v>-5.08</v>
      </c>
      <c r="R88" s="143">
        <f t="shared" si="83"/>
        <v>-7.3010164638511021</v>
      </c>
      <c r="S88" s="143">
        <f t="shared" si="83"/>
        <v>-8.77</v>
      </c>
      <c r="T88" s="143">
        <f t="shared" si="83"/>
        <v>-9.0720209973753256</v>
      </c>
      <c r="U88" s="143">
        <f t="shared" si="83"/>
        <v>-8.8000000000000007</v>
      </c>
      <c r="V88" s="143">
        <f t="shared" si="83"/>
        <v>-8.25</v>
      </c>
      <c r="W88" s="143"/>
      <c r="X88" s="143"/>
      <c r="Y88" s="143">
        <f t="shared" si="83"/>
        <v>-8.25</v>
      </c>
      <c r="Z88" s="143">
        <f t="shared" si="83"/>
        <v>-8.25</v>
      </c>
      <c r="AA88" s="143">
        <f t="shared" si="83"/>
        <v>-8</v>
      </c>
      <c r="AB88" s="143">
        <f t="shared" si="83"/>
        <v>-7.9</v>
      </c>
      <c r="AC88" s="353">
        <f t="shared" si="83"/>
        <v>-7.8</v>
      </c>
      <c r="AD88" s="365">
        <f>AD61</f>
        <v>-5.1703388212837007</v>
      </c>
      <c r="AE88" s="260">
        <f>AE61</f>
        <v>-8.8722502916302126</v>
      </c>
      <c r="AF88" s="260">
        <f>AF79-AF74</f>
        <v>189.07583333333332</v>
      </c>
      <c r="AG88" s="358">
        <f>AG79-AG74</f>
        <v>201.285</v>
      </c>
      <c r="AH88" s="334">
        <f t="shared" si="64"/>
        <v>-7.5502531217688693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84">F70</f>
        <v>0</v>
      </c>
      <c r="G89" s="349">
        <f>G70</f>
        <v>0</v>
      </c>
      <c r="H89" s="349">
        <f t="shared" ref="H89" si="85">H70</f>
        <v>0</v>
      </c>
      <c r="I89" s="349">
        <f>I70</f>
        <v>0</v>
      </c>
      <c r="J89" s="349" t="e">
        <f>J70</f>
        <v>#DIV/0!</v>
      </c>
      <c r="K89" s="349">
        <f t="shared" ref="K89:M89" si="86">K70</f>
        <v>1.2</v>
      </c>
      <c r="L89" s="349">
        <f t="shared" si="86"/>
        <v>1.5</v>
      </c>
      <c r="M89" s="349">
        <f t="shared" si="86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87">R80-R74</f>
        <v>3.3497727272727289</v>
      </c>
      <c r="S89" s="349">
        <f t="shared" si="87"/>
        <v>2.4500000000000028</v>
      </c>
      <c r="T89" s="349">
        <f>T80-T74</f>
        <v>2.6066785714285672</v>
      </c>
      <c r="U89" s="349">
        <f t="shared" si="87"/>
        <v>2.1000000000000014</v>
      </c>
      <c r="V89" s="349">
        <f t="shared" si="87"/>
        <v>2.8999999999999986</v>
      </c>
      <c r="W89" s="362"/>
      <c r="X89" s="362"/>
      <c r="Y89" s="349">
        <f t="shared" si="87"/>
        <v>3</v>
      </c>
      <c r="Z89" s="349">
        <f t="shared" si="87"/>
        <v>3</v>
      </c>
      <c r="AA89" s="349">
        <f t="shared" si="87"/>
        <v>2.8999999999999986</v>
      </c>
      <c r="AB89" s="349">
        <f t="shared" si="87"/>
        <v>2.8999999999999986</v>
      </c>
      <c r="AC89" s="354">
        <f t="shared" si="87"/>
        <v>2.8999999999999986</v>
      </c>
      <c r="AD89" s="351">
        <f>AD80-AD74</f>
        <v>3.3432575757575762</v>
      </c>
      <c r="AE89" s="352">
        <f>AE80-AE74</f>
        <v>2.3855595238095191</v>
      </c>
      <c r="AF89" s="352">
        <f>AF80-AF74</f>
        <v>2.9666666666666686</v>
      </c>
      <c r="AG89" s="352">
        <f t="shared" si="87"/>
        <v>2.8999999999999986</v>
      </c>
      <c r="AH89" s="342">
        <f t="shared" si="64"/>
        <v>2.8988709415584411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398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80"/>
      <c r="X90" s="280"/>
      <c r="Y90" s="279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398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5"/>
      <c r="X91" s="285"/>
      <c r="Y91" s="286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398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8">$B$92*$J$92</f>
        <v>-0.6</v>
      </c>
      <c r="L92" s="289">
        <f t="shared" si="88"/>
        <v>-0.6</v>
      </c>
      <c r="M92" s="289">
        <f t="shared" si="88"/>
        <v>-0.6</v>
      </c>
      <c r="N92" s="289">
        <f t="shared" si="88"/>
        <v>-0.6</v>
      </c>
      <c r="O92" s="289">
        <f t="shared" si="88"/>
        <v>-0.6</v>
      </c>
      <c r="P92" s="289">
        <f t="shared" si="88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2"/>
      <c r="X92" s="292"/>
      <c r="Y92" s="291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398"/>
      <c r="B93" s="287">
        <v>0.03</v>
      </c>
      <c r="C93" s="287">
        <v>0.03</v>
      </c>
      <c r="D93" s="288"/>
      <c r="E93" s="288"/>
      <c r="F93" s="289">
        <f t="shared" ref="F93:I96" si="89">$B93*(F75-F$74-1.7)</f>
        <v>-5.0999999999999997E-2</v>
      </c>
      <c r="G93" s="289">
        <f t="shared" si="89"/>
        <v>-0.14202300000000007</v>
      </c>
      <c r="H93" s="289">
        <f t="shared" si="89"/>
        <v>-0.10879736842105259</v>
      </c>
      <c r="I93" s="289">
        <f t="shared" si="89"/>
        <v>-8.1000000000004332E-3</v>
      </c>
      <c r="J93" s="290"/>
      <c r="K93" s="289" t="e">
        <f t="shared" ref="K93:P96" si="90">$B93*(K75-K$74-1.7)</f>
        <v>#REF!</v>
      </c>
      <c r="L93" s="289" t="e">
        <f t="shared" si="90"/>
        <v>#REF!</v>
      </c>
      <c r="M93" s="289">
        <f t="shared" si="90"/>
        <v>-8.2500000000000837E-3</v>
      </c>
      <c r="N93" s="289">
        <f t="shared" si="90"/>
        <v>6.5249999999999989E-2</v>
      </c>
      <c r="O93" s="289">
        <f t="shared" si="90"/>
        <v>0.129</v>
      </c>
      <c r="P93" s="289">
        <f t="shared" si="90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1" t="e">
        <v>#REF!</v>
      </c>
      <c r="W93" s="292"/>
      <c r="X93" s="292"/>
      <c r="Y93" s="291"/>
      <c r="Z93" s="291"/>
      <c r="AA93" s="291"/>
      <c r="AB93" s="291"/>
      <c r="AC93" s="291"/>
      <c r="AD93" s="289">
        <f t="shared" ref="AD93:AG96" si="91">$B93*(AD75-AD$74-1.7)</f>
        <v>0.13115050505050527</v>
      </c>
      <c r="AE93" s="289">
        <f t="shared" si="91"/>
        <v>-2.8019047619047496E-2</v>
      </c>
      <c r="AF93" s="289"/>
      <c r="AG93" s="289">
        <f t="shared" si="91"/>
        <v>-1.0999999999999927E-2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398"/>
      <c r="B94" s="287">
        <v>0.16</v>
      </c>
      <c r="C94" s="287">
        <v>0.16</v>
      </c>
      <c r="D94" s="288"/>
      <c r="E94" s="288"/>
      <c r="F94" s="289">
        <f t="shared" si="89"/>
        <v>-0.27200000000000002</v>
      </c>
      <c r="G94" s="289">
        <f t="shared" si="89"/>
        <v>2.8906079999999994</v>
      </c>
      <c r="H94" s="289">
        <f t="shared" si="89"/>
        <v>2.6582315789473734</v>
      </c>
      <c r="I94" s="289">
        <f t="shared" si="89"/>
        <v>2.9057599999999999</v>
      </c>
      <c r="J94" s="290"/>
      <c r="K94" s="289">
        <f t="shared" si="90"/>
        <v>2.3652000000000006</v>
      </c>
      <c r="L94" s="289">
        <f t="shared" si="90"/>
        <v>2.4879999999999991</v>
      </c>
      <c r="M94" s="289">
        <f t="shared" si="90"/>
        <v>2.3475999999999995</v>
      </c>
      <c r="N94" s="289">
        <f t="shared" si="90"/>
        <v>2.258</v>
      </c>
      <c r="O94" s="289">
        <f t="shared" si="90"/>
        <v>2.528</v>
      </c>
      <c r="P94" s="289">
        <f t="shared" si="90"/>
        <v>3.5056000000000007</v>
      </c>
      <c r="Q94" s="289">
        <f>$B94*(Q76-Q$74-1.7)</f>
        <v>2.16</v>
      </c>
      <c r="R94" s="291"/>
      <c r="S94" s="291"/>
      <c r="T94" s="291"/>
      <c r="U94" s="291"/>
      <c r="V94" s="291" t="e">
        <v>#REF!</v>
      </c>
      <c r="W94" s="292"/>
      <c r="X94" s="292"/>
      <c r="Y94" s="291"/>
      <c r="Z94" s="291"/>
      <c r="AA94" s="291"/>
      <c r="AB94" s="291"/>
      <c r="AC94" s="291"/>
      <c r="AD94" s="289">
        <f t="shared" si="91"/>
        <v>2.7381333333333333</v>
      </c>
      <c r="AE94" s="289">
        <f t="shared" si="91"/>
        <v>2.0456888888888893</v>
      </c>
      <c r="AF94" s="289"/>
      <c r="AG94" s="289">
        <f t="shared" si="91"/>
        <v>1.7813333333333339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9"/>
        <v>-0.255</v>
      </c>
      <c r="G95" s="289">
        <f t="shared" si="89"/>
        <v>1.1893499999999997</v>
      </c>
      <c r="H95" s="289">
        <f t="shared" si="89"/>
        <v>1.1527499999999997</v>
      </c>
      <c r="I95" s="289">
        <f t="shared" si="89"/>
        <v>1.7877749999999986</v>
      </c>
      <c r="J95" s="290"/>
      <c r="K95" s="289">
        <f t="shared" si="90"/>
        <v>1.7115</v>
      </c>
      <c r="L95" s="289">
        <f t="shared" si="90"/>
        <v>1.7602500000000003</v>
      </c>
      <c r="M95" s="289">
        <f t="shared" si="90"/>
        <v>1.7467499999999998</v>
      </c>
      <c r="N95" s="289">
        <f t="shared" si="90"/>
        <v>1.8794999999999995</v>
      </c>
      <c r="O95" s="289">
        <f t="shared" si="90"/>
        <v>2.085</v>
      </c>
      <c r="P95" s="289">
        <f t="shared" si="90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1" t="e">
        <v>#REF!</v>
      </c>
      <c r="W95" s="292"/>
      <c r="X95" s="292"/>
      <c r="Y95" s="291"/>
      <c r="Z95" s="291"/>
      <c r="AA95" s="291"/>
      <c r="AB95" s="291"/>
      <c r="AC95" s="291"/>
      <c r="AD95" s="289">
        <f t="shared" si="91"/>
        <v>1.4929090909090914</v>
      </c>
      <c r="AE95" s="289">
        <f t="shared" si="91"/>
        <v>1.4100714285714291</v>
      </c>
      <c r="AF95" s="289"/>
      <c r="AG95" s="289">
        <f t="shared" si="91"/>
        <v>1.6999999999999997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9"/>
        <v>-0.66300000000000003</v>
      </c>
      <c r="G96" s="289">
        <f t="shared" si="89"/>
        <v>2.8040999999999974</v>
      </c>
      <c r="H96" s="289">
        <f t="shared" si="89"/>
        <v>3.0129552631578984</v>
      </c>
      <c r="I96" s="289">
        <f t="shared" si="89"/>
        <v>4.8371700000000013</v>
      </c>
      <c r="J96" s="290"/>
      <c r="K96" s="289">
        <f t="shared" si="90"/>
        <v>4.5435000000000008</v>
      </c>
      <c r="L96" s="289">
        <f t="shared" si="90"/>
        <v>4.6995000000000005</v>
      </c>
      <c r="M96" s="289">
        <f t="shared" si="90"/>
        <v>4.4343000000000004</v>
      </c>
      <c r="N96" s="289">
        <f t="shared" si="90"/>
        <v>4.8087000000000009</v>
      </c>
      <c r="O96" s="289">
        <f t="shared" si="90"/>
        <v>4.8555000000000001</v>
      </c>
      <c r="P96" s="289">
        <f t="shared" si="90"/>
        <v>2.9796</v>
      </c>
      <c r="Q96" s="289">
        <f>$B96*(Q78-Q$74-1.7)</f>
        <v>2.9094000000000002</v>
      </c>
      <c r="R96" s="291"/>
      <c r="S96" s="291"/>
      <c r="T96" s="291"/>
      <c r="U96" s="291"/>
      <c r="V96" s="291" t="e">
        <v>#REF!</v>
      </c>
      <c r="W96" s="292"/>
      <c r="X96" s="292"/>
      <c r="Y96" s="291"/>
      <c r="Z96" s="291"/>
      <c r="AA96" s="291"/>
      <c r="AB96" s="291"/>
      <c r="AC96" s="291"/>
      <c r="AD96" s="289">
        <f t="shared" si="91"/>
        <v>3.0908681818181818</v>
      </c>
      <c r="AE96" s="289">
        <f t="shared" si="91"/>
        <v>3.4103333333333361</v>
      </c>
      <c r="AF96" s="289"/>
      <c r="AG96" s="289">
        <f t="shared" si="91"/>
        <v>4.0430000000000019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92">$B$97*((K79/6.5)-(K$74-1.7))</f>
        <v>-0.88577076923076925</v>
      </c>
      <c r="L97" s="289">
        <f t="shared" si="92"/>
        <v>-0.88175538461538472</v>
      </c>
      <c r="M97" s="289">
        <f t="shared" si="92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1" t="e">
        <v>#REF!</v>
      </c>
      <c r="W97" s="292"/>
      <c r="X97" s="292"/>
      <c r="Y97" s="291"/>
      <c r="Z97" s="291"/>
      <c r="AA97" s="291"/>
      <c r="AB97" s="291"/>
      <c r="AC97" s="291"/>
      <c r="AD97" s="289">
        <f t="shared" ref="AD97:AG97" si="93">$B$97*((AD79/6.5)-(AD$74-1.7))</f>
        <v>-0.48642909090909042</v>
      </c>
      <c r="AE97" s="289">
        <f t="shared" si="93"/>
        <v>-0.9568099633699626</v>
      </c>
      <c r="AF97" s="289"/>
      <c r="AG97" s="289">
        <f t="shared" si="93"/>
        <v>-0.85227692307692282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94">$B98*(K81-K$74-1.7)</f>
        <v>-1.5</v>
      </c>
      <c r="L98" s="289">
        <f t="shared" si="94"/>
        <v>-1.4565000000000001</v>
      </c>
      <c r="M98" s="289">
        <f t="shared" si="94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1" t="e">
        <v>#REF!</v>
      </c>
      <c r="W98" s="292"/>
      <c r="X98" s="292"/>
      <c r="Y98" s="291"/>
      <c r="Z98" s="291"/>
      <c r="AA98" s="291"/>
      <c r="AB98" s="291"/>
      <c r="AC98" s="291"/>
      <c r="AD98" s="289">
        <f t="shared" ref="AD98:AG98" si="95">$B98*(AD81-AD$74-1.7)</f>
        <v>-0.96431818181818174</v>
      </c>
      <c r="AE98" s="289">
        <f t="shared" si="95"/>
        <v>-1.3479857142857143</v>
      </c>
      <c r="AF98" s="289"/>
      <c r="AG98" s="289">
        <f t="shared" si="95"/>
        <v>-1.4610000000000001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2"/>
      <c r="X99" s="292"/>
      <c r="Y99" s="291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96">SUM(H92:H98)</f>
        <v>-0.17026991934711599</v>
      </c>
      <c r="I100" s="289">
        <f>SUM(I92:I98)</f>
        <v>2.9612135099939429</v>
      </c>
      <c r="J100" s="290"/>
      <c r="K100" s="289" t="e">
        <f t="shared" ref="K100:M100" si="97">SUM(K92:K98)</f>
        <v>#REF!</v>
      </c>
      <c r="L100" s="289" t="e">
        <f t="shared" si="97"/>
        <v>#REF!</v>
      </c>
      <c r="M100" s="289">
        <f t="shared" si="97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8">SUM(Q92:Q98)</f>
        <v>4.6379910256410248</v>
      </c>
      <c r="R100" s="291"/>
      <c r="S100" s="291"/>
      <c r="T100" s="291"/>
      <c r="U100" s="291"/>
      <c r="V100" s="291" t="e">
        <v>#REF!</v>
      </c>
      <c r="W100" s="292"/>
      <c r="X100" s="292"/>
      <c r="Y100" s="291"/>
      <c r="Z100" s="291"/>
      <c r="AA100" s="291"/>
      <c r="AB100" s="291"/>
      <c r="AC100" s="291"/>
      <c r="AD100" s="289">
        <f t="shared" ref="AD100:AG100" si="99">SUM(AD92:AD98)</f>
        <v>5.4023138383838401</v>
      </c>
      <c r="AE100" s="289">
        <f t="shared" si="99"/>
        <v>3.9332789255189295</v>
      </c>
      <c r="AF100" s="289"/>
      <c r="AG100" s="289">
        <f t="shared" si="99"/>
        <v>4.6000564102564123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80"/>
      <c r="X101" s="280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80"/>
      <c r="X102" s="280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80"/>
      <c r="X103" s="280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80"/>
      <c r="X104" s="280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80"/>
      <c r="X105" s="280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80"/>
      <c r="X106" s="280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80"/>
      <c r="X107" s="280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80"/>
      <c r="X108" s="280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80"/>
      <c r="X109" s="280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398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80"/>
      <c r="X110" s="280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398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80"/>
      <c r="X111" s="280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80"/>
      <c r="X112" s="280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80"/>
      <c r="X113" s="280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80"/>
      <c r="X114" s="280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80"/>
      <c r="X115" s="280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80"/>
      <c r="X116" s="280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80"/>
      <c r="X117" s="280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80"/>
      <c r="X118" s="280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80"/>
      <c r="X119" s="280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80"/>
      <c r="X120" s="280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80"/>
      <c r="X121" s="280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80"/>
      <c r="X122" s="280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80"/>
      <c r="X123" s="280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5"/>
      <c r="X124" s="5"/>
      <c r="Y124" s="6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  <mergeCell ref="U5:U6"/>
    <mergeCell ref="V5:V6"/>
    <mergeCell ref="Y5:Y6"/>
    <mergeCell ref="Z5:Z6"/>
    <mergeCell ref="AA5:AA6"/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MT124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V33" sqref="V33"/>
    </sheetView>
  </sheetViews>
  <sheetFormatPr defaultColWidth="9.08984375" defaultRowHeight="21" outlineLevelRow="1" outlineLevelCol="1"/>
  <cols>
    <col min="1" max="1" width="17.90625" style="194" customWidth="1"/>
    <col min="2" max="2" width="24.90625" style="2" hidden="1" customWidth="1"/>
    <col min="3" max="3" width="21.36328125" style="2" hidden="1" customWidth="1"/>
    <col min="4" max="4" width="13.453125" style="1" hidden="1" customWidth="1"/>
    <col min="5" max="5" width="10.36328125" style="1" hidden="1" customWidth="1"/>
    <col min="6" max="9" width="11.08984375" style="3" hidden="1" customWidth="1"/>
    <col min="10" max="10" width="31.90625" style="4" hidden="1" customWidth="1"/>
    <col min="11" max="14" width="11.08984375" style="3" hidden="1" customWidth="1"/>
    <col min="15" max="15" width="15.453125" style="3" hidden="1" customWidth="1"/>
    <col min="16" max="21" width="9" style="3" customWidth="1"/>
    <col min="22" max="23" width="9" style="6" customWidth="1"/>
    <col min="24" max="25" width="26.453125" style="5" hidden="1" customWidth="1" outlineLevel="1"/>
    <col min="26" max="26" width="9" style="6" customWidth="1" collapsed="1"/>
    <col min="27" max="29" width="9" style="6" customWidth="1"/>
    <col min="30" max="33" width="9" style="6" hidden="1" customWidth="1" outlineLevel="1"/>
    <col min="34" max="34" width="9" style="153" customWidth="1" collapsed="1"/>
    <col min="35" max="35" width="10.08984375" style="7" bestFit="1" customWidth="1"/>
    <col min="36" max="358" width="9.08984375" style="7"/>
    <col min="359" max="16384" width="9.0898437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2"/>
      <c r="Y2" s="12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X3" s="17"/>
      <c r="Y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8" t="s">
        <v>3</v>
      </c>
      <c r="F5" s="673" t="s">
        <v>4</v>
      </c>
      <c r="G5" s="673" t="s">
        <v>5</v>
      </c>
      <c r="H5" s="680" t="s">
        <v>6</v>
      </c>
      <c r="I5" s="673" t="s">
        <v>7</v>
      </c>
      <c r="J5" s="28" t="s">
        <v>2</v>
      </c>
      <c r="K5" s="673" t="s">
        <v>8</v>
      </c>
      <c r="L5" s="400" t="s">
        <v>9</v>
      </c>
      <c r="M5" s="400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673" t="s">
        <v>65</v>
      </c>
      <c r="U5" s="673" t="s">
        <v>66</v>
      </c>
      <c r="V5" s="673" t="s">
        <v>67</v>
      </c>
      <c r="W5" s="673" t="s">
        <v>68</v>
      </c>
      <c r="X5" s="29" t="s">
        <v>10</v>
      </c>
      <c r="Y5" s="30" t="s">
        <v>11</v>
      </c>
      <c r="Z5" s="673" t="s">
        <v>69</v>
      </c>
      <c r="AA5" s="673" t="s">
        <v>70</v>
      </c>
      <c r="AB5" s="673" t="s">
        <v>77</v>
      </c>
      <c r="AC5" s="697" t="s">
        <v>78</v>
      </c>
      <c r="AD5" s="699" t="s">
        <v>79</v>
      </c>
      <c r="AE5" s="688" t="s">
        <v>80</v>
      </c>
      <c r="AF5" s="688" t="s">
        <v>81</v>
      </c>
      <c r="AG5" s="695" t="s">
        <v>82</v>
      </c>
      <c r="AH5" s="685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79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674"/>
      <c r="V6" s="674"/>
      <c r="W6" s="674"/>
      <c r="X6" s="187">
        <v>42583</v>
      </c>
      <c r="Y6" s="188">
        <v>42614</v>
      </c>
      <c r="Z6" s="674"/>
      <c r="AA6" s="674"/>
      <c r="AB6" s="674"/>
      <c r="AC6" s="698"/>
      <c r="AD6" s="700"/>
      <c r="AE6" s="689"/>
      <c r="AF6" s="689"/>
      <c r="AG6" s="696"/>
      <c r="AH6" s="686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3"/>
      <c r="X7" s="22"/>
      <c r="Y7" s="22"/>
      <c r="Z7" s="24"/>
      <c r="AA7" s="24"/>
      <c r="AB7" s="24"/>
      <c r="AC7" s="24"/>
      <c r="AD7" s="302"/>
      <c r="AE7" s="24"/>
      <c r="AF7" s="24"/>
      <c r="AG7" s="303"/>
      <c r="AH7" s="238"/>
      <c r="AI7" s="402"/>
    </row>
    <row r="8" spans="1:358" ht="21.5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/>
      <c r="V8" s="39"/>
      <c r="W8" s="38"/>
      <c r="X8" s="360"/>
      <c r="Y8" s="215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81"/>
      <c r="B9" s="682"/>
      <c r="C9" s="682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08"/>
      <c r="X9" s="216"/>
      <c r="Y9" s="217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29.38</v>
      </c>
      <c r="R10" s="388">
        <v>35.141818181818174</v>
      </c>
      <c r="S10" s="388">
        <v>39.03</v>
      </c>
      <c r="T10" s="388">
        <v>44.268571428571427</v>
      </c>
      <c r="U10" s="388">
        <v>46.255909090909093</v>
      </c>
      <c r="V10" s="189">
        <v>44.5</v>
      </c>
      <c r="W10" s="189">
        <v>45</v>
      </c>
      <c r="X10" s="185"/>
      <c r="Y10" s="186"/>
      <c r="Z10" s="189">
        <v>45.4</v>
      </c>
      <c r="AA10" s="189">
        <v>46.5</v>
      </c>
      <c r="AB10" s="189">
        <v>47</v>
      </c>
      <c r="AC10" s="297">
        <v>47.5</v>
      </c>
      <c r="AD10" s="308">
        <f>AVERAGE(P10:R10)</f>
        <v>30.443939393939388</v>
      </c>
      <c r="AE10" s="246">
        <f>AVERAGE(S10:T10:U10)</f>
        <v>43.184826839826833</v>
      </c>
      <c r="AF10" s="246">
        <f>AVERAGE(V10:Z10)</f>
        <v>44.966666666666669</v>
      </c>
      <c r="AG10" s="309">
        <f>AVERAGE(AA10:AC10)</f>
        <v>47</v>
      </c>
      <c r="AH10" s="241">
        <f>AVERAGE(P10:AC10)</f>
        <v>41.398858225108221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29.38</v>
      </c>
      <c r="R11" s="389">
        <v>35.141818181818174</v>
      </c>
      <c r="S11" s="388">
        <v>39.03</v>
      </c>
      <c r="T11" s="388">
        <v>44.268571428571427</v>
      </c>
      <c r="U11" s="389">
        <v>46.255909090909093</v>
      </c>
      <c r="V11" s="183">
        <v>44</v>
      </c>
      <c r="W11" s="183">
        <v>45</v>
      </c>
      <c r="X11" s="185"/>
      <c r="Y11" s="186"/>
      <c r="Z11" s="183">
        <v>46</v>
      </c>
      <c r="AA11" s="183">
        <v>46.5</v>
      </c>
      <c r="AB11" s="183">
        <v>47</v>
      </c>
      <c r="AC11" s="298">
        <v>47.5</v>
      </c>
      <c r="AD11" s="308">
        <f>AVERAGE(P11:R11)</f>
        <v>30.443939393939388</v>
      </c>
      <c r="AE11" s="246">
        <f>AVERAGE(S11:T11:U11)</f>
        <v>43.184826839826833</v>
      </c>
      <c r="AF11" s="246">
        <f>AVERAGE(V11:Z11)</f>
        <v>45</v>
      </c>
      <c r="AG11" s="309">
        <f t="shared" ref="AG11:AG13" si="1">AVERAGE(AA11:AC11)</f>
        <v>47</v>
      </c>
      <c r="AH11" s="241">
        <f>AVERAGE(P11:AC11)</f>
        <v>41.407191558441554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29.38</v>
      </c>
      <c r="R12" s="388">
        <v>35.141818181818174</v>
      </c>
      <c r="S12" s="388">
        <v>39.03</v>
      </c>
      <c r="T12" s="388">
        <v>44.268571428571427</v>
      </c>
      <c r="U12" s="389">
        <v>46.255909090909093</v>
      </c>
      <c r="V12" s="183">
        <v>43</v>
      </c>
      <c r="W12" s="189">
        <v>46.7</v>
      </c>
      <c r="X12" s="185" t="s">
        <v>194</v>
      </c>
      <c r="Y12" s="186" t="s">
        <v>194</v>
      </c>
      <c r="Z12" s="189">
        <v>47</v>
      </c>
      <c r="AA12" s="189">
        <v>47.5</v>
      </c>
      <c r="AB12" s="189">
        <v>47.7</v>
      </c>
      <c r="AC12" s="297">
        <v>48</v>
      </c>
      <c r="AD12" s="308">
        <f>AVERAGE(P12:R12)</f>
        <v>30.443939393939388</v>
      </c>
      <c r="AE12" s="246">
        <f>AVERAGE(S12:T12:U12)</f>
        <v>43.184826839826833</v>
      </c>
      <c r="AF12" s="246">
        <f>AVERAGE(V12:Z12)</f>
        <v>45.566666666666663</v>
      </c>
      <c r="AG12" s="309">
        <f t="shared" si="1"/>
        <v>47.733333333333327</v>
      </c>
      <c r="AH12" s="241">
        <f>AVERAGE(P12:AC12)</f>
        <v>41.732191558441549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29.38</v>
      </c>
      <c r="R13" s="388">
        <v>35.141818181818174</v>
      </c>
      <c r="S13" s="388">
        <v>39.03</v>
      </c>
      <c r="T13" s="388">
        <v>44.268571428571427</v>
      </c>
      <c r="U13" s="388">
        <v>46.255909090909093</v>
      </c>
      <c r="V13" s="189">
        <v>42.4</v>
      </c>
      <c r="W13" s="189">
        <v>44.5</v>
      </c>
      <c r="X13" s="253" t="s">
        <v>210</v>
      </c>
      <c r="Y13" s="254"/>
      <c r="Z13" s="189">
        <v>46</v>
      </c>
      <c r="AA13" s="189">
        <v>48.3</v>
      </c>
      <c r="AB13" s="189">
        <v>49.2</v>
      </c>
      <c r="AC13" s="297">
        <v>50</v>
      </c>
      <c r="AD13" s="308">
        <f>AVERAGE(P13:R13)</f>
        <v>30.443939393939388</v>
      </c>
      <c r="AE13" s="246">
        <f>AVERAGE(S13:T13:U13)</f>
        <v>43.184826839826833</v>
      </c>
      <c r="AF13" s="246">
        <f>AVERAGE(V13:Z13)</f>
        <v>44.300000000000004</v>
      </c>
      <c r="AG13" s="309">
        <f t="shared" si="1"/>
        <v>49.166666666666664</v>
      </c>
      <c r="AH13" s="241">
        <f>AVERAGE(P13:AC13)</f>
        <v>41.773858225108221</v>
      </c>
      <c r="AI13" s="267"/>
    </row>
    <row r="14" spans="1:358" s="62" customFormat="1" ht="19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2">AVERAGE(J10:J13)</f>
        <v>#DIV/0!</v>
      </c>
      <c r="K14" s="59">
        <f t="shared" si="2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3">AVERAGE(O10:O13)</f>
        <v>37</v>
      </c>
      <c r="P14" s="59">
        <f>AVERAGE(P10:P13)</f>
        <v>26.81</v>
      </c>
      <c r="Q14" s="59">
        <f>AVERAGE(Q10:Q13)</f>
        <v>29.38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4">AVERAGE(U10:U13)</f>
        <v>46.255909090909093</v>
      </c>
      <c r="V14" s="59">
        <f t="shared" si="4"/>
        <v>43.475000000000001</v>
      </c>
      <c r="W14" s="59">
        <f t="shared" si="4"/>
        <v>45.3</v>
      </c>
      <c r="X14" s="369"/>
      <c r="Y14" s="369"/>
      <c r="Z14" s="59">
        <f t="shared" si="4"/>
        <v>46.1</v>
      </c>
      <c r="AA14" s="59">
        <f t="shared" si="4"/>
        <v>47.2</v>
      </c>
      <c r="AB14" s="59">
        <f t="shared" si="4"/>
        <v>47.724999999999994</v>
      </c>
      <c r="AC14" s="234">
        <f t="shared" si="4"/>
        <v>48.25</v>
      </c>
      <c r="AD14" s="310">
        <f>AVERAGE(AD10:AD13)</f>
        <v>30.443939393939388</v>
      </c>
      <c r="AE14" s="59">
        <f t="shared" ref="AE14" si="5">AVERAGE(AE10:AE13)</f>
        <v>43.184826839826833</v>
      </c>
      <c r="AF14" s="59">
        <f>AVERAGE(AF10:AF13)</f>
        <v>44.958333333333336</v>
      </c>
      <c r="AG14" s="311">
        <f>AVERAGE(AG10:AG13)</f>
        <v>47.724999999999994</v>
      </c>
      <c r="AH14" s="242">
        <f>AVERAGE(AH10:AH13)</f>
        <v>41.578024891774888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6">Q14</f>
        <v>29.38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46.4</v>
      </c>
      <c r="V15" s="164">
        <v>43.5</v>
      </c>
      <c r="W15" s="164">
        <v>43.8</v>
      </c>
      <c r="X15" s="370"/>
      <c r="Y15" s="370"/>
      <c r="Z15" s="164">
        <v>44</v>
      </c>
      <c r="AA15" s="164">
        <v>46</v>
      </c>
      <c r="AB15" s="164">
        <v>47</v>
      </c>
      <c r="AC15" s="229">
        <v>48</v>
      </c>
      <c r="AD15" s="312">
        <f>AVERAGE(P15:R15)</f>
        <v>30.443939393939388</v>
      </c>
      <c r="AE15" s="164">
        <f>AVERAGE(S15:T15:U15)</f>
        <v>43.232857142857142</v>
      </c>
      <c r="AF15" s="164">
        <f>AVERAGE(V15:Z15)</f>
        <v>43.766666666666673</v>
      </c>
      <c r="AG15" s="313">
        <f>AVERAGE(AA15:AC15)</f>
        <v>47</v>
      </c>
      <c r="AH15" s="242">
        <f>AVERAGE(P15:AC15)</f>
        <v>41.110865800865803</v>
      </c>
      <c r="AI15" s="271">
        <v>54</v>
      </c>
      <c r="AJ15" s="179"/>
      <c r="AK15" s="179"/>
    </row>
    <row r="16" spans="1:358" ht="21.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23"/>
      <c r="X16" s="371"/>
      <c r="Y16" s="371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t="21.5" hidden="1" outlineLevel="1" thickBot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/>
      <c r="V17" s="39"/>
      <c r="W17" s="38"/>
      <c r="X17" s="372"/>
      <c r="Y17" s="372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5"/>
      <c r="B18" s="676"/>
      <c r="C18" s="676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44"/>
      <c r="X18" s="373"/>
      <c r="Y18" s="37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4.5627777777777778</v>
      </c>
      <c r="R19" s="388">
        <v>3.8622727272727388</v>
      </c>
      <c r="S19" s="388">
        <v>3.33</v>
      </c>
      <c r="T19" s="388">
        <v>-0.23190476190475806</v>
      </c>
      <c r="U19" s="388">
        <v>-0.89681818181818329</v>
      </c>
      <c r="V19" s="189">
        <v>0</v>
      </c>
      <c r="W19" s="189">
        <v>0</v>
      </c>
      <c r="X19" s="185"/>
      <c r="Y19" s="186"/>
      <c r="Z19" s="189">
        <v>0.3</v>
      </c>
      <c r="AA19" s="189">
        <v>1</v>
      </c>
      <c r="AB19" s="189">
        <v>1.5</v>
      </c>
      <c r="AC19" s="297">
        <v>2</v>
      </c>
      <c r="AD19" s="308">
        <f>AVERAGE(P19:R19)</f>
        <v>6.0716835016835056</v>
      </c>
      <c r="AE19" s="246">
        <f>AVERAGE(S19:T19:U19)</f>
        <v>0.73375901875901961</v>
      </c>
      <c r="AF19" s="246">
        <f>AVERAGE(V19:Z19)</f>
        <v>9.9999999999999992E-2</v>
      </c>
      <c r="AG19" s="309">
        <f>AVERAGE(AA19:AC19)</f>
        <v>1.5</v>
      </c>
      <c r="AH19" s="241">
        <f>AVERAGE(P19:AC19)</f>
        <v>2.1013606301106313</v>
      </c>
      <c r="AI19" s="272"/>
    </row>
    <row r="20" spans="1:358" ht="58.5" hidden="1" customHeight="1" outlineLevel="1">
      <c r="A20" s="47" t="s">
        <v>24</v>
      </c>
      <c r="B20" s="48">
        <f t="shared" ref="B20" si="7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4.5627777777777778</v>
      </c>
      <c r="R20" s="389">
        <v>3.8622727272727388</v>
      </c>
      <c r="S20" s="388">
        <v>3.33</v>
      </c>
      <c r="T20" s="388">
        <v>-0.23190476190475806</v>
      </c>
      <c r="U20" s="389">
        <v>-0.89681818181818329</v>
      </c>
      <c r="V20" s="183">
        <v>-0.4</v>
      </c>
      <c r="W20" s="183">
        <v>0</v>
      </c>
      <c r="X20" s="185"/>
      <c r="Y20" s="186"/>
      <c r="Z20" s="183">
        <v>0.3</v>
      </c>
      <c r="AA20" s="183">
        <v>1</v>
      </c>
      <c r="AB20" s="183">
        <v>1.5</v>
      </c>
      <c r="AC20" s="298">
        <v>1.5</v>
      </c>
      <c r="AD20" s="308">
        <f>AVERAGE(P20:R20)</f>
        <v>6.0716835016835056</v>
      </c>
      <c r="AE20" s="246">
        <f>AVERAGE(S20:T20:U20)</f>
        <v>0.73375901875901961</v>
      </c>
      <c r="AF20" s="246">
        <f>AVERAGE(V20:Z20)</f>
        <v>-3.3333333333333347E-2</v>
      </c>
      <c r="AG20" s="309">
        <f t="shared" ref="AG20:AG22" si="8">AVERAGE(AA20:AC20)</f>
        <v>1.3333333333333333</v>
      </c>
      <c r="AH20" s="241">
        <f>AVERAGE(P20:AC20)</f>
        <v>2.0263606301106316</v>
      </c>
      <c r="AI20" s="272"/>
    </row>
    <row r="21" spans="1:358" ht="58.5" hidden="1" customHeight="1" outlineLevel="1">
      <c r="A21" s="47" t="s">
        <v>25</v>
      </c>
      <c r="B21" s="78">
        <f t="shared" ref="B21" si="9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4.5627777777777778</v>
      </c>
      <c r="R21" s="388">
        <v>3.8622727272727388</v>
      </c>
      <c r="S21" s="388">
        <v>3.33</v>
      </c>
      <c r="T21" s="388">
        <v>-0.23190476190475806</v>
      </c>
      <c r="U21" s="388">
        <v>-0.89681818181818329</v>
      </c>
      <c r="V21" s="189">
        <v>-0.5</v>
      </c>
      <c r="W21" s="189">
        <v>-0.1</v>
      </c>
      <c r="X21" s="185" t="s">
        <v>208</v>
      </c>
      <c r="Y21" s="186" t="s">
        <v>208</v>
      </c>
      <c r="Z21" s="189">
        <v>0.1</v>
      </c>
      <c r="AA21" s="189">
        <v>0</v>
      </c>
      <c r="AB21" s="189">
        <v>-0.3</v>
      </c>
      <c r="AC21" s="297">
        <v>-0.45</v>
      </c>
      <c r="AD21" s="308">
        <f>AVERAGE(P21:R21)</f>
        <v>6.0716835016835056</v>
      </c>
      <c r="AE21" s="246">
        <f>AVERAGE(S21:T21:U21)</f>
        <v>0.73375901875901961</v>
      </c>
      <c r="AF21" s="246">
        <f>AVERAGE(V21:Z21)</f>
        <v>-0.16666666666666666</v>
      </c>
      <c r="AG21" s="309">
        <f t="shared" si="8"/>
        <v>-0.25</v>
      </c>
      <c r="AH21" s="241">
        <f>AVERAGE(P21:AC21)</f>
        <v>1.5971939634439647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4.5627777777777778</v>
      </c>
      <c r="R22" s="388">
        <v>3.8622727272727388</v>
      </c>
      <c r="S22" s="388">
        <v>3.33</v>
      </c>
      <c r="T22" s="388">
        <v>-0.23190476190475806</v>
      </c>
      <c r="U22" s="388">
        <v>-0.89681818181818329</v>
      </c>
      <c r="V22" s="189">
        <v>-0.2</v>
      </c>
      <c r="W22" s="189">
        <v>0</v>
      </c>
      <c r="X22" s="185"/>
      <c r="Y22" s="186"/>
      <c r="Z22" s="189">
        <v>0.5</v>
      </c>
      <c r="AA22" s="189">
        <v>1</v>
      </c>
      <c r="AB22" s="189">
        <v>1.5</v>
      </c>
      <c r="AC22" s="297">
        <v>1.5</v>
      </c>
      <c r="AD22" s="308">
        <f>AVERAGE(P22:R22)</f>
        <v>6.0716835016835056</v>
      </c>
      <c r="AE22" s="246">
        <f>AVERAGE(S22:T22:U22)</f>
        <v>0.73375901875901961</v>
      </c>
      <c r="AF22" s="246">
        <f>AVERAGE(V22:Z22)</f>
        <v>9.9999999999999992E-2</v>
      </c>
      <c r="AG22" s="309">
        <f t="shared" si="8"/>
        <v>1.3333333333333333</v>
      </c>
      <c r="AH22" s="241">
        <f>AVERAGE(P22:AC22)</f>
        <v>2.0596939634439648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4.5627777777777778</v>
      </c>
      <c r="R23" s="59">
        <f t="shared" ref="R23" si="10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1">AVERAGE(U19:U22)</f>
        <v>-0.89681818181818329</v>
      </c>
      <c r="V23" s="59">
        <f t="shared" si="11"/>
        <v>-0.27500000000000002</v>
      </c>
      <c r="W23" s="59">
        <f t="shared" si="11"/>
        <v>-2.5000000000000001E-2</v>
      </c>
      <c r="X23" s="375"/>
      <c r="Y23" s="375"/>
      <c r="Z23" s="59">
        <f t="shared" si="11"/>
        <v>0.3</v>
      </c>
      <c r="AA23" s="59">
        <f t="shared" si="11"/>
        <v>0.75</v>
      </c>
      <c r="AB23" s="59">
        <f t="shared" si="11"/>
        <v>1.05</v>
      </c>
      <c r="AC23" s="234">
        <f t="shared" si="11"/>
        <v>1.1375</v>
      </c>
      <c r="AD23" s="310">
        <f>AVERAGE(AD19:AD22)</f>
        <v>6.0716835016835056</v>
      </c>
      <c r="AE23" s="59">
        <f>AVERAGE(AE19:AE22)</f>
        <v>0.73375901875901961</v>
      </c>
      <c r="AF23" s="59">
        <f t="shared" ref="AF23:AG23" si="12">AVERAGE(AF19:AF22)</f>
        <v>0</v>
      </c>
      <c r="AG23" s="311">
        <f t="shared" si="12"/>
        <v>0.97916666666666652</v>
      </c>
      <c r="AH23" s="242">
        <f>AVERAGE(AH19:AH22)</f>
        <v>1.946152296777298</v>
      </c>
      <c r="AI23" s="272"/>
    </row>
    <row r="24" spans="1:358" ht="19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3">Q23</f>
        <v>4.5627777777777778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-0.8</v>
      </c>
      <c r="V24" s="164">
        <v>-0.3</v>
      </c>
      <c r="W24" s="164">
        <v>0</v>
      </c>
      <c r="X24" s="370"/>
      <c r="Y24" s="370"/>
      <c r="Z24" s="164">
        <v>0.2</v>
      </c>
      <c r="AA24" s="164">
        <v>1</v>
      </c>
      <c r="AB24" s="164">
        <v>1.1000000000000001</v>
      </c>
      <c r="AC24" s="229">
        <v>1.3</v>
      </c>
      <c r="AD24" s="312">
        <f>AVERAGE(P24:R24)</f>
        <v>6.0716835016835056</v>
      </c>
      <c r="AE24" s="164">
        <f>AVERAGE(S24:T24:U24)</f>
        <v>0.7660317460317474</v>
      </c>
      <c r="AF24" s="164">
        <f>AVERAGE(V24:Z24)</f>
        <v>-3.3333333333333326E-2</v>
      </c>
      <c r="AG24" s="313">
        <f>AVERAGE(AA24:AC24)</f>
        <v>1.1333333333333335</v>
      </c>
      <c r="AH24" s="242">
        <f>AVERAGE(P24:AC24)</f>
        <v>1.9844288119288134</v>
      </c>
      <c r="AI24" s="271">
        <v>-1</v>
      </c>
    </row>
    <row r="25" spans="1:358" ht="21.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23"/>
      <c r="X25" s="371"/>
      <c r="Y25" s="371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t="21.5" hidden="1" outlineLevel="1" thickBot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/>
      <c r="V26" s="39"/>
      <c r="W26" s="38"/>
      <c r="X26" s="372"/>
      <c r="Y26" s="372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83"/>
      <c r="B27" s="684"/>
      <c r="C27" s="684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44"/>
      <c r="X27" s="376"/>
      <c r="Y27" s="377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</v>
      </c>
      <c r="R28" s="388">
        <v>17.63000000000001</v>
      </c>
      <c r="S28" s="388">
        <v>15.56</v>
      </c>
      <c r="T28" s="388">
        <v>14.896666666666668</v>
      </c>
      <c r="U28" s="388">
        <v>12.885454545454536</v>
      </c>
      <c r="V28" s="189">
        <v>9</v>
      </c>
      <c r="W28" s="189">
        <v>9</v>
      </c>
      <c r="X28" s="185"/>
      <c r="Y28" s="186"/>
      <c r="Z28" s="189">
        <v>10.5</v>
      </c>
      <c r="AA28" s="189">
        <v>11.5</v>
      </c>
      <c r="AB28" s="189">
        <v>12</v>
      </c>
      <c r="AC28" s="297">
        <v>12.5</v>
      </c>
      <c r="AD28" s="308">
        <f>AVERAGE(P28:R28)</f>
        <v>18.813333333333336</v>
      </c>
      <c r="AE28" s="246">
        <f>AVERAGE(S28:T28:U28)</f>
        <v>14.447373737373736</v>
      </c>
      <c r="AF28" s="246">
        <f>AVERAGE(V28:Z28)</f>
        <v>9.5</v>
      </c>
      <c r="AG28" s="309">
        <f>AVERAGE(AA28:AC28)</f>
        <v>12</v>
      </c>
      <c r="AH28" s="241">
        <f>AVERAGE(P28:AC28)</f>
        <v>13.690176767676768</v>
      </c>
      <c r="AI28" s="272"/>
    </row>
    <row r="29" spans="1:358" ht="54.75" hidden="1" customHeight="1" outlineLevel="1">
      <c r="A29" s="47" t="s">
        <v>24</v>
      </c>
      <c r="B29" s="78">
        <f t="shared" ref="B29" si="14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</v>
      </c>
      <c r="R29" s="389">
        <v>17.63000000000001</v>
      </c>
      <c r="S29" s="388">
        <v>15.56</v>
      </c>
      <c r="T29" s="389">
        <v>14.896666666666668</v>
      </c>
      <c r="U29" s="389">
        <v>12.885454545454536</v>
      </c>
      <c r="V29" s="183">
        <v>10.199999999999999</v>
      </c>
      <c r="W29" s="183">
        <v>10.5</v>
      </c>
      <c r="X29" s="185"/>
      <c r="Y29" s="186"/>
      <c r="Z29" s="183">
        <v>11</v>
      </c>
      <c r="AA29" s="183">
        <v>12.5</v>
      </c>
      <c r="AB29" s="183">
        <v>12</v>
      </c>
      <c r="AC29" s="298">
        <v>12</v>
      </c>
      <c r="AD29" s="308">
        <f>AVERAGE(P29:R29)</f>
        <v>18.813333333333336</v>
      </c>
      <c r="AE29" s="246">
        <f>AVERAGE(S29:T29:U29)</f>
        <v>14.447373737373736</v>
      </c>
      <c r="AF29" s="246">
        <f>AVERAGE(V29:Z29)</f>
        <v>10.566666666666666</v>
      </c>
      <c r="AG29" s="309">
        <f t="shared" ref="AG29:AG31" si="15">AVERAGE(AA29:AC29)</f>
        <v>12.166666666666666</v>
      </c>
      <c r="AH29" s="241">
        <f>AVERAGE(P29:AC29)</f>
        <v>13.998510101010103</v>
      </c>
      <c r="AI29" s="272"/>
    </row>
    <row r="30" spans="1:358" ht="54.75" hidden="1" customHeight="1" outlineLevel="1">
      <c r="A30" s="47" t="s">
        <v>25</v>
      </c>
      <c r="B30" s="48">
        <f t="shared" ref="B30" si="16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</v>
      </c>
      <c r="R30" s="388">
        <v>17.63000000000001</v>
      </c>
      <c r="S30" s="388">
        <v>15.56</v>
      </c>
      <c r="T30" s="388">
        <v>14.896666666666668</v>
      </c>
      <c r="U30" s="388">
        <v>12.885454545454536</v>
      </c>
      <c r="V30" s="189">
        <v>11.5</v>
      </c>
      <c r="W30" s="189">
        <v>11.5</v>
      </c>
      <c r="X30" s="185" t="s">
        <v>209</v>
      </c>
      <c r="Y30" s="186" t="s">
        <v>209</v>
      </c>
      <c r="Z30" s="189">
        <v>12</v>
      </c>
      <c r="AA30" s="189">
        <v>12</v>
      </c>
      <c r="AB30" s="189">
        <v>12.5</v>
      </c>
      <c r="AC30" s="297">
        <v>12.5</v>
      </c>
      <c r="AD30" s="308">
        <f>AVERAGE(P30:R30)</f>
        <v>18.813333333333336</v>
      </c>
      <c r="AE30" s="246">
        <f>AVERAGE(S30:T30:U30)</f>
        <v>14.447373737373736</v>
      </c>
      <c r="AF30" s="246">
        <f>AVERAGE(V30:Z30)</f>
        <v>11.666666666666666</v>
      </c>
      <c r="AG30" s="309">
        <f t="shared" si="15"/>
        <v>12.333333333333334</v>
      </c>
      <c r="AH30" s="241">
        <f>AVERAGE(P30:AC30)</f>
        <v>14.315176767676768</v>
      </c>
      <c r="AI30" s="272"/>
    </row>
    <row r="31" spans="1:358" ht="50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</v>
      </c>
      <c r="R31" s="388">
        <v>17.63000000000001</v>
      </c>
      <c r="S31" s="388">
        <v>15.56</v>
      </c>
      <c r="T31" s="388">
        <v>14.896666666666668</v>
      </c>
      <c r="U31" s="388">
        <v>12.885454545454536</v>
      </c>
      <c r="V31" s="189">
        <v>9.6</v>
      </c>
      <c r="W31" s="189">
        <v>10.5</v>
      </c>
      <c r="X31" s="185" t="s">
        <v>211</v>
      </c>
      <c r="Y31" s="186"/>
      <c r="Z31" s="189">
        <v>11.3</v>
      </c>
      <c r="AA31" s="189">
        <v>11.9</v>
      </c>
      <c r="AB31" s="189">
        <v>11</v>
      </c>
      <c r="AC31" s="297">
        <v>10</v>
      </c>
      <c r="AD31" s="308">
        <f>AVERAGE(P31:R31)</f>
        <v>18.813333333333336</v>
      </c>
      <c r="AE31" s="246">
        <f>AVERAGE(S31:T31:U31)</f>
        <v>14.447373737373736</v>
      </c>
      <c r="AF31" s="246">
        <f>AVERAGE(V31:Z31)</f>
        <v>10.466666666666667</v>
      </c>
      <c r="AG31" s="309">
        <f t="shared" si="15"/>
        <v>10.966666666666667</v>
      </c>
      <c r="AH31" s="241">
        <f>AVERAGE(P31:AC31)</f>
        <v>13.673510101010102</v>
      </c>
      <c r="AI31" s="272"/>
    </row>
    <row r="32" spans="1:358" s="62" customFormat="1" ht="19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17">AVERAGE(J28:J31)</f>
        <v>#DIV/0!</v>
      </c>
      <c r="K32" s="59">
        <f t="shared" si="17"/>
        <v>16.482500000000002</v>
      </c>
      <c r="L32" s="59">
        <f t="shared" si="17"/>
        <v>17.25</v>
      </c>
      <c r="M32" s="59">
        <f t="shared" si="17"/>
        <v>16.372499999999999</v>
      </c>
      <c r="N32" s="59">
        <f t="shared" si="17"/>
        <v>15.8125</v>
      </c>
      <c r="O32" s="59">
        <f t="shared" si="17"/>
        <v>18.166666666666668</v>
      </c>
      <c r="P32" s="59">
        <f t="shared" si="17"/>
        <v>23.61</v>
      </c>
      <c r="Q32" s="59">
        <f t="shared" si="17"/>
        <v>15.2</v>
      </c>
      <c r="R32" s="59">
        <f t="shared" si="17"/>
        <v>17.63000000000001</v>
      </c>
      <c r="S32" s="59">
        <f t="shared" si="17"/>
        <v>15.56</v>
      </c>
      <c r="T32" s="59">
        <f>AVERAGE(T28:T31)</f>
        <v>14.896666666666668</v>
      </c>
      <c r="U32" s="59">
        <f t="shared" si="17"/>
        <v>12.885454545454536</v>
      </c>
      <c r="V32" s="59">
        <f t="shared" si="17"/>
        <v>10.074999999999999</v>
      </c>
      <c r="W32" s="59">
        <f t="shared" si="17"/>
        <v>10.375</v>
      </c>
      <c r="X32" s="369"/>
      <c r="Y32" s="369"/>
      <c r="Z32" s="59">
        <f t="shared" si="17"/>
        <v>11.2</v>
      </c>
      <c r="AA32" s="59">
        <f t="shared" si="17"/>
        <v>11.975</v>
      </c>
      <c r="AB32" s="59">
        <f t="shared" si="17"/>
        <v>11.875</v>
      </c>
      <c r="AC32" s="234">
        <f t="shared" si="17"/>
        <v>11.75</v>
      </c>
      <c r="AD32" s="310">
        <f>AVERAGE(AD28:AD31)</f>
        <v>18.813333333333336</v>
      </c>
      <c r="AE32" s="59">
        <f t="shared" ref="AE32:AG32" si="18">AVERAGE(AE28:AE31)</f>
        <v>14.447373737373736</v>
      </c>
      <c r="AF32" s="59">
        <f t="shared" si="18"/>
        <v>10.55</v>
      </c>
      <c r="AG32" s="311">
        <f t="shared" si="18"/>
        <v>11.866666666666667</v>
      </c>
      <c r="AH32" s="242">
        <f>AVERAGE(AH28:AH31)</f>
        <v>13.919343434343435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19">Q32</f>
        <v>15.2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13</v>
      </c>
      <c r="V33" s="164">
        <v>9.5</v>
      </c>
      <c r="W33" s="164">
        <v>10</v>
      </c>
      <c r="X33" s="370"/>
      <c r="Y33" s="370"/>
      <c r="Z33" s="164">
        <v>10.5</v>
      </c>
      <c r="AA33" s="164">
        <v>11</v>
      </c>
      <c r="AB33" s="164">
        <v>11.5</v>
      </c>
      <c r="AC33" s="229">
        <v>12</v>
      </c>
      <c r="AD33" s="312">
        <f>AVERAGE(P33:R33)</f>
        <v>18.813333333333336</v>
      </c>
      <c r="AE33" s="164">
        <f>AVERAGE(S33:T33:U33)</f>
        <v>14.485555555555557</v>
      </c>
      <c r="AF33" s="164">
        <f>AVERAGE(V33:Z33)</f>
        <v>10</v>
      </c>
      <c r="AG33" s="313">
        <f>AVERAGE(AA33:AC33)</f>
        <v>11.5</v>
      </c>
      <c r="AH33" s="242">
        <f>AVERAGE(P33:AC33)</f>
        <v>13.699722222222222</v>
      </c>
      <c r="AI33" s="271">
        <v>16</v>
      </c>
    </row>
    <row r="34" spans="1:358" ht="21.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23"/>
      <c r="X34" s="371"/>
      <c r="Y34" s="371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t="21.5" hidden="1" outlineLevel="1" thickBot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/>
      <c r="V35" s="39"/>
      <c r="W35" s="38"/>
      <c r="X35" s="378"/>
      <c r="Y35" s="37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5"/>
      <c r="B36" s="676"/>
      <c r="C36" s="676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44"/>
      <c r="X36" s="373"/>
      <c r="Y36" s="37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11.62</v>
      </c>
      <c r="R37" s="390">
        <v>12.238181818181829</v>
      </c>
      <c r="S37" s="390">
        <v>10.5</v>
      </c>
      <c r="T37" s="390">
        <v>10.901428571428582</v>
      </c>
      <c r="U37" s="390">
        <v>12.038181818181819</v>
      </c>
      <c r="V37" s="181">
        <v>13</v>
      </c>
      <c r="W37" s="181">
        <v>12.75</v>
      </c>
      <c r="X37" s="185"/>
      <c r="Y37" s="186"/>
      <c r="Z37" s="181">
        <v>12.5</v>
      </c>
      <c r="AA37" s="181">
        <v>13</v>
      </c>
      <c r="AB37" s="181">
        <v>13.5</v>
      </c>
      <c r="AC37" s="299">
        <v>14</v>
      </c>
      <c r="AD37" s="308">
        <f>AVERAGE(P37:R37)</f>
        <v>11.652727272727276</v>
      </c>
      <c r="AE37" s="246">
        <f>AVERAGE(S37:T37:U37)</f>
        <v>11.1465367965368</v>
      </c>
      <c r="AF37" s="246">
        <f>AVERAGE(V37:Z37)</f>
        <v>12.75</v>
      </c>
      <c r="AG37" s="309">
        <f>AVERAGE(AA37:AC37)</f>
        <v>13.5</v>
      </c>
      <c r="AH37" s="241">
        <f>AVERAGE(P37:AC37)</f>
        <v>12.262316017316019</v>
      </c>
      <c r="AI37" s="272"/>
    </row>
    <row r="38" spans="1:358" ht="57.75" hidden="1" customHeight="1" outlineLevel="1">
      <c r="A38" s="47" t="s">
        <v>24</v>
      </c>
      <c r="B38" s="78">
        <f t="shared" ref="B38" si="20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11.62</v>
      </c>
      <c r="R38" s="391">
        <v>12.238181818181829</v>
      </c>
      <c r="S38" s="390">
        <v>10.5</v>
      </c>
      <c r="T38" s="391">
        <v>10.901428571428582</v>
      </c>
      <c r="U38" s="391">
        <v>12.038181818181819</v>
      </c>
      <c r="V38" s="175">
        <v>12.7</v>
      </c>
      <c r="W38" s="175">
        <v>11</v>
      </c>
      <c r="X38" s="185"/>
      <c r="Y38" s="186"/>
      <c r="Z38" s="175">
        <v>11</v>
      </c>
      <c r="AA38" s="175">
        <v>12</v>
      </c>
      <c r="AB38" s="175">
        <v>13.4</v>
      </c>
      <c r="AC38" s="300">
        <v>13.7</v>
      </c>
      <c r="AD38" s="308">
        <f>AVERAGE(P38:R38)</f>
        <v>11.652727272727276</v>
      </c>
      <c r="AE38" s="246">
        <f>AVERAGE(S38:T38:U38)</f>
        <v>11.1465367965368</v>
      </c>
      <c r="AF38" s="246">
        <f>AVERAGE(V38:Z38)</f>
        <v>11.566666666666668</v>
      </c>
      <c r="AG38" s="309">
        <f t="shared" ref="AG38:AG40" si="21">AVERAGE(AA38:AC38)</f>
        <v>13.033333333333331</v>
      </c>
      <c r="AH38" s="241">
        <f>AVERAGE(P38:AC38)</f>
        <v>11.849816017316018</v>
      </c>
      <c r="AI38" s="272"/>
    </row>
    <row r="39" spans="1:358" ht="57.75" hidden="1" customHeight="1" outlineLevel="1">
      <c r="A39" s="47" t="s">
        <v>25</v>
      </c>
      <c r="B39" s="78">
        <f t="shared" ref="B39" si="22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11.62</v>
      </c>
      <c r="R39" s="388">
        <v>12.238181818181829</v>
      </c>
      <c r="S39" s="390">
        <v>10.5</v>
      </c>
      <c r="T39" s="390">
        <v>10.901428571428582</v>
      </c>
      <c r="U39" s="390">
        <v>12.038181818181819</v>
      </c>
      <c r="V39" s="181">
        <v>12.408629033942777</v>
      </c>
      <c r="W39" s="181">
        <v>12.428676391800403</v>
      </c>
      <c r="X39" s="185" t="s">
        <v>161</v>
      </c>
      <c r="Y39" s="186" t="s">
        <v>36</v>
      </c>
      <c r="Z39" s="181">
        <v>12.571666666666662</v>
      </c>
      <c r="AA39" s="181">
        <v>12.760333333333332</v>
      </c>
      <c r="AB39" s="181">
        <v>12.964333333333332</v>
      </c>
      <c r="AC39" s="299">
        <v>13.058333333333332</v>
      </c>
      <c r="AD39" s="308">
        <f>AVERAGE(P39:R39)</f>
        <v>11.652727272727276</v>
      </c>
      <c r="AE39" s="246">
        <f>AVERAGE(S39:T39:U39)</f>
        <v>11.1465367965368</v>
      </c>
      <c r="AF39" s="246">
        <f>AVERAGE(V39:Z39)</f>
        <v>12.469657364136614</v>
      </c>
      <c r="AG39" s="309">
        <f t="shared" si="21"/>
        <v>12.927666666666665</v>
      </c>
      <c r="AH39" s="241">
        <f>AVERAGE(P39:AC39)</f>
        <v>12.049147025016842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11.62</v>
      </c>
      <c r="R40" s="390">
        <v>12.238181818181829</v>
      </c>
      <c r="S40" s="390">
        <v>10.5</v>
      </c>
      <c r="T40" s="390">
        <v>10.901428571428582</v>
      </c>
      <c r="U40" s="390">
        <v>12.038181818181819</v>
      </c>
      <c r="V40" s="181">
        <v>12.9</v>
      </c>
      <c r="W40" s="181">
        <v>13.3</v>
      </c>
      <c r="X40" s="185" t="s">
        <v>212</v>
      </c>
      <c r="Y40" s="186" t="s">
        <v>213</v>
      </c>
      <c r="Z40" s="181">
        <v>13.5</v>
      </c>
      <c r="AA40" s="181">
        <v>13.9</v>
      </c>
      <c r="AB40" s="181">
        <v>15</v>
      </c>
      <c r="AC40" s="299">
        <v>15.7</v>
      </c>
      <c r="AD40" s="308">
        <f>AVERAGE(P40:R40)</f>
        <v>11.652727272727276</v>
      </c>
      <c r="AE40" s="246">
        <f>AVERAGE(S40:T40:U40)</f>
        <v>11.1465367965368</v>
      </c>
      <c r="AF40" s="246">
        <f>AVERAGE(V40:Z40)</f>
        <v>13.233333333333334</v>
      </c>
      <c r="AG40" s="309">
        <f t="shared" si="21"/>
        <v>14.866666666666665</v>
      </c>
      <c r="AH40" s="241">
        <f>AVERAGE(P40:AC40)</f>
        <v>12.724816017316021</v>
      </c>
      <c r="AI40" s="272"/>
    </row>
    <row r="41" spans="1:358" s="62" customFormat="1" ht="19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3">AVERAGE(J37:J40)</f>
        <v>#DIV/0!</v>
      </c>
      <c r="K41" s="157">
        <f t="shared" si="23"/>
        <v>13.11</v>
      </c>
      <c r="L41" s="157">
        <f t="shared" si="23"/>
        <v>13.435000000000002</v>
      </c>
      <c r="M41" s="157">
        <f t="shared" si="23"/>
        <v>13.345000000000001</v>
      </c>
      <c r="N41" s="157">
        <f t="shared" si="23"/>
        <v>14.229999999999999</v>
      </c>
      <c r="O41" s="157">
        <f t="shared" si="23"/>
        <v>14.25</v>
      </c>
      <c r="P41" s="157">
        <f t="shared" si="23"/>
        <v>11.1</v>
      </c>
      <c r="Q41" s="157">
        <f t="shared" si="23"/>
        <v>11.62</v>
      </c>
      <c r="R41" s="157">
        <f t="shared" si="23"/>
        <v>12.238181818181829</v>
      </c>
      <c r="S41" s="59">
        <f t="shared" si="23"/>
        <v>10.5</v>
      </c>
      <c r="T41" s="59">
        <f>AVERAGE(T37:T40)</f>
        <v>10.901428571428582</v>
      </c>
      <c r="U41" s="59">
        <f t="shared" si="23"/>
        <v>12.038181818181819</v>
      </c>
      <c r="V41" s="59">
        <f t="shared" si="23"/>
        <v>12.752157258485694</v>
      </c>
      <c r="W41" s="59">
        <f t="shared" si="23"/>
        <v>12.369669097950101</v>
      </c>
      <c r="X41" s="379"/>
      <c r="Y41" s="379"/>
      <c r="Z41" s="59">
        <f t="shared" si="23"/>
        <v>12.392916666666665</v>
      </c>
      <c r="AA41" s="59">
        <f t="shared" si="23"/>
        <v>12.915083333333333</v>
      </c>
      <c r="AB41" s="59">
        <f t="shared" si="23"/>
        <v>13.716083333333334</v>
      </c>
      <c r="AC41" s="234">
        <f t="shared" si="23"/>
        <v>14.114583333333332</v>
      </c>
      <c r="AD41" s="310">
        <f t="shared" si="23"/>
        <v>11.652727272727276</v>
      </c>
      <c r="AE41" s="59">
        <f t="shared" si="23"/>
        <v>11.1465367965368</v>
      </c>
      <c r="AF41" s="59">
        <f t="shared" si="23"/>
        <v>12.504914341034155</v>
      </c>
      <c r="AG41" s="311">
        <f t="shared" si="23"/>
        <v>13.581916666666666</v>
      </c>
      <c r="AH41" s="242">
        <f>AVERAGE(AH37:AH40)</f>
        <v>12.221523769241225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4">Q41</f>
        <v>11.62</v>
      </c>
      <c r="R42" s="164">
        <f t="shared" si="24"/>
        <v>12.238181818181829</v>
      </c>
      <c r="S42" s="164">
        <f>S41</f>
        <v>10.5</v>
      </c>
      <c r="T42" s="164">
        <f>T41</f>
        <v>10.901428571428582</v>
      </c>
      <c r="U42" s="164">
        <v>11.9</v>
      </c>
      <c r="V42" s="164">
        <v>12.5</v>
      </c>
      <c r="W42" s="164">
        <v>11.2</v>
      </c>
      <c r="X42" s="370"/>
      <c r="Y42" s="370"/>
      <c r="Z42" s="164">
        <v>11.8</v>
      </c>
      <c r="AA42" s="164">
        <v>12.2</v>
      </c>
      <c r="AB42" s="164">
        <v>13</v>
      </c>
      <c r="AC42" s="164">
        <v>13.7</v>
      </c>
      <c r="AD42" s="312">
        <f>AVERAGE(P42:R42)</f>
        <v>11.652727272727276</v>
      </c>
      <c r="AE42" s="164">
        <f>AVERAGE(S42:T42:U42)</f>
        <v>11.100476190476193</v>
      </c>
      <c r="AF42" s="164">
        <f>AVERAGE(V42:Z42)</f>
        <v>11.833333333333334</v>
      </c>
      <c r="AG42" s="313">
        <f>AVERAGE(AA42:AC42)</f>
        <v>12.966666666666667</v>
      </c>
      <c r="AH42" s="242">
        <f>AVERAGE(P42:AC42)</f>
        <v>11.888300865800867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5">M41-M52</f>
        <v>0.27500000000000036</v>
      </c>
      <c r="N43" s="157">
        <f t="shared" si="25"/>
        <v>0.19999999999999929</v>
      </c>
      <c r="O43" s="157">
        <f t="shared" si="25"/>
        <v>9.9999999999999645E-2</v>
      </c>
      <c r="P43" s="157">
        <f t="shared" si="25"/>
        <v>1.7599999999999998</v>
      </c>
      <c r="Q43" s="157">
        <f t="shared" si="25"/>
        <v>2.4599999999999991</v>
      </c>
      <c r="R43" s="157">
        <f t="shared" si="25"/>
        <v>1.8622727272727317</v>
      </c>
      <c r="S43" s="157">
        <f t="shared" si="25"/>
        <v>1.4499999999999993</v>
      </c>
      <c r="T43" s="157">
        <f t="shared" si="25"/>
        <v>0.31809523809523199</v>
      </c>
      <c r="U43" s="157">
        <f t="shared" si="25"/>
        <v>0.15363636363637312</v>
      </c>
      <c r="V43" s="157">
        <f t="shared" si="25"/>
        <v>0.13441666666666841</v>
      </c>
      <c r="W43" s="157">
        <f t="shared" si="25"/>
        <v>0.40925000000000011</v>
      </c>
      <c r="X43" s="159"/>
      <c r="Y43" s="159"/>
      <c r="Z43" s="157">
        <f t="shared" si="25"/>
        <v>0.56791666666666529</v>
      </c>
      <c r="AA43" s="157">
        <f t="shared" si="25"/>
        <v>0.84008333333333418</v>
      </c>
      <c r="AB43" s="157">
        <f t="shared" si="25"/>
        <v>1.066083333333335</v>
      </c>
      <c r="AC43" s="236">
        <f t="shared" si="25"/>
        <v>1.1895833333333314</v>
      </c>
      <c r="AD43" s="317">
        <f t="shared" si="25"/>
        <v>2.0274242424242441</v>
      </c>
      <c r="AE43" s="157">
        <f t="shared" si="25"/>
        <v>0.64057720057720147</v>
      </c>
      <c r="AF43" s="157">
        <f t="shared" si="25"/>
        <v>0.37052777777777912</v>
      </c>
      <c r="AG43" s="318">
        <f t="shared" si="25"/>
        <v>1.0319166666666657</v>
      </c>
      <c r="AH43" s="242">
        <f t="shared" si="25"/>
        <v>1.0176114718614713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5"/>
        <v>0.19999999999999929</v>
      </c>
      <c r="O44" s="164">
        <f t="shared" si="25"/>
        <v>1.4499999999999993</v>
      </c>
      <c r="P44" s="164">
        <f t="shared" si="25"/>
        <v>1.7599999999999998</v>
      </c>
      <c r="Q44" s="164">
        <f t="shared" si="25"/>
        <v>2.4599999999999991</v>
      </c>
      <c r="R44" s="164">
        <f t="shared" si="25"/>
        <v>1.8622727272727317</v>
      </c>
      <c r="S44" s="164">
        <f t="shared" si="25"/>
        <v>1.4499999999999993</v>
      </c>
      <c r="T44" s="164">
        <f t="shared" si="25"/>
        <v>0.31809523809523199</v>
      </c>
      <c r="U44" s="164">
        <f t="shared" si="25"/>
        <v>0.20000000000000107</v>
      </c>
      <c r="V44" s="164">
        <f t="shared" si="25"/>
        <v>0</v>
      </c>
      <c r="W44" s="164">
        <f t="shared" si="25"/>
        <v>0.19999999999999929</v>
      </c>
      <c r="X44" s="370"/>
      <c r="Y44" s="370"/>
      <c r="Z44" s="164">
        <f t="shared" si="25"/>
        <v>0.30000000000000071</v>
      </c>
      <c r="AA44" s="164">
        <f t="shared" si="25"/>
        <v>0.69999999999999929</v>
      </c>
      <c r="AB44" s="164">
        <f t="shared" si="25"/>
        <v>1</v>
      </c>
      <c r="AC44" s="229">
        <f t="shared" si="25"/>
        <v>1.1999999999999993</v>
      </c>
      <c r="AD44" s="312">
        <f>AVERAGE(P44:R44)</f>
        <v>2.0274242424242437</v>
      </c>
      <c r="AE44" s="164">
        <f>AE42-AE53</f>
        <v>0.65603174603174352</v>
      </c>
      <c r="AF44" s="164">
        <f>AF42-AF53</f>
        <v>0.16666666666666785</v>
      </c>
      <c r="AG44" s="313">
        <f>AG42-AG53</f>
        <v>0.96666666666666679</v>
      </c>
      <c r="AH44" s="243">
        <f>AH42-AH53</f>
        <v>0.9541973304473288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177"/>
      <c r="X45" s="371"/>
      <c r="Y45" s="371"/>
      <c r="Z45" s="177"/>
      <c r="AA45" s="177"/>
      <c r="AB45" s="177"/>
      <c r="AC45" s="301"/>
      <c r="AD45" s="314"/>
      <c r="AE45" s="23"/>
      <c r="AF45" s="23"/>
      <c r="AG45" s="303"/>
      <c r="AH45" s="238"/>
      <c r="AI45" s="275">
        <f>AH42-AH53</f>
        <v>0.9541973304473288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5"/>
      <c r="V46" s="39"/>
      <c r="W46" s="38"/>
      <c r="X46" s="381"/>
      <c r="Y46" s="381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75"/>
      <c r="B47" s="676"/>
      <c r="C47" s="676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44"/>
      <c r="X47" s="382"/>
      <c r="Y47" s="383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388">
        <v>11.884545454545446</v>
      </c>
      <c r="V48" s="189">
        <v>13.2</v>
      </c>
      <c r="W48" s="189">
        <v>12.5</v>
      </c>
      <c r="X48" s="185"/>
      <c r="Y48" s="186"/>
      <c r="Z48" s="189">
        <v>12</v>
      </c>
      <c r="AA48" s="189">
        <v>12</v>
      </c>
      <c r="AB48" s="189">
        <v>12.5</v>
      </c>
      <c r="AC48" s="297">
        <v>13</v>
      </c>
      <c r="AD48" s="308">
        <f>AVERAGE(P48:R48)</f>
        <v>9.6253030303030318</v>
      </c>
      <c r="AE48" s="246">
        <f>AVERAGE(S48:T48:U48)</f>
        <v>10.505959595959599</v>
      </c>
      <c r="AF48" s="246">
        <f>AVERAGE(V48:Z48)</f>
        <v>12.566666666666668</v>
      </c>
      <c r="AG48" s="309">
        <f>AVERAGE(AA48:AC48)</f>
        <v>12.5</v>
      </c>
      <c r="AH48" s="241">
        <f>AVERAGE(P48:AC48)</f>
        <v>11.299482323232326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389">
        <v>11.884545454545446</v>
      </c>
      <c r="V49" s="183">
        <v>12.6</v>
      </c>
      <c r="W49" s="183">
        <v>10.7</v>
      </c>
      <c r="X49" s="185"/>
      <c r="Y49" s="186"/>
      <c r="Z49" s="183">
        <v>10.5</v>
      </c>
      <c r="AA49" s="183">
        <v>11.3</v>
      </c>
      <c r="AB49" s="183">
        <v>12.4</v>
      </c>
      <c r="AC49" s="298">
        <v>12.5</v>
      </c>
      <c r="AD49" s="308">
        <f>AVERAGE(P49:R49)</f>
        <v>9.6253030303030318</v>
      </c>
      <c r="AE49" s="246">
        <f>AVERAGE(S49:T49:U49)</f>
        <v>10.505959595959599</v>
      </c>
      <c r="AF49" s="246">
        <f>AVERAGE(V49:Z49)</f>
        <v>11.266666666666666</v>
      </c>
      <c r="AG49" s="309">
        <f t="shared" ref="AG49:AG51" si="26">AVERAGE(AA49:AC49)</f>
        <v>12.066666666666668</v>
      </c>
      <c r="AH49" s="241">
        <f>AVERAGE(P49:AC49)</f>
        <v>10.866148989898994</v>
      </c>
      <c r="AI49" s="267"/>
    </row>
    <row r="50" spans="1:358" ht="50.25" hidden="1" customHeight="1" outlineLevel="1">
      <c r="A50" s="47" t="s">
        <v>25</v>
      </c>
      <c r="B50" s="78">
        <f t="shared" ref="B50" si="27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388">
        <v>11.884545454545446</v>
      </c>
      <c r="V50" s="189">
        <v>11.870962367276109</v>
      </c>
      <c r="W50" s="189">
        <v>11.641676391800404</v>
      </c>
      <c r="X50" s="185" t="s">
        <v>162</v>
      </c>
      <c r="Y50" s="186" t="s">
        <v>36</v>
      </c>
      <c r="Z50" s="189">
        <v>11.6</v>
      </c>
      <c r="AA50" s="189">
        <v>11.6</v>
      </c>
      <c r="AB50" s="189">
        <v>11.7</v>
      </c>
      <c r="AC50" s="297">
        <v>11.7</v>
      </c>
      <c r="AD50" s="308">
        <f>AVERAGE(P50:R50)</f>
        <v>9.6253030303030318</v>
      </c>
      <c r="AE50" s="246">
        <f>AVERAGE(S50:T50:U50)</f>
        <v>10.505959595959599</v>
      </c>
      <c r="AF50" s="246">
        <f>AVERAGE(V50:Z50)</f>
        <v>11.70421291969217</v>
      </c>
      <c r="AG50" s="309">
        <f t="shared" si="26"/>
        <v>11.666666666666666</v>
      </c>
      <c r="AH50" s="241">
        <f>AVERAGE(P50:AC50)</f>
        <v>10.875535553155366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388">
        <v>11.884545454545446</v>
      </c>
      <c r="V51" s="189">
        <v>12.8</v>
      </c>
      <c r="W51" s="183">
        <v>13</v>
      </c>
      <c r="X51" s="224" t="s">
        <v>212</v>
      </c>
      <c r="Y51" s="186" t="s">
        <v>213</v>
      </c>
      <c r="Z51" s="183">
        <v>13.2</v>
      </c>
      <c r="AA51" s="183">
        <v>13.4</v>
      </c>
      <c r="AB51" s="183">
        <v>14</v>
      </c>
      <c r="AC51" s="298">
        <v>14.5</v>
      </c>
      <c r="AD51" s="308">
        <f>AVERAGE(P51:R51)</f>
        <v>9.6253030303030318</v>
      </c>
      <c r="AE51" s="246">
        <f>AVERAGE(S51:T51:U51)</f>
        <v>10.505959595959599</v>
      </c>
      <c r="AF51" s="246">
        <f>AVERAGE(V51:Z51)</f>
        <v>13</v>
      </c>
      <c r="AG51" s="309">
        <f t="shared" si="26"/>
        <v>13.966666666666667</v>
      </c>
      <c r="AH51" s="241">
        <f>AVERAGE(P51:AC51)</f>
        <v>11.774482323232325</v>
      </c>
      <c r="AI51" s="267"/>
    </row>
    <row r="52" spans="1:358" s="62" customFormat="1" ht="19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28">AVERAGE(J48:J51)</f>
        <v>#DIV/0!</v>
      </c>
      <c r="K52" s="157">
        <f t="shared" si="28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29">AVERAGE(R48:R51)</f>
        <v>10.375909090909097</v>
      </c>
      <c r="S52" s="59">
        <f t="shared" si="29"/>
        <v>9.0500000000000007</v>
      </c>
      <c r="T52" s="59">
        <f>AVERAGE(T48:T51)</f>
        <v>10.58333333333335</v>
      </c>
      <c r="U52" s="59">
        <f t="shared" si="29"/>
        <v>11.884545454545446</v>
      </c>
      <c r="V52" s="59">
        <f t="shared" si="29"/>
        <v>12.617740591819025</v>
      </c>
      <c r="W52" s="59">
        <f t="shared" si="29"/>
        <v>11.960419097950101</v>
      </c>
      <c r="X52" s="379"/>
      <c r="Y52" s="379"/>
      <c r="Z52" s="59">
        <f t="shared" si="29"/>
        <v>11.824999999999999</v>
      </c>
      <c r="AA52" s="59">
        <f t="shared" si="29"/>
        <v>12.074999999999999</v>
      </c>
      <c r="AB52" s="59">
        <f t="shared" si="29"/>
        <v>12.649999999999999</v>
      </c>
      <c r="AC52" s="234">
        <f t="shared" si="29"/>
        <v>12.925000000000001</v>
      </c>
      <c r="AD52" s="310">
        <f t="shared" si="29"/>
        <v>9.6253030303030318</v>
      </c>
      <c r="AE52" s="59">
        <f t="shared" si="29"/>
        <v>10.505959595959599</v>
      </c>
      <c r="AF52" s="59">
        <f t="shared" si="29"/>
        <v>12.134386563256376</v>
      </c>
      <c r="AG52" s="311">
        <f t="shared" si="29"/>
        <v>12.55</v>
      </c>
      <c r="AH52" s="242">
        <f>AVERAGE(AH48:AH51)</f>
        <v>11.203912297379754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0">O52</f>
        <v>14.15</v>
      </c>
      <c r="P53" s="164">
        <f>P52</f>
        <v>9.34</v>
      </c>
      <c r="Q53" s="164">
        <f t="shared" ref="Q53" si="31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11.7</v>
      </c>
      <c r="V53" s="164">
        <v>12.5</v>
      </c>
      <c r="W53" s="164">
        <v>11</v>
      </c>
      <c r="X53" s="370"/>
      <c r="Y53" s="370"/>
      <c r="Z53" s="164">
        <v>11.5</v>
      </c>
      <c r="AA53" s="164">
        <v>11.5</v>
      </c>
      <c r="AB53" s="164">
        <v>12</v>
      </c>
      <c r="AC53" s="164">
        <v>12.5</v>
      </c>
      <c r="AD53" s="312">
        <f>AVERAGE(P53:R53)</f>
        <v>9.6253030303030318</v>
      </c>
      <c r="AE53" s="164">
        <f>AVERAGE(S53:T53:U53)</f>
        <v>10.44444444444445</v>
      </c>
      <c r="AF53" s="164">
        <f>AVERAGE(V53:Z53)</f>
        <v>11.666666666666666</v>
      </c>
      <c r="AG53" s="313">
        <f>AVERAGE(AA53:AC53)</f>
        <v>12</v>
      </c>
      <c r="AH53" s="242">
        <f>AVERAGE(P53:AC53)</f>
        <v>10.934103535353538</v>
      </c>
      <c r="AI53" s="275">
        <v>12.8</v>
      </c>
    </row>
    <row r="54" spans="1:358" ht="21.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23"/>
      <c r="X54" s="371"/>
      <c r="Y54" s="371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t="21.5" hidden="1" outlineLevel="1" thickBot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6"/>
      <c r="V55" s="39"/>
      <c r="W55" s="38"/>
      <c r="X55" s="372"/>
      <c r="Y55" s="372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9" hidden="1" outlineLevel="1" thickBot="1">
      <c r="A56" s="675"/>
      <c r="B56" s="676"/>
      <c r="C56" s="676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44"/>
      <c r="X56" s="376"/>
      <c r="Y56" s="377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388">
        <v>-8.3847566213314266</v>
      </c>
      <c r="V57" s="189">
        <v>-4.5</v>
      </c>
      <c r="W57" s="189">
        <v>-6</v>
      </c>
      <c r="X57" s="185"/>
      <c r="Y57" s="186"/>
      <c r="Z57" s="189">
        <v>-7</v>
      </c>
      <c r="AA57" s="189">
        <v>-6.5</v>
      </c>
      <c r="AB57" s="189">
        <v>-6.25</v>
      </c>
      <c r="AC57" s="297">
        <v>-6.3</v>
      </c>
      <c r="AD57" s="308">
        <f>AVERAGE(P57:R57)</f>
        <v>-5.1703388212837007</v>
      </c>
      <c r="AE57" s="246">
        <f>AVERAGE(S57:T57:U57)</f>
        <v>-8.7422592062355839</v>
      </c>
      <c r="AF57" s="246">
        <f>AVERAGE(V57:Z57)</f>
        <v>-5.833333333333333</v>
      </c>
      <c r="AG57" s="309">
        <f>AVERAGE(AA57:AC57)</f>
        <v>-6.3500000000000005</v>
      </c>
      <c r="AH57" s="241">
        <f>AVERAGE(P57:AC57)</f>
        <v>-6.5239828402131543</v>
      </c>
      <c r="AI57" s="267"/>
    </row>
    <row r="58" spans="1:358" ht="51" hidden="1" customHeight="1" outlineLevel="1">
      <c r="A58" s="47" t="s">
        <v>24</v>
      </c>
      <c r="B58" s="78">
        <f t="shared" ref="B58" si="32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388">
        <v>-8.3847566213314266</v>
      </c>
      <c r="V58" s="189">
        <v>-4.5</v>
      </c>
      <c r="W58" s="189">
        <v>-5</v>
      </c>
      <c r="X58" s="185"/>
      <c r="Y58" s="186"/>
      <c r="Z58" s="189">
        <v>-7.5</v>
      </c>
      <c r="AA58" s="189">
        <v>-8</v>
      </c>
      <c r="AB58" s="189">
        <v>-7.9</v>
      </c>
      <c r="AC58" s="297">
        <v>-7.8</v>
      </c>
      <c r="AD58" s="308">
        <f>AVERAGE(P58:R58)</f>
        <v>-5.1703388212837007</v>
      </c>
      <c r="AE58" s="246">
        <f>AVERAGE(S58:T58:U58)</f>
        <v>-8.7422592062355839</v>
      </c>
      <c r="AF58" s="246">
        <f>AVERAGE(V58:Z58)</f>
        <v>-5.666666666666667</v>
      </c>
      <c r="AG58" s="309">
        <f t="shared" ref="AG58:AG60" si="33">AVERAGE(AA58:AC58)</f>
        <v>-7.8999999999999995</v>
      </c>
      <c r="AH58" s="241">
        <f>AVERAGE(P58:AC58)</f>
        <v>-6.8698161735464884</v>
      </c>
      <c r="AI58" s="267"/>
    </row>
    <row r="59" spans="1:358" ht="51" hidden="1" customHeight="1" outlineLevel="1">
      <c r="A59" s="47" t="s">
        <v>25</v>
      </c>
      <c r="B59" s="78">
        <f t="shared" ref="B59" si="34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388">
        <v>-8.3847566213314266</v>
      </c>
      <c r="V59" s="189">
        <v>-5</v>
      </c>
      <c r="W59" s="189">
        <v>-5.7</v>
      </c>
      <c r="X59" s="185" t="s">
        <v>214</v>
      </c>
      <c r="Y59" s="186" t="s">
        <v>214</v>
      </c>
      <c r="Z59" s="189">
        <v>-7</v>
      </c>
      <c r="AA59" s="189">
        <v>-8</v>
      </c>
      <c r="AB59" s="189">
        <v>-8</v>
      </c>
      <c r="AC59" s="297">
        <v>-8</v>
      </c>
      <c r="AD59" s="308">
        <f>AVERAGE(P59:R59)</f>
        <v>-5.1703388212837007</v>
      </c>
      <c r="AE59" s="246">
        <f>AVERAGE(S59:T59:U59)</f>
        <v>-8.7422592062355839</v>
      </c>
      <c r="AF59" s="246">
        <f>AVERAGE(V59:Z59)</f>
        <v>-5.8999999999999995</v>
      </c>
      <c r="AG59" s="309">
        <f t="shared" si="33"/>
        <v>-8</v>
      </c>
      <c r="AH59" s="241">
        <f>AVERAGE(P59:AC59)</f>
        <v>-6.9531495068798215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388">
        <v>-8.3847566213314266</v>
      </c>
      <c r="V60" s="189">
        <v>-4</v>
      </c>
      <c r="W60" s="189">
        <v>-5.5</v>
      </c>
      <c r="X60" s="185" t="s">
        <v>205</v>
      </c>
      <c r="Y60" s="186"/>
      <c r="Z60" s="189">
        <v>-6.2</v>
      </c>
      <c r="AA60" s="189">
        <v>-6.2</v>
      </c>
      <c r="AB60" s="189">
        <v>-6.1</v>
      </c>
      <c r="AC60" s="297">
        <v>-6</v>
      </c>
      <c r="AD60" s="308">
        <f>AVERAGE(P60:R60)</f>
        <v>-5.1703388212837007</v>
      </c>
      <c r="AE60" s="246">
        <f>AVERAGE(S60:T60:U60)</f>
        <v>-8.7422592062355839</v>
      </c>
      <c r="AF60" s="246">
        <f>AVERAGE(V60:Z60)</f>
        <v>-5.2333333333333334</v>
      </c>
      <c r="AG60" s="309">
        <f t="shared" si="33"/>
        <v>-6.1000000000000005</v>
      </c>
      <c r="AH60" s="241">
        <f>AVERAGE(P60:AC60)</f>
        <v>-6.3114828402131549</v>
      </c>
      <c r="AI60" s="267"/>
    </row>
    <row r="61" spans="1:358" s="62" customFormat="1" ht="19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35">AVERAGE(K57:K60)</f>
        <v>-8.1550000000000011</v>
      </c>
      <c r="L61" s="59">
        <f t="shared" si="35"/>
        <v>-8.1550000000000011</v>
      </c>
      <c r="M61" s="59">
        <f t="shared" si="35"/>
        <v>-8.33</v>
      </c>
      <c r="N61" s="59">
        <f t="shared" si="35"/>
        <v>-6.9175000000000004</v>
      </c>
      <c r="O61" s="59">
        <f t="shared" si="35"/>
        <v>-6.7333333333333334</v>
      </c>
      <c r="P61" s="59">
        <f>AVERAGE(P57:P60)</f>
        <v>-3.13</v>
      </c>
      <c r="Q61" s="59">
        <f t="shared" si="35"/>
        <v>-5.08</v>
      </c>
      <c r="R61" s="59">
        <f t="shared" si="35"/>
        <v>-7.3010164638511021</v>
      </c>
      <c r="S61" s="59">
        <f t="shared" si="35"/>
        <v>-8.77</v>
      </c>
      <c r="T61" s="59">
        <f>AVERAGE(T57:T60)</f>
        <v>-9.0720209973753256</v>
      </c>
      <c r="U61" s="59">
        <f t="shared" si="35"/>
        <v>-8.3847566213314266</v>
      </c>
      <c r="V61" s="59">
        <f t="shared" si="35"/>
        <v>-4.5</v>
      </c>
      <c r="W61" s="59">
        <f t="shared" si="35"/>
        <v>-5.55</v>
      </c>
      <c r="X61" s="369"/>
      <c r="Y61" s="369"/>
      <c r="Z61" s="59">
        <f t="shared" si="35"/>
        <v>-6.9249999999999998</v>
      </c>
      <c r="AA61" s="59">
        <f t="shared" si="35"/>
        <v>-7.1749999999999998</v>
      </c>
      <c r="AB61" s="59">
        <f t="shared" si="35"/>
        <v>-7.0625</v>
      </c>
      <c r="AC61" s="234">
        <f t="shared" si="35"/>
        <v>-7.0250000000000004</v>
      </c>
      <c r="AD61" s="310">
        <f t="shared" si="35"/>
        <v>-5.1703388212837007</v>
      </c>
      <c r="AE61" s="59">
        <f t="shared" si="35"/>
        <v>-8.7422592062355839</v>
      </c>
      <c r="AF61" s="59">
        <f t="shared" si="35"/>
        <v>-5.6583333333333332</v>
      </c>
      <c r="AG61" s="311">
        <f t="shared" si="35"/>
        <v>-7.0875000000000004</v>
      </c>
      <c r="AH61" s="242">
        <f>AVERAGE(AH57:AH60)</f>
        <v>-6.6646078402131552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36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-8.8000000000000007</v>
      </c>
      <c r="V62" s="164">
        <v>-4.5</v>
      </c>
      <c r="W62" s="164">
        <v>-5.5</v>
      </c>
      <c r="X62" s="370"/>
      <c r="Y62" s="370"/>
      <c r="Z62" s="164">
        <v>-7</v>
      </c>
      <c r="AA62" s="164">
        <v>-7.5</v>
      </c>
      <c r="AB62" s="164">
        <v>-7</v>
      </c>
      <c r="AC62" s="229">
        <v>-7</v>
      </c>
      <c r="AD62" s="312">
        <f>AVERAGE(P62:R62)</f>
        <v>-5.1703388212837007</v>
      </c>
      <c r="AE62" s="164">
        <f>AVERAGE(S62:T62:U62)</f>
        <v>-8.8806736657917753</v>
      </c>
      <c r="AF62" s="164">
        <f>AVERAGE(V62:Z62)</f>
        <v>-5.666666666666667</v>
      </c>
      <c r="AG62" s="313">
        <f>AVERAGE(AA62:AC62)</f>
        <v>-7.166666666666667</v>
      </c>
      <c r="AH62" s="242">
        <f>AVERAGE(P62:AC62)</f>
        <v>-6.7210864551022027</v>
      </c>
      <c r="AI62" s="275">
        <v>-6.5</v>
      </c>
    </row>
    <row r="63" spans="1:358" ht="21.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23"/>
      <c r="X63" s="371"/>
      <c r="Y63" s="371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t="21.5" hidden="1" outlineLevel="1" thickBot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5"/>
      <c r="V64" s="39"/>
      <c r="W64" s="38"/>
      <c r="X64" s="384"/>
      <c r="Y64" s="384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75"/>
      <c r="B65" s="676"/>
      <c r="C65" s="676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44"/>
      <c r="X65" s="373"/>
      <c r="Y65" s="37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388">
        <v>2.0834090909090861</v>
      </c>
      <c r="V66" s="189">
        <v>2.8</v>
      </c>
      <c r="W66" s="189">
        <v>2.6385276679841865</v>
      </c>
      <c r="X66" s="255"/>
      <c r="Y66" s="255"/>
      <c r="Z66" s="189">
        <v>2.7699999999999974</v>
      </c>
      <c r="AA66" s="189">
        <v>2.7811363636363438</v>
      </c>
      <c r="AB66" s="189">
        <v>2.7618181818181795</v>
      </c>
      <c r="AC66" s="297">
        <v>2.7356601731601642</v>
      </c>
      <c r="AD66" s="308">
        <f>AVERAGE(P66:R66)</f>
        <v>3.3432575757575762</v>
      </c>
      <c r="AE66" s="246">
        <f>AVERAGE(S66:T66:U66)</f>
        <v>2.380029220779218</v>
      </c>
      <c r="AF66" s="246">
        <f>AVERAGE(V66:Z66)</f>
        <v>2.7361758893280612</v>
      </c>
      <c r="AG66" s="309">
        <f>AVERAGE(AA66:AC66)</f>
        <v>2.7595382395382289</v>
      </c>
      <c r="AH66" s="241">
        <f>AVERAGE(P66:AC66)</f>
        <v>2.8047502313507704</v>
      </c>
      <c r="AI66" s="267"/>
    </row>
    <row r="67" spans="1:358" ht="48.75" hidden="1" customHeight="1" outlineLevel="1">
      <c r="A67" s="47" t="s">
        <v>24</v>
      </c>
      <c r="B67" s="78">
        <f t="shared" ref="B67" si="37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388">
        <v>2.0834090909090861</v>
      </c>
      <c r="V67" s="189">
        <v>2.5</v>
      </c>
      <c r="W67" s="189">
        <v>2.9</v>
      </c>
      <c r="X67" s="255"/>
      <c r="Y67" s="255"/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2.380029220779218</v>
      </c>
      <c r="AF67" s="246">
        <f>AVERAGE(V67:Z67)</f>
        <v>2.7666666666666671</v>
      </c>
      <c r="AG67" s="309">
        <f t="shared" ref="AG67:AG69" si="38">AVERAGE(AA67:AC67)</f>
        <v>2.6333333333333333</v>
      </c>
      <c r="AH67" s="241">
        <f>AVERAGE(P67:AC67)</f>
        <v>2.7808216991341985</v>
      </c>
      <c r="AI67" s="267"/>
    </row>
    <row r="68" spans="1:358" ht="48.75" hidden="1" customHeight="1" outlineLevel="1">
      <c r="A68" s="47" t="s">
        <v>25</v>
      </c>
      <c r="B68" s="78">
        <f t="shared" ref="B68" si="39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388">
        <v>2.0834090909090861</v>
      </c>
      <c r="V68" s="189">
        <v>2.8</v>
      </c>
      <c r="W68" s="189">
        <v>2.8</v>
      </c>
      <c r="X68" s="185" t="s">
        <v>215</v>
      </c>
      <c r="Y68" s="186" t="s">
        <v>215</v>
      </c>
      <c r="Z68" s="189">
        <v>2.9</v>
      </c>
      <c r="AA68" s="189">
        <v>2.9</v>
      </c>
      <c r="AB68" s="189">
        <v>2.9</v>
      </c>
      <c r="AC68" s="297">
        <v>2.9</v>
      </c>
      <c r="AD68" s="308">
        <f>AVERAGE(P68:R68)</f>
        <v>3.3432575757575762</v>
      </c>
      <c r="AE68" s="246">
        <f>AVERAGE(S68:T68:U68)</f>
        <v>2.380029220779218</v>
      </c>
      <c r="AF68" s="246">
        <f>AVERAGE(V68:Z68)</f>
        <v>2.8333333333333335</v>
      </c>
      <c r="AG68" s="309">
        <f t="shared" si="38"/>
        <v>2.9</v>
      </c>
      <c r="AH68" s="241">
        <f>AVERAGE(P68:AC68)</f>
        <v>2.8641550324675316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388">
        <v>2.0834090909090861</v>
      </c>
      <c r="V69" s="189">
        <v>2.4</v>
      </c>
      <c r="W69" s="189">
        <v>2.7</v>
      </c>
      <c r="X69" s="256"/>
      <c r="Y69" s="256"/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2.380029220779218</v>
      </c>
      <c r="AF69" s="246">
        <f>AVERAGE(V69:Z69)</f>
        <v>2.6</v>
      </c>
      <c r="AG69" s="309">
        <f t="shared" si="38"/>
        <v>2.7000000000000006</v>
      </c>
      <c r="AH69" s="241">
        <f>AVERAGE(P69:AC69)</f>
        <v>2.7558216991341982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0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1">AVERAGE(S66:S69)</f>
        <v>2.4500000000000002</v>
      </c>
      <c r="T70" s="59">
        <f>AVERAGE(T66:T69)</f>
        <v>2.6066785714285672</v>
      </c>
      <c r="U70" s="59">
        <f t="shared" si="41"/>
        <v>2.0834090909090861</v>
      </c>
      <c r="V70" s="59">
        <f t="shared" si="41"/>
        <v>2.625</v>
      </c>
      <c r="W70" s="59">
        <f t="shared" si="41"/>
        <v>2.7596319169960468</v>
      </c>
      <c r="X70" s="60"/>
      <c r="Y70" s="60"/>
      <c r="Z70" s="59">
        <f t="shared" si="41"/>
        <v>2.817499999999999</v>
      </c>
      <c r="AA70" s="59">
        <f t="shared" si="41"/>
        <v>2.720284090909086</v>
      </c>
      <c r="AB70" s="59">
        <f t="shared" si="41"/>
        <v>2.7404545454545453</v>
      </c>
      <c r="AC70" s="234">
        <f t="shared" si="41"/>
        <v>2.7839150432900412</v>
      </c>
      <c r="AD70" s="310">
        <f t="shared" si="41"/>
        <v>3.3432575757575762</v>
      </c>
      <c r="AE70" s="59">
        <f>AVERAGE(AE66:AE69)</f>
        <v>2.380029220779218</v>
      </c>
      <c r="AF70" s="59">
        <f t="shared" ref="AF70:AG70" si="42">AVERAGE(AF66:AF69)</f>
        <v>2.7340439723320156</v>
      </c>
      <c r="AG70" s="311">
        <f t="shared" si="42"/>
        <v>2.7482178932178907</v>
      </c>
      <c r="AH70" s="242">
        <f>AVERAGE(AH66:AH69)</f>
        <v>2.8013871655216747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43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2.1</v>
      </c>
      <c r="V71" s="164">
        <v>2.5</v>
      </c>
      <c r="W71" s="164">
        <v>2.8</v>
      </c>
      <c r="X71" s="164"/>
      <c r="Y71" s="164"/>
      <c r="Z71" s="164">
        <v>2.8</v>
      </c>
      <c r="AA71" s="164">
        <v>2.7</v>
      </c>
      <c r="AB71" s="164">
        <v>2.7</v>
      </c>
      <c r="AC71" s="229">
        <v>2.8</v>
      </c>
      <c r="AD71" s="312">
        <f>AVERAGE(P71:R71)</f>
        <v>3.3432575757575762</v>
      </c>
      <c r="AE71" s="164">
        <f>AVERAGE(S71:T71:U71)</f>
        <v>2.3855595238095226</v>
      </c>
      <c r="AF71" s="164">
        <f>AVERAGE(V71:Z71)</f>
        <v>2.6999999999999997</v>
      </c>
      <c r="AG71" s="313">
        <f>AVERAGE(AA71:AC71)</f>
        <v>2.7333333333333329</v>
      </c>
      <c r="AH71" s="242">
        <f>AVERAGE(P71:AC71)</f>
        <v>2.7905376082251081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52"/>
      <c r="Q72" s="152"/>
      <c r="R72" s="406"/>
      <c r="S72" s="406"/>
      <c r="T72" s="406"/>
      <c r="U72" s="406"/>
      <c r="V72" s="406"/>
      <c r="W72" s="406"/>
      <c r="X72" s="407"/>
      <c r="Y72" s="407"/>
      <c r="Z72" s="406"/>
      <c r="AA72" s="406"/>
      <c r="AB72" s="406"/>
      <c r="AC72" s="406"/>
      <c r="AD72" s="406"/>
      <c r="AE72" s="406"/>
      <c r="AF72" s="406"/>
      <c r="AG72" s="40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29" t="s">
        <v>68</v>
      </c>
      <c r="X73" s="330"/>
      <c r="Y73" s="330"/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44">O15</f>
        <v>0</v>
      </c>
      <c r="P74" s="36">
        <f t="shared" si="44"/>
        <v>26.81</v>
      </c>
      <c r="Q74" s="36">
        <f t="shared" si="44"/>
        <v>29.38</v>
      </c>
      <c r="R74" s="36">
        <f t="shared" si="44"/>
        <v>35.141818181818174</v>
      </c>
      <c r="S74" s="36">
        <f t="shared" si="44"/>
        <v>39.03</v>
      </c>
      <c r="T74" s="36">
        <f t="shared" si="44"/>
        <v>44.268571428571427</v>
      </c>
      <c r="U74" s="36">
        <f t="shared" si="44"/>
        <v>46.4</v>
      </c>
      <c r="V74" s="36">
        <f t="shared" si="44"/>
        <v>43.5</v>
      </c>
      <c r="W74" s="36">
        <f t="shared" si="44"/>
        <v>43.8</v>
      </c>
      <c r="X74" s="36"/>
      <c r="Y74" s="36"/>
      <c r="Z74" s="36">
        <f t="shared" si="44"/>
        <v>44</v>
      </c>
      <c r="AA74" s="36">
        <f t="shared" si="44"/>
        <v>46</v>
      </c>
      <c r="AB74" s="36">
        <f t="shared" si="44"/>
        <v>47</v>
      </c>
      <c r="AC74" s="322">
        <f t="shared" si="44"/>
        <v>48</v>
      </c>
      <c r="AD74" s="319">
        <f t="shared" si="44"/>
        <v>30.443939393939388</v>
      </c>
      <c r="AE74" s="258">
        <f t="shared" si="44"/>
        <v>43.232857142857142</v>
      </c>
      <c r="AF74" s="258">
        <f t="shared" si="44"/>
        <v>43.766666666666673</v>
      </c>
      <c r="AG74" s="258">
        <f t="shared" si="44"/>
        <v>47</v>
      </c>
      <c r="AH74" s="334">
        <f t="shared" ref="AH74:AH80" si="45">AVERAGE(P74:AC74)</f>
        <v>41.110865800865803</v>
      </c>
    </row>
    <row r="75" spans="1:358" ht="18.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46">O15+O24</f>
        <v>6</v>
      </c>
      <c r="P75" s="36">
        <f t="shared" si="46"/>
        <v>36.599999999999994</v>
      </c>
      <c r="Q75" s="36">
        <f t="shared" si="46"/>
        <v>33.942777777777778</v>
      </c>
      <c r="R75" s="36">
        <f t="shared" si="46"/>
        <v>39.004090909090912</v>
      </c>
      <c r="S75" s="36">
        <f t="shared" si="46"/>
        <v>42.36</v>
      </c>
      <c r="T75" s="36">
        <f t="shared" si="46"/>
        <v>44.036666666666669</v>
      </c>
      <c r="U75" s="36">
        <f t="shared" si="46"/>
        <v>45.6</v>
      </c>
      <c r="V75" s="36">
        <f t="shared" si="46"/>
        <v>43.2</v>
      </c>
      <c r="W75" s="36">
        <f t="shared" si="46"/>
        <v>43.8</v>
      </c>
      <c r="X75" s="36"/>
      <c r="Y75" s="36"/>
      <c r="Z75" s="36">
        <f t="shared" si="46"/>
        <v>44.2</v>
      </c>
      <c r="AA75" s="36">
        <f t="shared" si="46"/>
        <v>47</v>
      </c>
      <c r="AB75" s="36">
        <f t="shared" si="46"/>
        <v>48.1</v>
      </c>
      <c r="AC75" s="322">
        <f t="shared" si="46"/>
        <v>49.3</v>
      </c>
      <c r="AD75" s="319">
        <f t="shared" si="46"/>
        <v>36.515622895622897</v>
      </c>
      <c r="AE75" s="258">
        <f t="shared" si="46"/>
        <v>43.998888888888892</v>
      </c>
      <c r="AF75" s="258">
        <f t="shared" si="46"/>
        <v>43.733333333333341</v>
      </c>
      <c r="AG75" s="258">
        <f t="shared" si="46"/>
        <v>48.133333333333333</v>
      </c>
      <c r="AH75" s="334">
        <f t="shared" si="45"/>
        <v>43.095294612794611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47">O33+O15</f>
        <v>17.5</v>
      </c>
      <c r="P76" s="36">
        <f t="shared" si="47"/>
        <v>50.42</v>
      </c>
      <c r="Q76" s="36">
        <f t="shared" si="47"/>
        <v>44.58</v>
      </c>
      <c r="R76" s="36">
        <f t="shared" si="47"/>
        <v>52.771818181818183</v>
      </c>
      <c r="S76" s="36">
        <f t="shared" si="47"/>
        <v>54.59</v>
      </c>
      <c r="T76" s="36">
        <f t="shared" si="47"/>
        <v>59.165238095238095</v>
      </c>
      <c r="U76" s="36">
        <f t="shared" si="47"/>
        <v>59.4</v>
      </c>
      <c r="V76" s="36">
        <f t="shared" si="47"/>
        <v>53</v>
      </c>
      <c r="W76" s="36">
        <f t="shared" si="47"/>
        <v>53.8</v>
      </c>
      <c r="X76" s="36"/>
      <c r="Y76" s="36"/>
      <c r="Z76" s="36">
        <f t="shared" si="47"/>
        <v>54.5</v>
      </c>
      <c r="AA76" s="36">
        <f t="shared" si="47"/>
        <v>57</v>
      </c>
      <c r="AB76" s="36">
        <f t="shared" si="47"/>
        <v>58.5</v>
      </c>
      <c r="AC76" s="322">
        <f t="shared" si="47"/>
        <v>60</v>
      </c>
      <c r="AD76" s="319">
        <f t="shared" si="47"/>
        <v>49.257272727272721</v>
      </c>
      <c r="AE76" s="258">
        <f t="shared" si="47"/>
        <v>57.718412698412699</v>
      </c>
      <c r="AF76" s="258">
        <f t="shared" si="47"/>
        <v>53.766666666666673</v>
      </c>
      <c r="AG76" s="258">
        <f t="shared" si="47"/>
        <v>58.5</v>
      </c>
      <c r="AH76" s="334">
        <f t="shared" si="45"/>
        <v>54.81058802308803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48">O42+O15</f>
        <v>15.6</v>
      </c>
      <c r="P77" s="36">
        <f t="shared" si="48"/>
        <v>37.909999999999997</v>
      </c>
      <c r="Q77" s="36">
        <f t="shared" si="48"/>
        <v>41</v>
      </c>
      <c r="R77" s="36">
        <f t="shared" si="48"/>
        <v>47.38</v>
      </c>
      <c r="S77" s="36">
        <f t="shared" si="48"/>
        <v>49.53</v>
      </c>
      <c r="T77" s="36">
        <f t="shared" si="48"/>
        <v>55.170000000000009</v>
      </c>
      <c r="U77" s="36">
        <f t="shared" si="48"/>
        <v>58.3</v>
      </c>
      <c r="V77" s="36">
        <f t="shared" si="48"/>
        <v>56</v>
      </c>
      <c r="W77" s="36">
        <f t="shared" si="48"/>
        <v>55</v>
      </c>
      <c r="X77" s="36"/>
      <c r="Y77" s="36"/>
      <c r="Z77" s="36">
        <f t="shared" si="48"/>
        <v>55.8</v>
      </c>
      <c r="AA77" s="36">
        <f t="shared" si="48"/>
        <v>58.2</v>
      </c>
      <c r="AB77" s="36">
        <f t="shared" si="48"/>
        <v>60</v>
      </c>
      <c r="AC77" s="322">
        <f t="shared" si="48"/>
        <v>61.7</v>
      </c>
      <c r="AD77" s="319">
        <f t="shared" si="48"/>
        <v>42.096666666666664</v>
      </c>
      <c r="AE77" s="258">
        <f t="shared" si="48"/>
        <v>54.333333333333336</v>
      </c>
      <c r="AF77" s="258">
        <f t="shared" si="48"/>
        <v>55.600000000000009</v>
      </c>
      <c r="AG77" s="258">
        <f t="shared" si="48"/>
        <v>59.966666666666669</v>
      </c>
      <c r="AH77" s="334">
        <f t="shared" si="45"/>
        <v>52.999166666666675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49">O53+O15</f>
        <v>14.15</v>
      </c>
      <c r="P78" s="36">
        <f t="shared" si="49"/>
        <v>36.15</v>
      </c>
      <c r="Q78" s="36">
        <f t="shared" si="49"/>
        <v>38.54</v>
      </c>
      <c r="R78" s="36">
        <f t="shared" si="49"/>
        <v>45.517727272727271</v>
      </c>
      <c r="S78" s="36">
        <f t="shared" si="49"/>
        <v>48.08</v>
      </c>
      <c r="T78" s="36">
        <f t="shared" si="49"/>
        <v>54.851904761904777</v>
      </c>
      <c r="U78" s="36">
        <f t="shared" si="49"/>
        <v>58.099999999999994</v>
      </c>
      <c r="V78" s="36">
        <f t="shared" si="49"/>
        <v>56</v>
      </c>
      <c r="W78" s="36">
        <f t="shared" si="49"/>
        <v>54.8</v>
      </c>
      <c r="X78" s="36"/>
      <c r="Y78" s="36"/>
      <c r="Z78" s="36">
        <f t="shared" si="49"/>
        <v>55.5</v>
      </c>
      <c r="AA78" s="36">
        <f t="shared" si="49"/>
        <v>57.5</v>
      </c>
      <c r="AB78" s="36">
        <f t="shared" si="49"/>
        <v>59</v>
      </c>
      <c r="AC78" s="322">
        <f t="shared" si="49"/>
        <v>60.5</v>
      </c>
      <c r="AD78" s="319">
        <f t="shared" si="49"/>
        <v>40.069242424242418</v>
      </c>
      <c r="AE78" s="258">
        <f t="shared" si="49"/>
        <v>53.677301587301592</v>
      </c>
      <c r="AF78" s="258">
        <f t="shared" si="49"/>
        <v>55.433333333333337</v>
      </c>
      <c r="AG78" s="258">
        <f t="shared" si="49"/>
        <v>59</v>
      </c>
      <c r="AH78" s="334">
        <f t="shared" si="45"/>
        <v>52.044969336219332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0">(O62+O15)*6.35</f>
        <v>-42.756666666666668</v>
      </c>
      <c r="P79" s="134">
        <f t="shared" si="50"/>
        <v>150.36799999999999</v>
      </c>
      <c r="Q79" s="134">
        <f t="shared" si="50"/>
        <v>154.30499999999998</v>
      </c>
      <c r="R79" s="134">
        <f t="shared" si="50"/>
        <v>176.7890909090909</v>
      </c>
      <c r="S79" s="134">
        <f t="shared" si="50"/>
        <v>192.15100000000001</v>
      </c>
      <c r="T79" s="134">
        <f t="shared" si="50"/>
        <v>223.49809523809523</v>
      </c>
      <c r="U79" s="134">
        <f t="shared" si="50"/>
        <v>238.75999999999996</v>
      </c>
      <c r="V79" s="134">
        <f t="shared" si="50"/>
        <v>247.64999999999998</v>
      </c>
      <c r="W79" s="134">
        <f t="shared" si="50"/>
        <v>243.20499999999996</v>
      </c>
      <c r="X79" s="134"/>
      <c r="Y79" s="134"/>
      <c r="Z79" s="134">
        <f t="shared" si="50"/>
        <v>234.95</v>
      </c>
      <c r="AA79" s="134">
        <f t="shared" si="50"/>
        <v>244.47499999999999</v>
      </c>
      <c r="AB79" s="134">
        <f t="shared" si="50"/>
        <v>254</v>
      </c>
      <c r="AC79" s="323">
        <f t="shared" si="50"/>
        <v>260.34999999999997</v>
      </c>
      <c r="AD79" s="320">
        <f t="shared" si="50"/>
        <v>160.48736363636363</v>
      </c>
      <c r="AE79" s="259">
        <f t="shared" si="50"/>
        <v>218.13636507936508</v>
      </c>
      <c r="AF79" s="259">
        <f t="shared" si="50"/>
        <v>241.93500000000003</v>
      </c>
      <c r="AG79" s="259">
        <f t="shared" si="50"/>
        <v>252.94166666666666</v>
      </c>
      <c r="AH79" s="334">
        <f t="shared" si="45"/>
        <v>218.37509884559884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1">K70</f>
        <v>1.2</v>
      </c>
      <c r="L80" s="338">
        <f t="shared" si="51"/>
        <v>1.5</v>
      </c>
      <c r="M80" s="338">
        <f>M70</f>
        <v>1.625</v>
      </c>
      <c r="N80" s="338">
        <f t="shared" ref="N80:AG80" si="52">N71+N15</f>
        <v>47.85</v>
      </c>
      <c r="O80" s="338">
        <f t="shared" si="52"/>
        <v>2.0666666666666669</v>
      </c>
      <c r="P80" s="338">
        <f t="shared" si="52"/>
        <v>30.31</v>
      </c>
      <c r="Q80" s="338">
        <f t="shared" si="52"/>
        <v>32.56</v>
      </c>
      <c r="R80" s="338">
        <f t="shared" si="52"/>
        <v>38.491590909090903</v>
      </c>
      <c r="S80" s="338">
        <f t="shared" si="52"/>
        <v>41.480000000000004</v>
      </c>
      <c r="T80" s="338">
        <f t="shared" si="52"/>
        <v>46.875249999999994</v>
      </c>
      <c r="U80" s="338">
        <f t="shared" si="52"/>
        <v>48.5</v>
      </c>
      <c r="V80" s="338">
        <f t="shared" si="52"/>
        <v>46</v>
      </c>
      <c r="W80" s="338">
        <f t="shared" si="52"/>
        <v>46.599999999999994</v>
      </c>
      <c r="X80" s="338"/>
      <c r="Y80" s="338"/>
      <c r="Z80" s="338">
        <f t="shared" si="52"/>
        <v>46.8</v>
      </c>
      <c r="AA80" s="338">
        <f t="shared" si="52"/>
        <v>48.7</v>
      </c>
      <c r="AB80" s="338">
        <f t="shared" si="52"/>
        <v>49.7</v>
      </c>
      <c r="AC80" s="339">
        <f t="shared" si="52"/>
        <v>50.8</v>
      </c>
      <c r="AD80" s="340">
        <f t="shared" si="52"/>
        <v>33.787196969696964</v>
      </c>
      <c r="AE80" s="341">
        <f t="shared" si="52"/>
        <v>45.618416666666661</v>
      </c>
      <c r="AF80" s="341">
        <f t="shared" si="52"/>
        <v>46.466666666666676</v>
      </c>
      <c r="AG80" s="341">
        <f t="shared" si="52"/>
        <v>49.733333333333334</v>
      </c>
      <c r="AH80" s="342">
        <f t="shared" si="45"/>
        <v>43.901403409090911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403"/>
      <c r="Q81" s="403"/>
      <c r="R81" s="404"/>
      <c r="S81" s="404"/>
      <c r="T81" s="404"/>
      <c r="U81" s="404"/>
      <c r="V81" s="404"/>
      <c r="W81" s="404"/>
      <c r="X81" s="405"/>
      <c r="Y81" s="405"/>
      <c r="Z81" s="404"/>
      <c r="AA81" s="404"/>
      <c r="AB81" s="404"/>
      <c r="AC81" s="404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9.5" customHeight="1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29" t="s">
        <v>68</v>
      </c>
      <c r="X82" s="330"/>
      <c r="Y82" s="330"/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9.5" customHeight="1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53">F74</f>
        <v>0</v>
      </c>
      <c r="G83" s="143">
        <f>G74</f>
        <v>56.18</v>
      </c>
      <c r="H83" s="143">
        <f t="shared" ref="H83" si="54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55">K74</f>
        <v>48.3</v>
      </c>
      <c r="L83" s="143">
        <f t="shared" si="55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29.38</v>
      </c>
      <c r="R83" s="143">
        <f t="shared" ref="R83:AG83" si="56">R74</f>
        <v>35.141818181818174</v>
      </c>
      <c r="S83" s="143">
        <f t="shared" si="56"/>
        <v>39.03</v>
      </c>
      <c r="T83" s="143">
        <f>T74</f>
        <v>44.268571428571427</v>
      </c>
      <c r="U83" s="143">
        <f t="shared" si="56"/>
        <v>46.4</v>
      </c>
      <c r="V83" s="143">
        <f t="shared" si="56"/>
        <v>43.5</v>
      </c>
      <c r="W83" s="143">
        <f t="shared" si="56"/>
        <v>43.8</v>
      </c>
      <c r="X83" s="361"/>
      <c r="Y83" s="361"/>
      <c r="Z83" s="143">
        <f t="shared" si="56"/>
        <v>44</v>
      </c>
      <c r="AA83" s="143">
        <f t="shared" si="56"/>
        <v>46</v>
      </c>
      <c r="AB83" s="143">
        <f t="shared" si="56"/>
        <v>47</v>
      </c>
      <c r="AC83" s="353">
        <f t="shared" si="56"/>
        <v>48</v>
      </c>
      <c r="AD83" s="321">
        <f t="shared" si="56"/>
        <v>30.443939393939388</v>
      </c>
      <c r="AE83" s="260">
        <f t="shared" si="56"/>
        <v>43.232857142857142</v>
      </c>
      <c r="AF83" s="260">
        <f t="shared" si="56"/>
        <v>43.766666666666673</v>
      </c>
      <c r="AG83" s="260">
        <f t="shared" si="56"/>
        <v>47</v>
      </c>
      <c r="AH83" s="334">
        <f t="shared" ref="AH83:AH89" si="57">AVERAGE(P83:AC83)</f>
        <v>41.110865800865803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58">F75-F74</f>
        <v>0</v>
      </c>
      <c r="G84" s="143">
        <f>G75-G74</f>
        <v>-3.0341000000000022</v>
      </c>
      <c r="H84" s="143">
        <f t="shared" ref="H84" si="59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0">K75-K74</f>
        <v>#REF!</v>
      </c>
      <c r="L84" s="143" t="e">
        <f t="shared" si="60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4.5627777777777787</v>
      </c>
      <c r="R84" s="143">
        <f t="shared" ref="R84:AG84" si="61">R75-R74</f>
        <v>3.8622727272727388</v>
      </c>
      <c r="S84" s="143">
        <f t="shared" si="61"/>
        <v>3.3299999999999983</v>
      </c>
      <c r="T84" s="143">
        <f>T75-T74</f>
        <v>-0.23190476190475806</v>
      </c>
      <c r="U84" s="143">
        <f t="shared" si="61"/>
        <v>-0.79999999999999716</v>
      </c>
      <c r="V84" s="143">
        <f t="shared" si="61"/>
        <v>-0.29999999999999716</v>
      </c>
      <c r="W84" s="143">
        <f t="shared" si="61"/>
        <v>0</v>
      </c>
      <c r="X84" s="361"/>
      <c r="Y84" s="361"/>
      <c r="Z84" s="143">
        <f t="shared" si="61"/>
        <v>0.20000000000000284</v>
      </c>
      <c r="AA84" s="143">
        <f t="shared" si="61"/>
        <v>1</v>
      </c>
      <c r="AB84" s="143">
        <f t="shared" si="61"/>
        <v>1.1000000000000014</v>
      </c>
      <c r="AC84" s="353">
        <f t="shared" si="61"/>
        <v>1.2999999999999972</v>
      </c>
      <c r="AD84" s="321">
        <f t="shared" si="61"/>
        <v>6.0716835016835091</v>
      </c>
      <c r="AE84" s="260">
        <f t="shared" si="61"/>
        <v>0.76603174603175006</v>
      </c>
      <c r="AF84" s="260">
        <f t="shared" si="61"/>
        <v>-3.3333333333331439E-2</v>
      </c>
      <c r="AG84" s="260">
        <f t="shared" si="61"/>
        <v>1.1333333333333329</v>
      </c>
      <c r="AH84" s="334">
        <f t="shared" si="57"/>
        <v>1.9844288119288134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2">F76-F74</f>
        <v>0</v>
      </c>
      <c r="G85" s="143">
        <f>G76-G74</f>
        <v>19.766299999999994</v>
      </c>
      <c r="H85" s="143">
        <f t="shared" ref="H85" si="63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64">K76-K74</f>
        <v>16.482500000000002</v>
      </c>
      <c r="L85" s="143">
        <f t="shared" si="64"/>
        <v>17.249999999999993</v>
      </c>
      <c r="M85" s="143">
        <f t="shared" si="64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65">Q76-Q74</f>
        <v>15.2</v>
      </c>
      <c r="R85" s="143">
        <f>R76-R74</f>
        <v>17.63000000000001</v>
      </c>
      <c r="S85" s="143">
        <f t="shared" ref="S85:AG85" si="66">S76-S74</f>
        <v>15.560000000000002</v>
      </c>
      <c r="T85" s="143">
        <f>T76-T74</f>
        <v>14.896666666666668</v>
      </c>
      <c r="U85" s="143">
        <f t="shared" si="66"/>
        <v>13</v>
      </c>
      <c r="V85" s="143">
        <f t="shared" si="66"/>
        <v>9.5</v>
      </c>
      <c r="W85" s="143">
        <f t="shared" si="66"/>
        <v>10</v>
      </c>
      <c r="X85" s="361"/>
      <c r="Y85" s="361"/>
      <c r="Z85" s="143">
        <f t="shared" si="66"/>
        <v>10.5</v>
      </c>
      <c r="AA85" s="143">
        <f t="shared" si="66"/>
        <v>11</v>
      </c>
      <c r="AB85" s="143">
        <f t="shared" si="66"/>
        <v>11.5</v>
      </c>
      <c r="AC85" s="353">
        <f t="shared" si="66"/>
        <v>12</v>
      </c>
      <c r="AD85" s="321">
        <f t="shared" si="66"/>
        <v>18.813333333333333</v>
      </c>
      <c r="AE85" s="260">
        <f t="shared" si="66"/>
        <v>14.485555555555557</v>
      </c>
      <c r="AF85" s="260">
        <f t="shared" si="66"/>
        <v>10</v>
      </c>
      <c r="AG85" s="260">
        <f t="shared" si="66"/>
        <v>11.5</v>
      </c>
      <c r="AH85" s="334">
        <f t="shared" si="57"/>
        <v>13.699722222222222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67">F77-F74</f>
        <v>0</v>
      </c>
      <c r="G86" s="143">
        <f>G77-G74</f>
        <v>9.6289999999999978</v>
      </c>
      <c r="H86" s="143">
        <f t="shared" ref="H86" si="68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69">K77-K74</f>
        <v>13.11</v>
      </c>
      <c r="L86" s="143">
        <f t="shared" si="69"/>
        <v>13.435000000000002</v>
      </c>
      <c r="M86" s="143">
        <f t="shared" si="69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11.620000000000001</v>
      </c>
      <c r="R86" s="143">
        <f t="shared" ref="R86:AG86" si="70">R77-R74</f>
        <v>12.238181818181829</v>
      </c>
      <c r="S86" s="143">
        <f t="shared" si="70"/>
        <v>10.5</v>
      </c>
      <c r="T86" s="143">
        <f>T77-T74</f>
        <v>10.901428571428582</v>
      </c>
      <c r="U86" s="143">
        <f t="shared" si="70"/>
        <v>11.899999999999999</v>
      </c>
      <c r="V86" s="143">
        <f t="shared" si="70"/>
        <v>12.5</v>
      </c>
      <c r="W86" s="143">
        <f t="shared" si="70"/>
        <v>11.200000000000003</v>
      </c>
      <c r="X86" s="361"/>
      <c r="Y86" s="361"/>
      <c r="Z86" s="143">
        <f t="shared" si="70"/>
        <v>11.799999999999997</v>
      </c>
      <c r="AA86" s="143">
        <f t="shared" si="70"/>
        <v>12.200000000000003</v>
      </c>
      <c r="AB86" s="143">
        <f t="shared" si="70"/>
        <v>13</v>
      </c>
      <c r="AC86" s="353">
        <f t="shared" si="70"/>
        <v>13.700000000000003</v>
      </c>
      <c r="AD86" s="321">
        <f t="shared" si="70"/>
        <v>11.652727272727276</v>
      </c>
      <c r="AE86" s="260">
        <f t="shared" si="70"/>
        <v>11.100476190476193</v>
      </c>
      <c r="AF86" s="260">
        <f t="shared" si="70"/>
        <v>11.833333333333336</v>
      </c>
      <c r="AG86" s="260">
        <f t="shared" si="70"/>
        <v>12.966666666666669</v>
      </c>
      <c r="AH86" s="334">
        <f t="shared" si="57"/>
        <v>11.888300865800867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1">F78-F74</f>
        <v>0</v>
      </c>
      <c r="G87" s="143">
        <f>G78-G74</f>
        <v>8.8899999999999935</v>
      </c>
      <c r="H87" s="143">
        <f t="shared" ref="H87" si="72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73">K78-K74</f>
        <v>13.350000000000001</v>
      </c>
      <c r="L87" s="143">
        <f t="shared" si="73"/>
        <v>13.75</v>
      </c>
      <c r="M87" s="143">
        <f t="shared" si="73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9.16</v>
      </c>
      <c r="R87" s="143">
        <f t="shared" ref="R87:AG87" si="74">R78-R74</f>
        <v>10.375909090909097</v>
      </c>
      <c r="S87" s="143">
        <f t="shared" si="74"/>
        <v>9.0499999999999972</v>
      </c>
      <c r="T87" s="143">
        <f>T78-T74</f>
        <v>10.58333333333335</v>
      </c>
      <c r="U87" s="143">
        <f t="shared" si="74"/>
        <v>11.699999999999996</v>
      </c>
      <c r="V87" s="143">
        <f t="shared" si="74"/>
        <v>12.5</v>
      </c>
      <c r="W87" s="143">
        <f t="shared" si="74"/>
        <v>11</v>
      </c>
      <c r="X87" s="361"/>
      <c r="Y87" s="361"/>
      <c r="Z87" s="143">
        <f t="shared" si="74"/>
        <v>11.5</v>
      </c>
      <c r="AA87" s="143">
        <f t="shared" si="74"/>
        <v>11.5</v>
      </c>
      <c r="AB87" s="143">
        <f t="shared" si="74"/>
        <v>12</v>
      </c>
      <c r="AC87" s="353">
        <f t="shared" si="74"/>
        <v>12.5</v>
      </c>
      <c r="AD87" s="321">
        <f t="shared" si="74"/>
        <v>9.62530303030303</v>
      </c>
      <c r="AE87" s="260">
        <f t="shared" si="74"/>
        <v>10.44444444444445</v>
      </c>
      <c r="AF87" s="260">
        <f t="shared" si="74"/>
        <v>11.666666666666664</v>
      </c>
      <c r="AG87" s="260">
        <f t="shared" si="74"/>
        <v>12</v>
      </c>
      <c r="AH87" s="334">
        <f t="shared" si="57"/>
        <v>10.934103535353536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75">H79-H74</f>
        <v>-8.9503004558640669</v>
      </c>
      <c r="I88" s="143">
        <f t="shared" si="75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76">O62</f>
        <v>-6.7333333333333334</v>
      </c>
      <c r="P88" s="143">
        <f t="shared" si="76"/>
        <v>-3.13</v>
      </c>
      <c r="Q88" s="143">
        <f t="shared" si="76"/>
        <v>-5.08</v>
      </c>
      <c r="R88" s="143">
        <f t="shared" si="76"/>
        <v>-7.3010164638511021</v>
      </c>
      <c r="S88" s="143">
        <f t="shared" si="76"/>
        <v>-8.77</v>
      </c>
      <c r="T88" s="143">
        <f t="shared" si="76"/>
        <v>-9.0720209973753256</v>
      </c>
      <c r="U88" s="143">
        <f t="shared" si="76"/>
        <v>-8.8000000000000007</v>
      </c>
      <c r="V88" s="143">
        <f t="shared" si="76"/>
        <v>-4.5</v>
      </c>
      <c r="W88" s="143">
        <f t="shared" si="76"/>
        <v>-5.5</v>
      </c>
      <c r="X88" s="143"/>
      <c r="Y88" s="143"/>
      <c r="Z88" s="143">
        <f t="shared" si="76"/>
        <v>-7</v>
      </c>
      <c r="AA88" s="143">
        <f t="shared" si="76"/>
        <v>-7.5</v>
      </c>
      <c r="AB88" s="143">
        <f t="shared" si="76"/>
        <v>-7</v>
      </c>
      <c r="AC88" s="353">
        <f t="shared" si="76"/>
        <v>-7</v>
      </c>
      <c r="AD88" s="365">
        <f>AD61</f>
        <v>-5.1703388212837007</v>
      </c>
      <c r="AE88" s="260">
        <f>AE61</f>
        <v>-8.7422592062355839</v>
      </c>
      <c r="AF88" s="260">
        <f>AF79-AF74</f>
        <v>198.16833333333335</v>
      </c>
      <c r="AG88" s="358">
        <f>AG79-AG74</f>
        <v>205.94166666666666</v>
      </c>
      <c r="AH88" s="334">
        <f t="shared" si="57"/>
        <v>-6.7210864551022027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77">F70</f>
        <v>0</v>
      </c>
      <c r="G89" s="349">
        <f>G70</f>
        <v>0</v>
      </c>
      <c r="H89" s="349">
        <f t="shared" ref="H89" si="78">H70</f>
        <v>0</v>
      </c>
      <c r="I89" s="349">
        <f>I70</f>
        <v>0</v>
      </c>
      <c r="J89" s="349" t="e">
        <f>J70</f>
        <v>#DIV/0!</v>
      </c>
      <c r="K89" s="349">
        <f t="shared" ref="K89:M89" si="79">K70</f>
        <v>1.2</v>
      </c>
      <c r="L89" s="349">
        <f t="shared" si="79"/>
        <v>1.5</v>
      </c>
      <c r="M89" s="349">
        <f t="shared" si="79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3.1800000000000033</v>
      </c>
      <c r="R89" s="349">
        <f t="shared" ref="R89:AG89" si="80">R80-R74</f>
        <v>3.3497727272727289</v>
      </c>
      <c r="S89" s="349">
        <f t="shared" si="80"/>
        <v>2.4500000000000028</v>
      </c>
      <c r="T89" s="349">
        <f>T80-T74</f>
        <v>2.6066785714285672</v>
      </c>
      <c r="U89" s="349">
        <f t="shared" si="80"/>
        <v>2.1000000000000014</v>
      </c>
      <c r="V89" s="349">
        <f t="shared" si="80"/>
        <v>2.5</v>
      </c>
      <c r="W89" s="349">
        <f t="shared" si="80"/>
        <v>2.7999999999999972</v>
      </c>
      <c r="X89" s="362"/>
      <c r="Y89" s="362"/>
      <c r="Z89" s="349">
        <f t="shared" si="80"/>
        <v>2.7999999999999972</v>
      </c>
      <c r="AA89" s="349">
        <f t="shared" si="80"/>
        <v>2.7000000000000028</v>
      </c>
      <c r="AB89" s="349">
        <f t="shared" si="80"/>
        <v>2.7000000000000028</v>
      </c>
      <c r="AC89" s="354">
        <f t="shared" si="80"/>
        <v>2.7999999999999972</v>
      </c>
      <c r="AD89" s="351">
        <f>AD80-AD74</f>
        <v>3.3432575757575762</v>
      </c>
      <c r="AE89" s="352">
        <f>AE80-AE74</f>
        <v>2.3855595238095191</v>
      </c>
      <c r="AF89" s="352">
        <f>AF80-AF74</f>
        <v>2.7000000000000028</v>
      </c>
      <c r="AG89" s="352">
        <f t="shared" si="80"/>
        <v>2.7333333333333343</v>
      </c>
      <c r="AH89" s="342">
        <f t="shared" si="57"/>
        <v>2.7905376082251081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401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79"/>
      <c r="X90" s="280"/>
      <c r="Y90" s="280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401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6"/>
      <c r="X91" s="285"/>
      <c r="Y91" s="285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401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1">$B$92*$J$92</f>
        <v>-0.6</v>
      </c>
      <c r="L92" s="289">
        <f t="shared" si="81"/>
        <v>-0.6</v>
      </c>
      <c r="M92" s="289">
        <f t="shared" si="81"/>
        <v>-0.6</v>
      </c>
      <c r="N92" s="289">
        <f t="shared" si="81"/>
        <v>-0.6</v>
      </c>
      <c r="O92" s="289">
        <f t="shared" si="81"/>
        <v>-0.6</v>
      </c>
      <c r="P92" s="289">
        <f t="shared" si="81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1"/>
      <c r="X92" s="292"/>
      <c r="Y92" s="292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401"/>
      <c r="B93" s="287">
        <v>0.03</v>
      </c>
      <c r="C93" s="287">
        <v>0.03</v>
      </c>
      <c r="D93" s="288"/>
      <c r="E93" s="288"/>
      <c r="F93" s="289">
        <f t="shared" ref="F93:I96" si="82">$B93*(F75-F$74-1.7)</f>
        <v>-5.0999999999999997E-2</v>
      </c>
      <c r="G93" s="289">
        <f t="shared" si="82"/>
        <v>-0.14202300000000007</v>
      </c>
      <c r="H93" s="289">
        <f t="shared" si="82"/>
        <v>-0.10879736842105259</v>
      </c>
      <c r="I93" s="289">
        <f t="shared" si="82"/>
        <v>-8.1000000000004332E-3</v>
      </c>
      <c r="J93" s="290"/>
      <c r="K93" s="289" t="e">
        <f t="shared" ref="K93:P96" si="83">$B93*(K75-K$74-1.7)</f>
        <v>#REF!</v>
      </c>
      <c r="L93" s="289" t="e">
        <f t="shared" si="83"/>
        <v>#REF!</v>
      </c>
      <c r="M93" s="289">
        <f t="shared" si="83"/>
        <v>-8.2500000000000837E-3</v>
      </c>
      <c r="N93" s="289">
        <f t="shared" si="83"/>
        <v>6.5249999999999989E-2</v>
      </c>
      <c r="O93" s="289">
        <f t="shared" si="83"/>
        <v>0.129</v>
      </c>
      <c r="P93" s="289">
        <f t="shared" si="83"/>
        <v>0.24269999999999989</v>
      </c>
      <c r="Q93" s="289">
        <f>$B93*(Q75-Q$74-1.7)</f>
        <v>8.5883333333333353E-2</v>
      </c>
      <c r="R93" s="291"/>
      <c r="S93" s="291"/>
      <c r="T93" s="291"/>
      <c r="U93" s="291"/>
      <c r="V93" s="291" t="e">
        <v>#REF!</v>
      </c>
      <c r="W93" s="291"/>
      <c r="X93" s="292"/>
      <c r="Y93" s="292"/>
      <c r="Z93" s="291"/>
      <c r="AA93" s="291"/>
      <c r="AB93" s="291"/>
      <c r="AC93" s="291"/>
      <c r="AD93" s="289">
        <f t="shared" ref="AD93:AG96" si="84">$B93*(AD75-AD$74-1.7)</f>
        <v>0.13115050505050527</v>
      </c>
      <c r="AE93" s="289">
        <f t="shared" si="84"/>
        <v>-2.8019047619047496E-2</v>
      </c>
      <c r="AF93" s="289"/>
      <c r="AG93" s="289">
        <f t="shared" si="84"/>
        <v>-1.7000000000000012E-2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401"/>
      <c r="B94" s="287">
        <v>0.16</v>
      </c>
      <c r="C94" s="287">
        <v>0.16</v>
      </c>
      <c r="D94" s="288"/>
      <c r="E94" s="288"/>
      <c r="F94" s="289">
        <f t="shared" si="82"/>
        <v>-0.27200000000000002</v>
      </c>
      <c r="G94" s="289">
        <f t="shared" si="82"/>
        <v>2.8906079999999994</v>
      </c>
      <c r="H94" s="289">
        <f t="shared" si="82"/>
        <v>2.6582315789473734</v>
      </c>
      <c r="I94" s="289">
        <f t="shared" si="82"/>
        <v>2.9057599999999999</v>
      </c>
      <c r="J94" s="290"/>
      <c r="K94" s="289">
        <f t="shared" si="83"/>
        <v>2.3652000000000006</v>
      </c>
      <c r="L94" s="289">
        <f t="shared" si="83"/>
        <v>2.4879999999999991</v>
      </c>
      <c r="M94" s="289">
        <f t="shared" si="83"/>
        <v>2.3475999999999995</v>
      </c>
      <c r="N94" s="289">
        <f t="shared" si="83"/>
        <v>2.258</v>
      </c>
      <c r="O94" s="289">
        <f t="shared" si="83"/>
        <v>2.528</v>
      </c>
      <c r="P94" s="289">
        <f t="shared" si="83"/>
        <v>3.5056000000000007</v>
      </c>
      <c r="Q94" s="289">
        <f>$B94*(Q76-Q$74-1.7)</f>
        <v>2.16</v>
      </c>
      <c r="R94" s="291"/>
      <c r="S94" s="291"/>
      <c r="T94" s="291"/>
      <c r="U94" s="291"/>
      <c r="V94" s="291" t="e">
        <v>#REF!</v>
      </c>
      <c r="W94" s="291"/>
      <c r="X94" s="292"/>
      <c r="Y94" s="292"/>
      <c r="Z94" s="291"/>
      <c r="AA94" s="291"/>
      <c r="AB94" s="291"/>
      <c r="AC94" s="291"/>
      <c r="AD94" s="289">
        <f t="shared" si="84"/>
        <v>2.7381333333333333</v>
      </c>
      <c r="AE94" s="289">
        <f t="shared" si="84"/>
        <v>2.0456888888888893</v>
      </c>
      <c r="AF94" s="289"/>
      <c r="AG94" s="289">
        <f t="shared" si="84"/>
        <v>1.5680000000000001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2"/>
        <v>-0.255</v>
      </c>
      <c r="G95" s="289">
        <f t="shared" si="82"/>
        <v>1.1893499999999997</v>
      </c>
      <c r="H95" s="289">
        <f t="shared" si="82"/>
        <v>1.1527499999999997</v>
      </c>
      <c r="I95" s="289">
        <f t="shared" si="82"/>
        <v>1.7877749999999986</v>
      </c>
      <c r="J95" s="290"/>
      <c r="K95" s="289">
        <f t="shared" si="83"/>
        <v>1.7115</v>
      </c>
      <c r="L95" s="289">
        <f t="shared" si="83"/>
        <v>1.7602500000000003</v>
      </c>
      <c r="M95" s="289">
        <f t="shared" si="83"/>
        <v>1.7467499999999998</v>
      </c>
      <c r="N95" s="289">
        <f t="shared" si="83"/>
        <v>1.8794999999999995</v>
      </c>
      <c r="O95" s="289">
        <f t="shared" si="83"/>
        <v>2.085</v>
      </c>
      <c r="P95" s="289">
        <f t="shared" si="83"/>
        <v>1.4099999999999997</v>
      </c>
      <c r="Q95" s="289">
        <f>$B95*(Q77-Q$74-1.7)</f>
        <v>1.4880000000000002</v>
      </c>
      <c r="R95" s="291"/>
      <c r="S95" s="291"/>
      <c r="T95" s="291"/>
      <c r="U95" s="291"/>
      <c r="V95" s="291" t="e">
        <v>#REF!</v>
      </c>
      <c r="W95" s="291"/>
      <c r="X95" s="292"/>
      <c r="Y95" s="292"/>
      <c r="Z95" s="291"/>
      <c r="AA95" s="291"/>
      <c r="AB95" s="291"/>
      <c r="AC95" s="291"/>
      <c r="AD95" s="289">
        <f t="shared" si="84"/>
        <v>1.4929090909090914</v>
      </c>
      <c r="AE95" s="289">
        <f t="shared" si="84"/>
        <v>1.4100714285714291</v>
      </c>
      <c r="AF95" s="289"/>
      <c r="AG95" s="289">
        <f t="shared" si="84"/>
        <v>1.6900000000000004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2"/>
        <v>-0.66300000000000003</v>
      </c>
      <c r="G96" s="289">
        <f t="shared" si="82"/>
        <v>2.8040999999999974</v>
      </c>
      <c r="H96" s="289">
        <f t="shared" si="82"/>
        <v>3.0129552631578984</v>
      </c>
      <c r="I96" s="289">
        <f t="shared" si="82"/>
        <v>4.8371700000000013</v>
      </c>
      <c r="J96" s="290"/>
      <c r="K96" s="289">
        <f t="shared" si="83"/>
        <v>4.5435000000000008</v>
      </c>
      <c r="L96" s="289">
        <f t="shared" si="83"/>
        <v>4.6995000000000005</v>
      </c>
      <c r="M96" s="289">
        <f t="shared" si="83"/>
        <v>4.4343000000000004</v>
      </c>
      <c r="N96" s="289">
        <f t="shared" si="83"/>
        <v>4.8087000000000009</v>
      </c>
      <c r="O96" s="289">
        <f t="shared" si="83"/>
        <v>4.8555000000000001</v>
      </c>
      <c r="P96" s="289">
        <f t="shared" si="83"/>
        <v>2.9796</v>
      </c>
      <c r="Q96" s="289">
        <f>$B96*(Q78-Q$74-1.7)</f>
        <v>2.9094000000000002</v>
      </c>
      <c r="R96" s="291"/>
      <c r="S96" s="291"/>
      <c r="T96" s="291"/>
      <c r="U96" s="291"/>
      <c r="V96" s="291" t="e">
        <v>#REF!</v>
      </c>
      <c r="W96" s="291"/>
      <c r="X96" s="292"/>
      <c r="Y96" s="292"/>
      <c r="Z96" s="291"/>
      <c r="AA96" s="291"/>
      <c r="AB96" s="291"/>
      <c r="AC96" s="291"/>
      <c r="AD96" s="289">
        <f t="shared" si="84"/>
        <v>3.0908681818181818</v>
      </c>
      <c r="AE96" s="289">
        <f t="shared" si="84"/>
        <v>3.4103333333333361</v>
      </c>
      <c r="AF96" s="289"/>
      <c r="AG96" s="289">
        <f t="shared" si="84"/>
        <v>4.0170000000000003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85">$B$97*((K79/6.5)-(K$74-1.7))</f>
        <v>-0.88577076923076925</v>
      </c>
      <c r="L97" s="289">
        <f t="shared" si="85"/>
        <v>-0.88175538461538472</v>
      </c>
      <c r="M97" s="289">
        <f t="shared" si="85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-0.47289230769230811</v>
      </c>
      <c r="R97" s="291"/>
      <c r="S97" s="291"/>
      <c r="T97" s="291"/>
      <c r="U97" s="291"/>
      <c r="V97" s="291" t="e">
        <v>#REF!</v>
      </c>
      <c r="W97" s="291"/>
      <c r="X97" s="292"/>
      <c r="Y97" s="292"/>
      <c r="Z97" s="291"/>
      <c r="AA97" s="291"/>
      <c r="AB97" s="291"/>
      <c r="AC97" s="291"/>
      <c r="AD97" s="289">
        <f t="shared" ref="AD97:AG97" si="86">$B$97*((AD79/6.5)-(AD$74-1.7))</f>
        <v>-0.48642909090909042</v>
      </c>
      <c r="AE97" s="289">
        <f t="shared" si="86"/>
        <v>-0.9568099633699626</v>
      </c>
      <c r="AF97" s="289"/>
      <c r="AG97" s="289">
        <f t="shared" si="86"/>
        <v>-0.76630769230769202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87">$B98*(K81-K$74-1.7)</f>
        <v>-1.5</v>
      </c>
      <c r="L98" s="289">
        <f t="shared" si="87"/>
        <v>-1.4565000000000001</v>
      </c>
      <c r="M98" s="289">
        <f t="shared" si="87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-0.9323999999999999</v>
      </c>
      <c r="R98" s="291"/>
      <c r="S98" s="291"/>
      <c r="T98" s="291"/>
      <c r="U98" s="291"/>
      <c r="V98" s="291" t="e">
        <v>#REF!</v>
      </c>
      <c r="W98" s="291"/>
      <c r="X98" s="292"/>
      <c r="Y98" s="292"/>
      <c r="Z98" s="291"/>
      <c r="AA98" s="291"/>
      <c r="AB98" s="291"/>
      <c r="AC98" s="291"/>
      <c r="AD98" s="289">
        <f t="shared" ref="AD98:AG98" si="88">$B98*(AD81-AD$74-1.7)</f>
        <v>-0.96431818181818174</v>
      </c>
      <c r="AE98" s="289">
        <f t="shared" si="88"/>
        <v>-1.3479857142857143</v>
      </c>
      <c r="AF98" s="289"/>
      <c r="AG98" s="289">
        <f t="shared" si="88"/>
        <v>-1.4610000000000001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1"/>
      <c r="X99" s="292"/>
      <c r="Y99" s="292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89">SUM(H92:H98)</f>
        <v>-0.17026991934711599</v>
      </c>
      <c r="I100" s="289">
        <f>SUM(I92:I98)</f>
        <v>2.9612135099939429</v>
      </c>
      <c r="J100" s="290"/>
      <c r="K100" s="289" t="e">
        <f t="shared" ref="K100:M100" si="90">SUM(K92:K98)</f>
        <v>#REF!</v>
      </c>
      <c r="L100" s="289" t="e">
        <f t="shared" si="90"/>
        <v>#REF!</v>
      </c>
      <c r="M100" s="289">
        <f t="shared" si="90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1">SUM(Q92:Q98)</f>
        <v>4.6379910256410248</v>
      </c>
      <c r="R100" s="291"/>
      <c r="S100" s="291"/>
      <c r="T100" s="291"/>
      <c r="U100" s="291"/>
      <c r="V100" s="291" t="e">
        <v>#REF!</v>
      </c>
      <c r="W100" s="291"/>
      <c r="X100" s="292"/>
      <c r="Y100" s="292"/>
      <c r="Z100" s="291"/>
      <c r="AA100" s="291"/>
      <c r="AB100" s="291"/>
      <c r="AC100" s="291"/>
      <c r="AD100" s="289">
        <f t="shared" ref="AD100:AG100" si="92">SUM(AD92:AD98)</f>
        <v>5.4023138383838401</v>
      </c>
      <c r="AE100" s="289">
        <f t="shared" si="92"/>
        <v>3.9332789255189295</v>
      </c>
      <c r="AF100" s="289"/>
      <c r="AG100" s="289">
        <f t="shared" si="92"/>
        <v>4.4306923076923086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79"/>
      <c r="X101" s="280"/>
      <c r="Y101" s="280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79"/>
      <c r="X102" s="280"/>
      <c r="Y102" s="280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79"/>
      <c r="X103" s="280"/>
      <c r="Y103" s="280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79"/>
      <c r="X104" s="280"/>
      <c r="Y104" s="280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79"/>
      <c r="X105" s="280"/>
      <c r="Y105" s="280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79"/>
      <c r="X106" s="280"/>
      <c r="Y106" s="280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79"/>
      <c r="X107" s="280"/>
      <c r="Y107" s="280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79"/>
      <c r="X108" s="280"/>
      <c r="Y108" s="280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79"/>
      <c r="X109" s="280"/>
      <c r="Y109" s="280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401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79"/>
      <c r="X110" s="280"/>
      <c r="Y110" s="280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401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79"/>
      <c r="X111" s="280"/>
      <c r="Y111" s="280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79"/>
      <c r="X112" s="280"/>
      <c r="Y112" s="280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79"/>
      <c r="X113" s="280"/>
      <c r="Y113" s="280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79"/>
      <c r="X114" s="280"/>
      <c r="Y114" s="280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79"/>
      <c r="X115" s="280"/>
      <c r="Y115" s="280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79"/>
      <c r="X116" s="280"/>
      <c r="Y116" s="280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79"/>
      <c r="X117" s="280"/>
      <c r="Y117" s="280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79"/>
      <c r="X118" s="280"/>
      <c r="Y118" s="280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79"/>
      <c r="X119" s="280"/>
      <c r="Y119" s="280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79"/>
      <c r="X120" s="280"/>
      <c r="Y120" s="280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79"/>
      <c r="X121" s="280"/>
      <c r="Y121" s="280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79"/>
      <c r="X122" s="280"/>
      <c r="Y122" s="280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79"/>
      <c r="X123" s="280"/>
      <c r="Y123" s="280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6"/>
      <c r="X124" s="5"/>
      <c r="Y124" s="5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  <mergeCell ref="U5:U6"/>
    <mergeCell ref="V5:V6"/>
    <mergeCell ref="W5:W6"/>
    <mergeCell ref="Z5:Z6"/>
    <mergeCell ref="AA5:AA6"/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MT124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P5" sqref="P5:P6"/>
    </sheetView>
  </sheetViews>
  <sheetFormatPr defaultColWidth="9.08984375" defaultRowHeight="21" outlineLevelRow="1" outlineLevelCol="1"/>
  <cols>
    <col min="1" max="1" width="17.453125" style="194" customWidth="1"/>
    <col min="2" max="2" width="24.90625" style="2" hidden="1" customWidth="1"/>
    <col min="3" max="3" width="21.36328125" style="2" hidden="1" customWidth="1"/>
    <col min="4" max="4" width="13.453125" style="1" hidden="1" customWidth="1"/>
    <col min="5" max="5" width="10.36328125" style="1" hidden="1" customWidth="1"/>
    <col min="6" max="9" width="11.08984375" style="3" hidden="1" customWidth="1"/>
    <col min="10" max="10" width="31.90625" style="4" hidden="1" customWidth="1"/>
    <col min="11" max="14" width="11.08984375" style="3" hidden="1" customWidth="1"/>
    <col min="15" max="15" width="15.453125" style="3" hidden="1" customWidth="1"/>
    <col min="16" max="21" width="9" style="3" customWidth="1"/>
    <col min="22" max="22" width="9.453125" style="6" customWidth="1"/>
    <col min="23" max="23" width="9" style="6" customWidth="1"/>
    <col min="24" max="25" width="26.453125" style="5" hidden="1" customWidth="1" outlineLevel="1"/>
    <col min="26" max="26" width="9" style="6" customWidth="1" collapsed="1"/>
    <col min="27" max="29" width="9" style="6" customWidth="1"/>
    <col min="30" max="33" width="9" style="6" hidden="1" customWidth="1" outlineLevel="1"/>
    <col min="34" max="34" width="9" style="153" customWidth="1" collapsed="1"/>
    <col min="35" max="35" width="10.08984375" style="7" bestFit="1" customWidth="1"/>
    <col min="36" max="358" width="9.08984375" style="7"/>
    <col min="359" max="16384" width="9.0898437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2"/>
      <c r="Y2" s="12"/>
      <c r="Z2" s="10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X3" s="17"/>
      <c r="Y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8" t="s">
        <v>3</v>
      </c>
      <c r="F5" s="673" t="s">
        <v>4</v>
      </c>
      <c r="G5" s="673" t="s">
        <v>5</v>
      </c>
      <c r="H5" s="680" t="s">
        <v>6</v>
      </c>
      <c r="I5" s="673" t="s">
        <v>7</v>
      </c>
      <c r="J5" s="28" t="s">
        <v>2</v>
      </c>
      <c r="K5" s="673" t="s">
        <v>8</v>
      </c>
      <c r="L5" s="411" t="s">
        <v>9</v>
      </c>
      <c r="M5" s="411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673" t="s">
        <v>65</v>
      </c>
      <c r="U5" s="673" t="s">
        <v>66</v>
      </c>
      <c r="V5" s="673" t="s">
        <v>217</v>
      </c>
      <c r="W5" s="673" t="s">
        <v>68</v>
      </c>
      <c r="X5" s="29" t="s">
        <v>10</v>
      </c>
      <c r="Y5" s="30" t="s">
        <v>11</v>
      </c>
      <c r="Z5" s="673" t="s">
        <v>69</v>
      </c>
      <c r="AA5" s="673" t="s">
        <v>70</v>
      </c>
      <c r="AB5" s="673" t="s">
        <v>77</v>
      </c>
      <c r="AC5" s="697" t="s">
        <v>78</v>
      </c>
      <c r="AD5" s="699" t="s">
        <v>79</v>
      </c>
      <c r="AE5" s="688" t="s">
        <v>80</v>
      </c>
      <c r="AF5" s="688" t="s">
        <v>81</v>
      </c>
      <c r="AG5" s="695" t="s">
        <v>82</v>
      </c>
      <c r="AH5" s="685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79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674"/>
      <c r="V6" s="674"/>
      <c r="W6" s="674"/>
      <c r="X6" s="187">
        <v>42583</v>
      </c>
      <c r="Y6" s="188">
        <v>42614</v>
      </c>
      <c r="Z6" s="674"/>
      <c r="AA6" s="674"/>
      <c r="AB6" s="674"/>
      <c r="AC6" s="698"/>
      <c r="AD6" s="700"/>
      <c r="AE6" s="689"/>
      <c r="AF6" s="689"/>
      <c r="AG6" s="696"/>
      <c r="AH6" s="686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3"/>
      <c r="X7" s="22"/>
      <c r="Y7" s="22"/>
      <c r="Z7" s="24"/>
      <c r="AA7" s="24"/>
      <c r="AB7" s="24"/>
      <c r="AC7" s="24"/>
      <c r="AD7" s="302"/>
      <c r="AE7" s="24"/>
      <c r="AF7" s="24"/>
      <c r="AG7" s="303"/>
      <c r="AH7" s="238"/>
      <c r="AI7" s="413"/>
    </row>
    <row r="8" spans="1:358" hidden="1" outlineLevel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/>
      <c r="V8" s="39"/>
      <c r="W8" s="38"/>
      <c r="X8" s="360"/>
      <c r="Y8" s="215"/>
      <c r="Z8" s="38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81"/>
      <c r="B9" s="682"/>
      <c r="C9" s="682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08"/>
      <c r="X9" s="216"/>
      <c r="Y9" s="217"/>
      <c r="Z9" s="208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29.30263157894737</v>
      </c>
      <c r="R10" s="388">
        <v>35.141818181818174</v>
      </c>
      <c r="S10" s="388">
        <v>39.03</v>
      </c>
      <c r="T10" s="388">
        <v>44.268571428571427</v>
      </c>
      <c r="U10" s="388">
        <v>46.255909090909093</v>
      </c>
      <c r="V10" s="189">
        <v>43.32</v>
      </c>
      <c r="W10" s="189">
        <v>44.5</v>
      </c>
      <c r="X10" s="185"/>
      <c r="Y10" s="186"/>
      <c r="Z10" s="189">
        <v>45.4</v>
      </c>
      <c r="AA10" s="189">
        <v>46.5</v>
      </c>
      <c r="AB10" s="189">
        <v>47</v>
      </c>
      <c r="AC10" s="297">
        <v>47.5</v>
      </c>
      <c r="AD10" s="308">
        <f>AVERAGE(P10:R10)</f>
        <v>30.418149920255178</v>
      </c>
      <c r="AE10" s="246">
        <f>AVERAGE(S10:T10:U10)</f>
        <v>43.184826839826833</v>
      </c>
      <c r="AF10" s="246">
        <f>AVERAGE(V10:Z10)</f>
        <v>44.406666666666666</v>
      </c>
      <c r="AG10" s="309">
        <f>AVERAGE(AA10:AC10)</f>
        <v>47</v>
      </c>
      <c r="AH10" s="241">
        <f>AVERAGE(P10:AC10)</f>
        <v>41.25241085668717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29.30263157894737</v>
      </c>
      <c r="R11" s="389">
        <v>35.141818181818174</v>
      </c>
      <c r="S11" s="388">
        <v>39.03</v>
      </c>
      <c r="T11" s="388">
        <v>44.268571428571427</v>
      </c>
      <c r="U11" s="389">
        <v>46.255909090909093</v>
      </c>
      <c r="V11" s="183">
        <v>43.32</v>
      </c>
      <c r="W11" s="183">
        <v>42.7</v>
      </c>
      <c r="X11" s="185"/>
      <c r="Y11" s="186"/>
      <c r="Z11" s="183">
        <v>44</v>
      </c>
      <c r="AA11" s="183">
        <v>46</v>
      </c>
      <c r="AB11" s="183">
        <v>47</v>
      </c>
      <c r="AC11" s="298">
        <v>47.5</v>
      </c>
      <c r="AD11" s="308">
        <f>AVERAGE(P11:R11)</f>
        <v>30.418149920255178</v>
      </c>
      <c r="AE11" s="246">
        <f>AVERAGE(S11:T11:U11)</f>
        <v>43.184826839826833</v>
      </c>
      <c r="AF11" s="246">
        <f>AVERAGE(V11:Z11)</f>
        <v>43.34</v>
      </c>
      <c r="AG11" s="309">
        <f t="shared" ref="AG11:AG13" si="1">AVERAGE(AA11:AC11)</f>
        <v>46.833333333333336</v>
      </c>
      <c r="AH11" s="241">
        <f>AVERAGE(P11:AC11)</f>
        <v>40.944077523353833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29.30263157894737</v>
      </c>
      <c r="R12" s="388">
        <v>35.141818181818174</v>
      </c>
      <c r="S12" s="388">
        <v>39.03</v>
      </c>
      <c r="T12" s="388">
        <v>44.268571428571427</v>
      </c>
      <c r="U12" s="389">
        <v>46.255909090909093</v>
      </c>
      <c r="V12" s="183">
        <v>43.32</v>
      </c>
      <c r="W12" s="189">
        <v>43.5</v>
      </c>
      <c r="X12" s="185" t="s">
        <v>194</v>
      </c>
      <c r="Y12" s="186" t="s">
        <v>194</v>
      </c>
      <c r="Z12" s="189">
        <v>44</v>
      </c>
      <c r="AA12" s="189">
        <v>44</v>
      </c>
      <c r="AB12" s="189">
        <v>44.5</v>
      </c>
      <c r="AC12" s="297">
        <v>45</v>
      </c>
      <c r="AD12" s="308">
        <f>AVERAGE(P12:R12)</f>
        <v>30.418149920255178</v>
      </c>
      <c r="AE12" s="246">
        <f>AVERAGE(S12:T12:U12)</f>
        <v>43.184826839826833</v>
      </c>
      <c r="AF12" s="246">
        <f>AVERAGE(V12:Z12)</f>
        <v>43.606666666666662</v>
      </c>
      <c r="AG12" s="309">
        <f t="shared" si="1"/>
        <v>44.5</v>
      </c>
      <c r="AH12" s="241">
        <f>AVERAGE(P12:AC12)</f>
        <v>40.427410856687167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29.30263157894737</v>
      </c>
      <c r="R13" s="388">
        <v>35.141818181818174</v>
      </c>
      <c r="S13" s="388">
        <v>39.03</v>
      </c>
      <c r="T13" s="388">
        <v>44.268571428571427</v>
      </c>
      <c r="U13" s="388">
        <v>46.255909090909093</v>
      </c>
      <c r="V13" s="189">
        <v>43.32</v>
      </c>
      <c r="W13" s="189">
        <v>44.5</v>
      </c>
      <c r="X13" s="253" t="s">
        <v>210</v>
      </c>
      <c r="Y13" s="254"/>
      <c r="Z13" s="189">
        <v>46</v>
      </c>
      <c r="AA13" s="189">
        <v>46.5</v>
      </c>
      <c r="AB13" s="189">
        <v>48</v>
      </c>
      <c r="AC13" s="297">
        <v>49</v>
      </c>
      <c r="AD13" s="308">
        <f>AVERAGE(P13:R13)</f>
        <v>30.418149920255178</v>
      </c>
      <c r="AE13" s="246">
        <f>AVERAGE(S13:T13:U13)</f>
        <v>43.184826839826833</v>
      </c>
      <c r="AF13" s="246">
        <f>AVERAGE(V13:Z13)</f>
        <v>44.606666666666662</v>
      </c>
      <c r="AG13" s="309">
        <f t="shared" si="1"/>
        <v>47.833333333333336</v>
      </c>
      <c r="AH13" s="241">
        <f>AVERAGE(P13:AC13)</f>
        <v>41.510744190020503</v>
      </c>
      <c r="AI13" s="267"/>
    </row>
    <row r="14" spans="1:358" s="62" customFormat="1" ht="19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2">AVERAGE(J10:J13)</f>
        <v>#DIV/0!</v>
      </c>
      <c r="K14" s="59">
        <f t="shared" si="2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3">AVERAGE(O10:O13)</f>
        <v>37</v>
      </c>
      <c r="P14" s="59">
        <f>AVERAGE(P10:P13)</f>
        <v>26.81</v>
      </c>
      <c r="Q14" s="59">
        <f>AVERAGE(Q10:Q13)</f>
        <v>29.30263157894737</v>
      </c>
      <c r="R14" s="59">
        <f>AVERAGE(R10:R13)</f>
        <v>35.141818181818174</v>
      </c>
      <c r="S14" s="59">
        <f>AVERAGE(S10:S13)</f>
        <v>39.03</v>
      </c>
      <c r="T14" s="59">
        <f>AVERAGE(T10:T13)</f>
        <v>44.268571428571427</v>
      </c>
      <c r="U14" s="59">
        <f t="shared" ref="U14:AC14" si="4">AVERAGE(U10:U13)</f>
        <v>46.255909090909093</v>
      </c>
      <c r="V14" s="59">
        <f t="shared" si="4"/>
        <v>43.32</v>
      </c>
      <c r="W14" s="59">
        <f t="shared" si="4"/>
        <v>43.8</v>
      </c>
      <c r="X14" s="369"/>
      <c r="Y14" s="369"/>
      <c r="Z14" s="59">
        <f t="shared" si="4"/>
        <v>44.85</v>
      </c>
      <c r="AA14" s="59">
        <f t="shared" si="4"/>
        <v>45.75</v>
      </c>
      <c r="AB14" s="59">
        <f t="shared" si="4"/>
        <v>46.625</v>
      </c>
      <c r="AC14" s="234">
        <f t="shared" si="4"/>
        <v>47.25</v>
      </c>
      <c r="AD14" s="310">
        <f>AVERAGE(AD10:AD13)</f>
        <v>30.418149920255178</v>
      </c>
      <c r="AE14" s="59">
        <f t="shared" ref="AE14" si="5">AVERAGE(AE10:AE13)</f>
        <v>43.184826839826833</v>
      </c>
      <c r="AF14" s="59">
        <f>AVERAGE(AF10:AF13)</f>
        <v>43.989999999999995</v>
      </c>
      <c r="AG14" s="311">
        <f>AVERAGE(AG10:AG13)</f>
        <v>46.541666666666671</v>
      </c>
      <c r="AH14" s="242">
        <f>AVERAGE(AH10:AH13)</f>
        <v>41.033660856687163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164">
        <f>P14</f>
        <v>26.81</v>
      </c>
      <c r="Q15" s="164">
        <f t="shared" ref="Q15" si="6">Q14</f>
        <v>29.30263157894737</v>
      </c>
      <c r="R15" s="164">
        <f>R14</f>
        <v>35.141818181818174</v>
      </c>
      <c r="S15" s="164">
        <f>S14</f>
        <v>39.03</v>
      </c>
      <c r="T15" s="164">
        <f>T14</f>
        <v>44.268571428571427</v>
      </c>
      <c r="U15" s="164">
        <v>46.4</v>
      </c>
      <c r="V15" s="164">
        <f>V14</f>
        <v>43.32</v>
      </c>
      <c r="W15" s="164">
        <v>42.5</v>
      </c>
      <c r="X15" s="370"/>
      <c r="Y15" s="370"/>
      <c r="Z15" s="164">
        <v>43</v>
      </c>
      <c r="AA15" s="164">
        <v>44</v>
      </c>
      <c r="AB15" s="164">
        <v>44.5</v>
      </c>
      <c r="AC15" s="229">
        <v>45</v>
      </c>
      <c r="AD15" s="312">
        <f>AVERAGE(P15:R15)</f>
        <v>30.418149920255178</v>
      </c>
      <c r="AE15" s="164">
        <f>AVERAGE(S15:T15:U15)</f>
        <v>43.232857142857142</v>
      </c>
      <c r="AF15" s="164">
        <f>AVERAGE(V15:Z15)</f>
        <v>42.94</v>
      </c>
      <c r="AG15" s="313">
        <f>AVERAGE(AA15:AC15)</f>
        <v>44.5</v>
      </c>
      <c r="AH15" s="242">
        <f>AVERAGE(P15:AC15)</f>
        <v>40.272751765778082</v>
      </c>
      <c r="AI15" s="271">
        <v>54</v>
      </c>
      <c r="AJ15" s="179"/>
      <c r="AK15" s="179"/>
    </row>
    <row r="16" spans="1:358" ht="21.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23"/>
      <c r="X16" s="371"/>
      <c r="Y16" s="371"/>
      <c r="Z16" s="23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idden="1" outlineLevel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/>
      <c r="V17" s="39"/>
      <c r="W17" s="38"/>
      <c r="X17" s="372"/>
      <c r="Y17" s="372"/>
      <c r="Z17" s="38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5"/>
      <c r="B18" s="676"/>
      <c r="C18" s="676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44"/>
      <c r="X18" s="373"/>
      <c r="Y18" s="374"/>
      <c r="Z18" s="4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4.5752631578947387</v>
      </c>
      <c r="R19" s="388">
        <v>3.8622727272727388</v>
      </c>
      <c r="S19" s="388">
        <v>3.33</v>
      </c>
      <c r="T19" s="388">
        <v>-0.23190476190475806</v>
      </c>
      <c r="U19" s="388">
        <v>-0.89681818181818329</v>
      </c>
      <c r="V19" s="189">
        <v>-0.56000000000000005</v>
      </c>
      <c r="W19" s="189">
        <v>-0.5</v>
      </c>
      <c r="X19" s="185"/>
      <c r="Y19" s="186"/>
      <c r="Z19" s="189">
        <v>0</v>
      </c>
      <c r="AA19" s="189">
        <v>1</v>
      </c>
      <c r="AB19" s="189">
        <v>1.5</v>
      </c>
      <c r="AC19" s="297">
        <v>2</v>
      </c>
      <c r="AD19" s="308">
        <f>AVERAGE(P19:R19)</f>
        <v>6.0758452950558253</v>
      </c>
      <c r="AE19" s="246">
        <f>AVERAGE(S19:T19:U19)</f>
        <v>0.73375901875901961</v>
      </c>
      <c r="AF19" s="246">
        <f>AVERAGE(V19:Z19)</f>
        <v>-0.35333333333333333</v>
      </c>
      <c r="AG19" s="309">
        <f>AVERAGE(AA19:AC19)</f>
        <v>1.5</v>
      </c>
      <c r="AH19" s="241">
        <f>AVERAGE(P19:AC19)</f>
        <v>1.989067745120378</v>
      </c>
      <c r="AI19" s="272"/>
    </row>
    <row r="20" spans="1:358" ht="58.5" hidden="1" customHeight="1" outlineLevel="1">
      <c r="A20" s="47" t="s">
        <v>24</v>
      </c>
      <c r="B20" s="48">
        <f t="shared" ref="B20" si="7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4.5752631578947387</v>
      </c>
      <c r="R20" s="389">
        <v>3.8622727272727388</v>
      </c>
      <c r="S20" s="388">
        <v>3.33</v>
      </c>
      <c r="T20" s="388">
        <v>-0.23190476190475806</v>
      </c>
      <c r="U20" s="389">
        <v>-0.89681818181818329</v>
      </c>
      <c r="V20" s="183">
        <v>-0.56000000000000005</v>
      </c>
      <c r="W20" s="183">
        <v>-0.5</v>
      </c>
      <c r="X20" s="185"/>
      <c r="Y20" s="186"/>
      <c r="Z20" s="183">
        <v>0.1</v>
      </c>
      <c r="AA20" s="183">
        <v>1</v>
      </c>
      <c r="AB20" s="183">
        <v>1.3</v>
      </c>
      <c r="AC20" s="298">
        <v>1.5</v>
      </c>
      <c r="AD20" s="308">
        <f>AVERAGE(P20:R20)</f>
        <v>6.0758452950558253</v>
      </c>
      <c r="AE20" s="246">
        <f>AVERAGE(S20:T20:U20)</f>
        <v>0.73375901875901961</v>
      </c>
      <c r="AF20" s="246">
        <f>AVERAGE(V20:Z20)</f>
        <v>-0.32</v>
      </c>
      <c r="AG20" s="309">
        <f t="shared" ref="AG20:AG22" si="8">AVERAGE(AA20:AC20)</f>
        <v>1.2666666666666666</v>
      </c>
      <c r="AH20" s="241">
        <f>AVERAGE(P20:AC20)</f>
        <v>1.9390677451203782</v>
      </c>
      <c r="AI20" s="272"/>
    </row>
    <row r="21" spans="1:358" ht="58.5" hidden="1" customHeight="1" outlineLevel="1">
      <c r="A21" s="47" t="s">
        <v>25</v>
      </c>
      <c r="B21" s="78">
        <f t="shared" ref="B21" si="9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4.5752631578947387</v>
      </c>
      <c r="R21" s="388">
        <v>3.8622727272727388</v>
      </c>
      <c r="S21" s="388">
        <v>3.33</v>
      </c>
      <c r="T21" s="388">
        <v>-0.23190476190475806</v>
      </c>
      <c r="U21" s="388">
        <v>-0.89681818181818329</v>
      </c>
      <c r="V21" s="189">
        <v>-0.56000000000000005</v>
      </c>
      <c r="W21" s="189">
        <v>-0.1</v>
      </c>
      <c r="X21" s="185" t="s">
        <v>216</v>
      </c>
      <c r="Y21" s="186" t="s">
        <v>216</v>
      </c>
      <c r="Z21" s="189">
        <v>0.1</v>
      </c>
      <c r="AA21" s="189">
        <v>0</v>
      </c>
      <c r="AB21" s="189">
        <v>1</v>
      </c>
      <c r="AC21" s="297">
        <v>1.5</v>
      </c>
      <c r="AD21" s="308">
        <f>AVERAGE(P21:R21)</f>
        <v>6.0758452950558253</v>
      </c>
      <c r="AE21" s="246">
        <f>AVERAGE(S21:T21:U21)</f>
        <v>0.73375901875901961</v>
      </c>
      <c r="AF21" s="246">
        <f>AVERAGE(V21:Z21)</f>
        <v>-0.18666666666666668</v>
      </c>
      <c r="AG21" s="309">
        <f t="shared" si="8"/>
        <v>0.83333333333333337</v>
      </c>
      <c r="AH21" s="241">
        <f>AVERAGE(P21:AC21)</f>
        <v>1.864067745120378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4.5752631578947387</v>
      </c>
      <c r="R22" s="388">
        <v>3.8622727272727388</v>
      </c>
      <c r="S22" s="388">
        <v>3.33</v>
      </c>
      <c r="T22" s="388">
        <v>-0.23190476190475806</v>
      </c>
      <c r="U22" s="388">
        <v>-0.89681818181818329</v>
      </c>
      <c r="V22" s="189">
        <v>-0.56000000000000005</v>
      </c>
      <c r="W22" s="189">
        <v>-1.2</v>
      </c>
      <c r="X22" s="185"/>
      <c r="Y22" s="186"/>
      <c r="Z22" s="189">
        <v>-0.7</v>
      </c>
      <c r="AA22" s="189">
        <v>0.3</v>
      </c>
      <c r="AB22" s="189">
        <v>1.2</v>
      </c>
      <c r="AC22" s="297">
        <v>1.8</v>
      </c>
      <c r="AD22" s="308">
        <f>AVERAGE(P22:R22)</f>
        <v>6.0758452950558253</v>
      </c>
      <c r="AE22" s="246">
        <f>AVERAGE(S22:T22:U22)</f>
        <v>0.73375901875901961</v>
      </c>
      <c r="AF22" s="246">
        <f>AVERAGE(V22:Z22)</f>
        <v>-0.82</v>
      </c>
      <c r="AG22" s="309">
        <f t="shared" si="8"/>
        <v>1.0999999999999999</v>
      </c>
      <c r="AH22" s="241">
        <f>AVERAGE(P22:AC22)</f>
        <v>1.7724010784537114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59">
        <f>AVERAGE(P19:P22)</f>
        <v>9.7899999999999991</v>
      </c>
      <c r="Q23" s="59">
        <f>AVERAGE(Q19:Q22)</f>
        <v>4.5752631578947387</v>
      </c>
      <c r="R23" s="59">
        <f t="shared" ref="R23" si="10">AVERAGE(R19:R22)</f>
        <v>3.8622727272727388</v>
      </c>
      <c r="S23" s="59">
        <f>AVERAGE(S19:S22)</f>
        <v>3.33</v>
      </c>
      <c r="T23" s="59">
        <f>AVERAGE(T19:T22)</f>
        <v>-0.23190476190475806</v>
      </c>
      <c r="U23" s="59">
        <f t="shared" ref="U23:AC23" si="11">AVERAGE(U19:U22)</f>
        <v>-0.89681818181818329</v>
      </c>
      <c r="V23" s="59">
        <f t="shared" si="11"/>
        <v>-0.56000000000000005</v>
      </c>
      <c r="W23" s="59">
        <f t="shared" si="11"/>
        <v>-0.57499999999999996</v>
      </c>
      <c r="X23" s="375"/>
      <c r="Y23" s="375"/>
      <c r="Z23" s="59">
        <f t="shared" si="11"/>
        <v>-0.12499999999999999</v>
      </c>
      <c r="AA23" s="59">
        <f t="shared" si="11"/>
        <v>0.57499999999999996</v>
      </c>
      <c r="AB23" s="59">
        <f t="shared" si="11"/>
        <v>1.25</v>
      </c>
      <c r="AC23" s="234">
        <f t="shared" si="11"/>
        <v>1.7</v>
      </c>
      <c r="AD23" s="310">
        <f>AVERAGE(AD19:AD22)</f>
        <v>6.0758452950558253</v>
      </c>
      <c r="AE23" s="59">
        <f>AVERAGE(AE19:AE22)</f>
        <v>0.73375901875901961</v>
      </c>
      <c r="AF23" s="59">
        <f t="shared" ref="AF23:AG23" si="12">AVERAGE(AF19:AF22)</f>
        <v>-0.42</v>
      </c>
      <c r="AG23" s="311">
        <f t="shared" si="12"/>
        <v>1.175</v>
      </c>
      <c r="AH23" s="242">
        <f>AVERAGE(AH19:AH22)</f>
        <v>1.8911510784537113</v>
      </c>
      <c r="AI23" s="272"/>
    </row>
    <row r="24" spans="1:358" ht="19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164">
        <f>P23</f>
        <v>9.7899999999999991</v>
      </c>
      <c r="Q24" s="164">
        <f t="shared" ref="Q24" si="13">Q23</f>
        <v>4.5752631578947387</v>
      </c>
      <c r="R24" s="164">
        <f>R23</f>
        <v>3.8622727272727388</v>
      </c>
      <c r="S24" s="164">
        <f>S23</f>
        <v>3.33</v>
      </c>
      <c r="T24" s="164">
        <f>T23</f>
        <v>-0.23190476190475806</v>
      </c>
      <c r="U24" s="164">
        <v>-0.8</v>
      </c>
      <c r="V24" s="164">
        <f>V23</f>
        <v>-0.56000000000000005</v>
      </c>
      <c r="W24" s="164">
        <v>-0.5</v>
      </c>
      <c r="X24" s="370"/>
      <c r="Y24" s="370"/>
      <c r="Z24" s="164">
        <v>0.1</v>
      </c>
      <c r="AA24" s="164">
        <v>0.5</v>
      </c>
      <c r="AB24" s="164">
        <v>1.2</v>
      </c>
      <c r="AC24" s="229">
        <v>1.5</v>
      </c>
      <c r="AD24" s="312">
        <f>AVERAGE(P24:R24)</f>
        <v>6.0758452950558253</v>
      </c>
      <c r="AE24" s="164">
        <f>AVERAGE(S24:T24:U24)</f>
        <v>0.7660317460317474</v>
      </c>
      <c r="AF24" s="164">
        <f>AVERAGE(V24:Z24)</f>
        <v>-0.32</v>
      </c>
      <c r="AG24" s="313">
        <f>AVERAGE(AA24:AC24)</f>
        <v>1.0666666666666667</v>
      </c>
      <c r="AH24" s="242">
        <f>AVERAGE(P24:AC24)</f>
        <v>1.8971359269385599</v>
      </c>
      <c r="AI24" s="271">
        <v>-1</v>
      </c>
    </row>
    <row r="25" spans="1:358" ht="21.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23"/>
      <c r="X25" s="371"/>
      <c r="Y25" s="371"/>
      <c r="Z25" s="23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idden="1" outlineLevel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/>
      <c r="V26" s="39"/>
      <c r="W26" s="38"/>
      <c r="X26" s="372"/>
      <c r="Y26" s="372"/>
      <c r="Z26" s="38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83"/>
      <c r="B27" s="684"/>
      <c r="C27" s="684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44"/>
      <c r="X27" s="376"/>
      <c r="Y27" s="377"/>
      <c r="Z27" s="44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15.207894736842107</v>
      </c>
      <c r="R28" s="388">
        <v>17.63000000000001</v>
      </c>
      <c r="S28" s="388">
        <v>15.56</v>
      </c>
      <c r="T28" s="388">
        <v>14.896666666666668</v>
      </c>
      <c r="U28" s="388">
        <v>12.885454545454536</v>
      </c>
      <c r="V28" s="189">
        <v>9.66</v>
      </c>
      <c r="W28" s="189">
        <v>9.5</v>
      </c>
      <c r="X28" s="185"/>
      <c r="Y28" s="186"/>
      <c r="Z28" s="189">
        <v>10.5</v>
      </c>
      <c r="AA28" s="189">
        <v>11.5</v>
      </c>
      <c r="AB28" s="189">
        <v>12</v>
      </c>
      <c r="AC28" s="297">
        <v>12.5</v>
      </c>
      <c r="AD28" s="308">
        <f>AVERAGE(P28:R28)</f>
        <v>18.815964912280705</v>
      </c>
      <c r="AE28" s="246">
        <f>AVERAGE(S28:T28:U28)</f>
        <v>14.447373737373736</v>
      </c>
      <c r="AF28" s="246">
        <f>AVERAGE(V28:Z28)</f>
        <v>9.8866666666666667</v>
      </c>
      <c r="AG28" s="309">
        <f>AVERAGE(AA28:AC28)</f>
        <v>12</v>
      </c>
      <c r="AH28" s="241">
        <f>AVERAGE(P28:AC28)</f>
        <v>13.787501329080277</v>
      </c>
      <c r="AI28" s="272"/>
    </row>
    <row r="29" spans="1:358" ht="54.75" hidden="1" customHeight="1" outlineLevel="1">
      <c r="A29" s="47" t="s">
        <v>24</v>
      </c>
      <c r="B29" s="78">
        <f t="shared" ref="B29" si="14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15.207894736842107</v>
      </c>
      <c r="R29" s="389">
        <v>17.63000000000001</v>
      </c>
      <c r="S29" s="388">
        <v>15.56</v>
      </c>
      <c r="T29" s="389">
        <v>14.896666666666668</v>
      </c>
      <c r="U29" s="389">
        <v>12.885454545454536</v>
      </c>
      <c r="V29" s="183">
        <v>9.66</v>
      </c>
      <c r="W29" s="183">
        <v>10</v>
      </c>
      <c r="X29" s="185"/>
      <c r="Y29" s="186"/>
      <c r="Z29" s="183">
        <v>11</v>
      </c>
      <c r="AA29" s="183">
        <v>12.5</v>
      </c>
      <c r="AB29" s="183">
        <v>12</v>
      </c>
      <c r="AC29" s="298">
        <v>12</v>
      </c>
      <c r="AD29" s="308">
        <f>AVERAGE(P29:R29)</f>
        <v>18.815964912280705</v>
      </c>
      <c r="AE29" s="246">
        <f>AVERAGE(S29:T29:U29)</f>
        <v>14.447373737373736</v>
      </c>
      <c r="AF29" s="246">
        <f>AVERAGE(V29:Z29)</f>
        <v>10.220000000000001</v>
      </c>
      <c r="AG29" s="309">
        <f t="shared" ref="AG29:AG31" si="15">AVERAGE(AA29:AC29)</f>
        <v>12.166666666666666</v>
      </c>
      <c r="AH29" s="241">
        <f>AVERAGE(P29:AC29)</f>
        <v>13.912501329080277</v>
      </c>
      <c r="AI29" s="272"/>
    </row>
    <row r="30" spans="1:358" ht="54.75" hidden="1" customHeight="1" outlineLevel="1">
      <c r="A30" s="47" t="s">
        <v>25</v>
      </c>
      <c r="B30" s="48">
        <f t="shared" ref="B30" si="16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15.207894736842107</v>
      </c>
      <c r="R30" s="388">
        <v>17.63000000000001</v>
      </c>
      <c r="S30" s="388">
        <v>15.56</v>
      </c>
      <c r="T30" s="388">
        <v>14.896666666666668</v>
      </c>
      <c r="U30" s="388">
        <v>12.885454545454536</v>
      </c>
      <c r="V30" s="189">
        <v>9.66</v>
      </c>
      <c r="W30" s="189">
        <v>11.5</v>
      </c>
      <c r="X30" s="185" t="s">
        <v>209</v>
      </c>
      <c r="Y30" s="186" t="s">
        <v>209</v>
      </c>
      <c r="Z30" s="189">
        <v>12</v>
      </c>
      <c r="AA30" s="189">
        <v>12</v>
      </c>
      <c r="AB30" s="189">
        <v>12.5</v>
      </c>
      <c r="AC30" s="297">
        <v>12.5</v>
      </c>
      <c r="AD30" s="308">
        <f>AVERAGE(P30:R30)</f>
        <v>18.815964912280705</v>
      </c>
      <c r="AE30" s="246">
        <f>AVERAGE(S30:T30:U30)</f>
        <v>14.447373737373736</v>
      </c>
      <c r="AF30" s="246">
        <f>AVERAGE(V30:Z30)</f>
        <v>11.053333333333333</v>
      </c>
      <c r="AG30" s="309">
        <f t="shared" si="15"/>
        <v>12.333333333333334</v>
      </c>
      <c r="AH30" s="241">
        <f>AVERAGE(P30:AC30)</f>
        <v>14.162501329080277</v>
      </c>
      <c r="AI30" s="272"/>
    </row>
    <row r="31" spans="1:358" ht="50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15.207894736842107</v>
      </c>
      <c r="R31" s="388">
        <v>17.63000000000001</v>
      </c>
      <c r="S31" s="388">
        <v>15.56</v>
      </c>
      <c r="T31" s="388">
        <v>14.896666666666668</v>
      </c>
      <c r="U31" s="388">
        <v>12.885454545454536</v>
      </c>
      <c r="V31" s="189">
        <v>9.66</v>
      </c>
      <c r="W31" s="189">
        <v>10.5</v>
      </c>
      <c r="X31" s="185" t="s">
        <v>211</v>
      </c>
      <c r="Y31" s="186"/>
      <c r="Z31" s="189">
        <v>11.3</v>
      </c>
      <c r="AA31" s="189">
        <v>11.9</v>
      </c>
      <c r="AB31" s="189">
        <v>11</v>
      </c>
      <c r="AC31" s="297">
        <v>10</v>
      </c>
      <c r="AD31" s="308">
        <f>AVERAGE(P31:R31)</f>
        <v>18.815964912280705</v>
      </c>
      <c r="AE31" s="246">
        <f>AVERAGE(S31:T31:U31)</f>
        <v>14.447373737373736</v>
      </c>
      <c r="AF31" s="246">
        <f>AVERAGE(V31:Z31)</f>
        <v>10.486666666666666</v>
      </c>
      <c r="AG31" s="309">
        <f t="shared" si="15"/>
        <v>10.966666666666667</v>
      </c>
      <c r="AH31" s="241">
        <f>AVERAGE(P31:AC31)</f>
        <v>13.679167995746944</v>
      </c>
      <c r="AI31" s="272"/>
    </row>
    <row r="32" spans="1:358" s="62" customFormat="1" ht="19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17">AVERAGE(J28:J31)</f>
        <v>#DIV/0!</v>
      </c>
      <c r="K32" s="59">
        <f t="shared" si="17"/>
        <v>16.482500000000002</v>
      </c>
      <c r="L32" s="59">
        <f t="shared" si="17"/>
        <v>17.25</v>
      </c>
      <c r="M32" s="59">
        <f t="shared" si="17"/>
        <v>16.372499999999999</v>
      </c>
      <c r="N32" s="59">
        <f t="shared" si="17"/>
        <v>15.8125</v>
      </c>
      <c r="O32" s="59">
        <f t="shared" si="17"/>
        <v>18.166666666666668</v>
      </c>
      <c r="P32" s="59">
        <f t="shared" si="17"/>
        <v>23.61</v>
      </c>
      <c r="Q32" s="59">
        <f t="shared" si="17"/>
        <v>15.207894736842107</v>
      </c>
      <c r="R32" s="59">
        <f t="shared" si="17"/>
        <v>17.63000000000001</v>
      </c>
      <c r="S32" s="59">
        <f t="shared" si="17"/>
        <v>15.56</v>
      </c>
      <c r="T32" s="59">
        <f>AVERAGE(T28:T31)</f>
        <v>14.896666666666668</v>
      </c>
      <c r="U32" s="59">
        <f t="shared" si="17"/>
        <v>12.885454545454536</v>
      </c>
      <c r="V32" s="59">
        <f t="shared" si="17"/>
        <v>9.66</v>
      </c>
      <c r="W32" s="59">
        <f t="shared" si="17"/>
        <v>10.375</v>
      </c>
      <c r="X32" s="369"/>
      <c r="Y32" s="369"/>
      <c r="Z32" s="59">
        <f t="shared" si="17"/>
        <v>11.2</v>
      </c>
      <c r="AA32" s="59">
        <f t="shared" si="17"/>
        <v>11.975</v>
      </c>
      <c r="AB32" s="59">
        <f t="shared" si="17"/>
        <v>11.875</v>
      </c>
      <c r="AC32" s="234">
        <f t="shared" si="17"/>
        <v>11.75</v>
      </c>
      <c r="AD32" s="310">
        <f>AVERAGE(AD28:AD31)</f>
        <v>18.815964912280705</v>
      </c>
      <c r="AE32" s="59">
        <f t="shared" ref="AE32:AG32" si="18">AVERAGE(AE28:AE31)</f>
        <v>14.447373737373736</v>
      </c>
      <c r="AF32" s="59">
        <f t="shared" si="18"/>
        <v>10.411666666666667</v>
      </c>
      <c r="AG32" s="311">
        <f t="shared" si="18"/>
        <v>11.866666666666667</v>
      </c>
      <c r="AH32" s="242">
        <f>AVERAGE(AH28:AH31)</f>
        <v>13.885417995746943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164">
        <f>P32</f>
        <v>23.61</v>
      </c>
      <c r="Q33" s="164">
        <f t="shared" ref="Q33" si="19">Q32</f>
        <v>15.207894736842107</v>
      </c>
      <c r="R33" s="164">
        <f>R32</f>
        <v>17.63000000000001</v>
      </c>
      <c r="S33" s="164">
        <f>S32</f>
        <v>15.56</v>
      </c>
      <c r="T33" s="164">
        <f>T32</f>
        <v>14.896666666666668</v>
      </c>
      <c r="U33" s="164">
        <v>13</v>
      </c>
      <c r="V33" s="164">
        <f>V32</f>
        <v>9.66</v>
      </c>
      <c r="W33" s="164">
        <v>9.5</v>
      </c>
      <c r="X33" s="370"/>
      <c r="Y33" s="370"/>
      <c r="Z33" s="164">
        <v>10.5</v>
      </c>
      <c r="AA33" s="164">
        <v>10.5</v>
      </c>
      <c r="AB33" s="164">
        <v>10.5</v>
      </c>
      <c r="AC33" s="229">
        <v>10.5</v>
      </c>
      <c r="AD33" s="312">
        <f>AVERAGE(P33:R33)</f>
        <v>18.815964912280705</v>
      </c>
      <c r="AE33" s="164">
        <f>AVERAGE(S33:T33:U33)</f>
        <v>14.485555555555557</v>
      </c>
      <c r="AF33" s="164">
        <f>AVERAGE(V33:Z33)</f>
        <v>9.8866666666666667</v>
      </c>
      <c r="AG33" s="313">
        <f>AVERAGE(AA33:AC33)</f>
        <v>10.5</v>
      </c>
      <c r="AH33" s="242">
        <f>AVERAGE(P33:AC33)</f>
        <v>13.422046783625731</v>
      </c>
      <c r="AI33" s="271">
        <v>16</v>
      </c>
    </row>
    <row r="34" spans="1:358" ht="21.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23"/>
      <c r="X34" s="371"/>
      <c r="Y34" s="371"/>
      <c r="Z34" s="23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idden="1" outlineLevel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/>
      <c r="V35" s="39"/>
      <c r="W35" s="38"/>
      <c r="X35" s="378"/>
      <c r="Y35" s="378"/>
      <c r="Z35" s="3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5"/>
      <c r="B36" s="676"/>
      <c r="C36" s="676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44"/>
      <c r="X36" s="373"/>
      <c r="Y36" s="374"/>
      <c r="Z36" s="4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11.711052631578951</v>
      </c>
      <c r="R37" s="390">
        <v>12.238181818181829</v>
      </c>
      <c r="S37" s="390">
        <v>10.5</v>
      </c>
      <c r="T37" s="390">
        <v>10.901428571428582</v>
      </c>
      <c r="U37" s="390">
        <v>12.038181818181819</v>
      </c>
      <c r="V37" s="181">
        <v>12.21</v>
      </c>
      <c r="W37" s="181">
        <v>11.7</v>
      </c>
      <c r="X37" s="185"/>
      <c r="Y37" s="186"/>
      <c r="Z37" s="181">
        <v>12</v>
      </c>
      <c r="AA37" s="181">
        <v>12.5</v>
      </c>
      <c r="AB37" s="181">
        <v>13.25</v>
      </c>
      <c r="AC37" s="299">
        <v>13.5</v>
      </c>
      <c r="AD37" s="308">
        <f>AVERAGE(P37:R37)</f>
        <v>11.683078149920261</v>
      </c>
      <c r="AE37" s="246">
        <f>AVERAGE(S37:T37:U37)</f>
        <v>11.1465367965368</v>
      </c>
      <c r="AF37" s="246">
        <f>AVERAGE(V37:Z37)</f>
        <v>11.969999999999999</v>
      </c>
      <c r="AG37" s="309">
        <f>AVERAGE(AA37:AC37)</f>
        <v>13.083333333333334</v>
      </c>
      <c r="AH37" s="241">
        <f>AVERAGE(P37:AC37)</f>
        <v>11.970737069947598</v>
      </c>
      <c r="AI37" s="272"/>
    </row>
    <row r="38" spans="1:358" ht="57.75" hidden="1" customHeight="1" outlineLevel="1">
      <c r="A38" s="47" t="s">
        <v>24</v>
      </c>
      <c r="B38" s="78">
        <f t="shared" ref="B38" si="20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11.711052631578951</v>
      </c>
      <c r="R38" s="391">
        <v>12.238181818181829</v>
      </c>
      <c r="S38" s="390">
        <v>10.5</v>
      </c>
      <c r="T38" s="391">
        <v>10.901428571428582</v>
      </c>
      <c r="U38" s="391">
        <v>12.038181818181819</v>
      </c>
      <c r="V38" s="175">
        <v>12.21</v>
      </c>
      <c r="W38" s="175">
        <v>11</v>
      </c>
      <c r="X38" s="185"/>
      <c r="Y38" s="186"/>
      <c r="Z38" s="175">
        <v>11</v>
      </c>
      <c r="AA38" s="175">
        <v>12</v>
      </c>
      <c r="AB38" s="175">
        <v>13.4</v>
      </c>
      <c r="AC38" s="300">
        <v>13.7</v>
      </c>
      <c r="AD38" s="308">
        <f>AVERAGE(P38:R38)</f>
        <v>11.683078149920261</v>
      </c>
      <c r="AE38" s="246">
        <f>AVERAGE(S38:T38:U38)</f>
        <v>11.1465367965368</v>
      </c>
      <c r="AF38" s="246">
        <f>AVERAGE(V38:Z38)</f>
        <v>11.403333333333334</v>
      </c>
      <c r="AG38" s="309">
        <f t="shared" ref="AG38:AG40" si="21">AVERAGE(AA38:AC38)</f>
        <v>13.033333333333331</v>
      </c>
      <c r="AH38" s="241">
        <f>AVERAGE(P38:AC38)</f>
        <v>11.816570403280933</v>
      </c>
      <c r="AI38" s="272"/>
    </row>
    <row r="39" spans="1:358" ht="57.75" hidden="1" customHeight="1" outlineLevel="1">
      <c r="A39" s="47" t="s">
        <v>25</v>
      </c>
      <c r="B39" s="78">
        <f t="shared" ref="B39" si="22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11.711052631578951</v>
      </c>
      <c r="R39" s="388">
        <v>12.238181818181829</v>
      </c>
      <c r="S39" s="390">
        <v>10.5</v>
      </c>
      <c r="T39" s="390">
        <v>10.901428571428582</v>
      </c>
      <c r="U39" s="390">
        <v>12.038181818181819</v>
      </c>
      <c r="V39" s="181">
        <v>12.21</v>
      </c>
      <c r="W39" s="181">
        <v>12.428676391800403</v>
      </c>
      <c r="X39" s="185" t="s">
        <v>161</v>
      </c>
      <c r="Y39" s="186" t="s">
        <v>36</v>
      </c>
      <c r="Z39" s="181">
        <v>12.571666666666662</v>
      </c>
      <c r="AA39" s="181">
        <v>12.760333333333332</v>
      </c>
      <c r="AB39" s="181">
        <v>12.964333333333332</v>
      </c>
      <c r="AC39" s="299">
        <v>13.058333333333332</v>
      </c>
      <c r="AD39" s="308">
        <f>AVERAGE(P39:R39)</f>
        <v>11.683078149920261</v>
      </c>
      <c r="AE39" s="246">
        <f>AVERAGE(S39:T39:U39)</f>
        <v>11.1465367965368</v>
      </c>
      <c r="AF39" s="246">
        <f>AVERAGE(V39:Z39)</f>
        <v>12.403447686155687</v>
      </c>
      <c r="AG39" s="309">
        <f t="shared" si="21"/>
        <v>12.927666666666665</v>
      </c>
      <c r="AH39" s="241">
        <f>AVERAGE(P39:AC39)</f>
        <v>12.040182324819854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11.711052631578951</v>
      </c>
      <c r="R40" s="390">
        <v>12.238181818181829</v>
      </c>
      <c r="S40" s="390">
        <v>10.5</v>
      </c>
      <c r="T40" s="390">
        <v>10.901428571428582</v>
      </c>
      <c r="U40" s="390">
        <v>12.038181818181819</v>
      </c>
      <c r="V40" s="181">
        <v>12.21</v>
      </c>
      <c r="W40" s="181">
        <v>12.23</v>
      </c>
      <c r="X40" s="185" t="s">
        <v>212</v>
      </c>
      <c r="Y40" s="186" t="s">
        <v>213</v>
      </c>
      <c r="Z40" s="181">
        <v>12.01</v>
      </c>
      <c r="AA40" s="181">
        <v>12.7</v>
      </c>
      <c r="AB40" s="181">
        <v>14.78</v>
      </c>
      <c r="AC40" s="299">
        <v>14.92</v>
      </c>
      <c r="AD40" s="308">
        <f>AVERAGE(P40:R40)</f>
        <v>11.683078149920261</v>
      </c>
      <c r="AE40" s="246">
        <f>AVERAGE(S40:T40:U40)</f>
        <v>11.1465367965368</v>
      </c>
      <c r="AF40" s="246">
        <f>AVERAGE(V40:Z40)</f>
        <v>12.15</v>
      </c>
      <c r="AG40" s="309">
        <f t="shared" si="21"/>
        <v>14.133333333333333</v>
      </c>
      <c r="AH40" s="241">
        <f>AVERAGE(P40:AC40)</f>
        <v>12.278237069947599</v>
      </c>
      <c r="AI40" s="272"/>
    </row>
    <row r="41" spans="1:358" s="62" customFormat="1" ht="19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3">AVERAGE(J37:J40)</f>
        <v>#DIV/0!</v>
      </c>
      <c r="K41" s="157">
        <f t="shared" si="23"/>
        <v>13.11</v>
      </c>
      <c r="L41" s="157">
        <f t="shared" si="23"/>
        <v>13.435000000000002</v>
      </c>
      <c r="M41" s="157">
        <f t="shared" si="23"/>
        <v>13.345000000000001</v>
      </c>
      <c r="N41" s="157">
        <f t="shared" si="23"/>
        <v>14.229999999999999</v>
      </c>
      <c r="O41" s="157">
        <f t="shared" si="23"/>
        <v>14.25</v>
      </c>
      <c r="P41" s="157">
        <f t="shared" si="23"/>
        <v>11.1</v>
      </c>
      <c r="Q41" s="157">
        <f t="shared" si="23"/>
        <v>11.711052631578951</v>
      </c>
      <c r="R41" s="157">
        <f t="shared" si="23"/>
        <v>12.238181818181829</v>
      </c>
      <c r="S41" s="59">
        <f t="shared" si="23"/>
        <v>10.5</v>
      </c>
      <c r="T41" s="59">
        <f>AVERAGE(T37:T40)</f>
        <v>10.901428571428582</v>
      </c>
      <c r="U41" s="59">
        <f t="shared" si="23"/>
        <v>12.038181818181819</v>
      </c>
      <c r="V41" s="59">
        <f t="shared" si="23"/>
        <v>12.21</v>
      </c>
      <c r="W41" s="59">
        <f t="shared" si="23"/>
        <v>11.8396690979501</v>
      </c>
      <c r="X41" s="379"/>
      <c r="Y41" s="379"/>
      <c r="Z41" s="59">
        <f t="shared" si="23"/>
        <v>11.895416666666664</v>
      </c>
      <c r="AA41" s="59">
        <f t="shared" si="23"/>
        <v>12.490083333333335</v>
      </c>
      <c r="AB41" s="59">
        <f t="shared" si="23"/>
        <v>13.598583333333334</v>
      </c>
      <c r="AC41" s="234">
        <f t="shared" si="23"/>
        <v>13.794583333333334</v>
      </c>
      <c r="AD41" s="310">
        <f t="shared" si="23"/>
        <v>11.683078149920261</v>
      </c>
      <c r="AE41" s="59">
        <f t="shared" si="23"/>
        <v>11.1465367965368</v>
      </c>
      <c r="AF41" s="59">
        <f t="shared" si="23"/>
        <v>11.981695254872255</v>
      </c>
      <c r="AG41" s="311">
        <f t="shared" si="23"/>
        <v>13.294416666666667</v>
      </c>
      <c r="AH41" s="242">
        <f>AVERAGE(AH37:AH40)</f>
        <v>12.026431716998996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164">
        <f>P41</f>
        <v>11.1</v>
      </c>
      <c r="Q42" s="164">
        <f t="shared" ref="Q42:R42" si="24">Q41</f>
        <v>11.711052631578951</v>
      </c>
      <c r="R42" s="164">
        <f t="shared" si="24"/>
        <v>12.238181818181829</v>
      </c>
      <c r="S42" s="164">
        <f>S41</f>
        <v>10.5</v>
      </c>
      <c r="T42" s="164">
        <f>T41</f>
        <v>10.901428571428582</v>
      </c>
      <c r="U42" s="164">
        <v>11.9</v>
      </c>
      <c r="V42" s="164">
        <f>V41</f>
        <v>12.21</v>
      </c>
      <c r="W42" s="164">
        <v>11.6</v>
      </c>
      <c r="X42" s="370"/>
      <c r="Y42" s="370"/>
      <c r="Z42" s="164">
        <v>11.5</v>
      </c>
      <c r="AA42" s="164">
        <v>12.4</v>
      </c>
      <c r="AB42" s="164">
        <v>13.3</v>
      </c>
      <c r="AC42" s="164">
        <v>13.5</v>
      </c>
      <c r="AD42" s="312">
        <f>AVERAGE(P42:R42)</f>
        <v>11.683078149920261</v>
      </c>
      <c r="AE42" s="164">
        <f>AVERAGE(S42:T42:U42)</f>
        <v>11.100476190476193</v>
      </c>
      <c r="AF42" s="164">
        <f>AVERAGE(V42:Z42)</f>
        <v>11.770000000000001</v>
      </c>
      <c r="AG42" s="313">
        <f>AVERAGE(AA42:AC42)</f>
        <v>13.066666666666668</v>
      </c>
      <c r="AH42" s="242">
        <f>AVERAGE(P42:AC42)</f>
        <v>11.905055251765781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AH44" si="25">M41-M52</f>
        <v>0.27500000000000036</v>
      </c>
      <c r="N43" s="157">
        <f t="shared" si="25"/>
        <v>0.19999999999999929</v>
      </c>
      <c r="O43" s="157">
        <f t="shared" si="25"/>
        <v>9.9999999999999645E-2</v>
      </c>
      <c r="P43" s="157">
        <f t="shared" si="25"/>
        <v>1.7599999999999998</v>
      </c>
      <c r="Q43" s="157">
        <f t="shared" si="25"/>
        <v>2.5510526315789512</v>
      </c>
      <c r="R43" s="157">
        <f t="shared" si="25"/>
        <v>1.8622727272727317</v>
      </c>
      <c r="S43" s="157">
        <f t="shared" si="25"/>
        <v>1.4499999999999993</v>
      </c>
      <c r="T43" s="157">
        <f t="shared" si="25"/>
        <v>0.31809523809523199</v>
      </c>
      <c r="U43" s="157">
        <f t="shared" si="25"/>
        <v>0.15363636363637312</v>
      </c>
      <c r="V43" s="157">
        <f t="shared" si="25"/>
        <v>-1.9999999999999574E-2</v>
      </c>
      <c r="W43" s="157">
        <f t="shared" si="25"/>
        <v>0.42924999999999969</v>
      </c>
      <c r="X43" s="159"/>
      <c r="Y43" s="159"/>
      <c r="Z43" s="157">
        <f t="shared" si="25"/>
        <v>0.6954166666666648</v>
      </c>
      <c r="AA43" s="157">
        <f t="shared" si="25"/>
        <v>0.75258333333333383</v>
      </c>
      <c r="AB43" s="157">
        <f t="shared" si="25"/>
        <v>0.96108333333333462</v>
      </c>
      <c r="AC43" s="236">
        <f t="shared" si="25"/>
        <v>0.96958333333333258</v>
      </c>
      <c r="AD43" s="317">
        <f t="shared" si="25"/>
        <v>2.0577751196172294</v>
      </c>
      <c r="AE43" s="157">
        <f t="shared" si="25"/>
        <v>0.64057720057720147</v>
      </c>
      <c r="AF43" s="157">
        <f t="shared" si="25"/>
        <v>0.36822222222222045</v>
      </c>
      <c r="AG43" s="318">
        <f t="shared" si="25"/>
        <v>0.89441666666666642</v>
      </c>
      <c r="AH43" s="242">
        <f t="shared" si="25"/>
        <v>0.99024780227082942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5"/>
        <v>0.19999999999999929</v>
      </c>
      <c r="O44" s="164">
        <f t="shared" si="25"/>
        <v>1.4499999999999993</v>
      </c>
      <c r="P44" s="164">
        <f t="shared" si="25"/>
        <v>1.7599999999999998</v>
      </c>
      <c r="Q44" s="164">
        <f t="shared" si="25"/>
        <v>2.5510526315789512</v>
      </c>
      <c r="R44" s="164">
        <f t="shared" si="25"/>
        <v>1.8622727272727317</v>
      </c>
      <c r="S44" s="164">
        <f t="shared" si="25"/>
        <v>1.4499999999999993</v>
      </c>
      <c r="T44" s="164">
        <f t="shared" si="25"/>
        <v>0.31809523809523199</v>
      </c>
      <c r="U44" s="164">
        <f t="shared" si="25"/>
        <v>0.20000000000000107</v>
      </c>
      <c r="V44" s="164">
        <f t="shared" si="25"/>
        <v>-1.9999999999999574E-2</v>
      </c>
      <c r="W44" s="164">
        <f t="shared" si="25"/>
        <v>0.19999999999999929</v>
      </c>
      <c r="X44" s="370"/>
      <c r="Y44" s="370"/>
      <c r="Z44" s="164">
        <f t="shared" si="25"/>
        <v>0.30000000000000071</v>
      </c>
      <c r="AA44" s="164">
        <f t="shared" si="25"/>
        <v>0.70000000000000107</v>
      </c>
      <c r="AB44" s="164">
        <f t="shared" si="25"/>
        <v>1</v>
      </c>
      <c r="AC44" s="229">
        <f t="shared" si="25"/>
        <v>1</v>
      </c>
      <c r="AD44" s="312">
        <f>AVERAGE(P44:R44)</f>
        <v>2.0577751196172276</v>
      </c>
      <c r="AE44" s="164">
        <f>AE42-AE53</f>
        <v>0.65603174603174352</v>
      </c>
      <c r="AF44" s="164">
        <f>AF42-AF53</f>
        <v>0.16000000000000192</v>
      </c>
      <c r="AG44" s="313">
        <f>AG42-AG53</f>
        <v>0.90000000000000213</v>
      </c>
      <c r="AH44" s="243">
        <f>AH42-AH53</f>
        <v>0.9434517164122429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408"/>
      <c r="X45" s="409"/>
      <c r="Y45" s="409"/>
      <c r="Z45" s="408"/>
      <c r="AA45" s="408"/>
      <c r="AB45" s="408"/>
      <c r="AC45" s="410"/>
      <c r="AD45" s="314"/>
      <c r="AE45" s="23"/>
      <c r="AF45" s="23"/>
      <c r="AG45" s="303"/>
      <c r="AH45" s="238"/>
      <c r="AI45" s="275">
        <f>AH42-AH53</f>
        <v>0.9434517164122429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5"/>
      <c r="V46" s="39"/>
      <c r="W46" s="38"/>
      <c r="X46" s="381"/>
      <c r="Y46" s="381"/>
      <c r="Z46" s="38"/>
      <c r="AA46" s="38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75"/>
      <c r="B47" s="676"/>
      <c r="C47" s="676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44"/>
      <c r="X47" s="382"/>
      <c r="Y47" s="383"/>
      <c r="Z47" s="44"/>
      <c r="AA47" s="44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388">
        <v>11.884545454545446</v>
      </c>
      <c r="V48" s="189">
        <v>12.23</v>
      </c>
      <c r="W48" s="189">
        <v>11.4</v>
      </c>
      <c r="X48" s="185"/>
      <c r="Y48" s="186"/>
      <c r="Z48" s="189">
        <v>11.5</v>
      </c>
      <c r="AA48" s="189">
        <v>11.75</v>
      </c>
      <c r="AB48" s="189">
        <v>12.25</v>
      </c>
      <c r="AC48" s="297">
        <v>12.5</v>
      </c>
      <c r="AD48" s="308">
        <f>AVERAGE(P48:R48)</f>
        <v>9.6253030303030318</v>
      </c>
      <c r="AE48" s="246">
        <f>AVERAGE(S48:T48:U48)</f>
        <v>10.505959595959599</v>
      </c>
      <c r="AF48" s="246">
        <f>AVERAGE(V48:Z48)</f>
        <v>11.71</v>
      </c>
      <c r="AG48" s="309">
        <f>AVERAGE(AA48:AC48)</f>
        <v>12.166666666666666</v>
      </c>
      <c r="AH48" s="241">
        <f>AVERAGE(P48:AC48)</f>
        <v>11.001982323232326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389">
        <v>11.884545454545446</v>
      </c>
      <c r="V49" s="183">
        <v>12.23</v>
      </c>
      <c r="W49" s="183">
        <v>10.8</v>
      </c>
      <c r="X49" s="185"/>
      <c r="Y49" s="186"/>
      <c r="Z49" s="183">
        <v>10.5</v>
      </c>
      <c r="AA49" s="183">
        <v>11.3</v>
      </c>
      <c r="AB49" s="183">
        <v>12.4</v>
      </c>
      <c r="AC49" s="298">
        <v>12.5</v>
      </c>
      <c r="AD49" s="308">
        <f>AVERAGE(P49:R49)</f>
        <v>9.6253030303030318</v>
      </c>
      <c r="AE49" s="246">
        <f>AVERAGE(S49:T49:U49)</f>
        <v>10.505959595959599</v>
      </c>
      <c r="AF49" s="246">
        <f>AVERAGE(V49:Z49)</f>
        <v>11.176666666666668</v>
      </c>
      <c r="AG49" s="309">
        <f t="shared" ref="AG49:AG51" si="26">AVERAGE(AA49:AC49)</f>
        <v>12.066666666666668</v>
      </c>
      <c r="AH49" s="241">
        <f>AVERAGE(P49:AC49)</f>
        <v>10.843648989898989</v>
      </c>
      <c r="AI49" s="267"/>
    </row>
    <row r="50" spans="1:358" ht="50.25" hidden="1" customHeight="1" outlineLevel="1">
      <c r="A50" s="47" t="s">
        <v>25</v>
      </c>
      <c r="B50" s="78">
        <f t="shared" ref="B50" si="27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388">
        <v>11.884545454545446</v>
      </c>
      <c r="V50" s="189">
        <v>12.23</v>
      </c>
      <c r="W50" s="189">
        <v>11.641676391800404</v>
      </c>
      <c r="X50" s="185" t="s">
        <v>162</v>
      </c>
      <c r="Y50" s="186" t="s">
        <v>36</v>
      </c>
      <c r="Z50" s="189">
        <v>11.6</v>
      </c>
      <c r="AA50" s="189">
        <v>11.6</v>
      </c>
      <c r="AB50" s="189">
        <v>11.7</v>
      </c>
      <c r="AC50" s="297">
        <v>11.7</v>
      </c>
      <c r="AD50" s="308">
        <f>AVERAGE(P50:R50)</f>
        <v>9.6253030303030318</v>
      </c>
      <c r="AE50" s="246">
        <f>AVERAGE(S50:T50:U50)</f>
        <v>10.505959595959599</v>
      </c>
      <c r="AF50" s="246">
        <f>AVERAGE(V50:Z50)</f>
        <v>11.823892130600136</v>
      </c>
      <c r="AG50" s="309">
        <f t="shared" si="26"/>
        <v>11.666666666666666</v>
      </c>
      <c r="AH50" s="241">
        <f>AVERAGE(P50:AC50)</f>
        <v>10.905455355882358</v>
      </c>
      <c r="AI50" s="267"/>
    </row>
    <row r="51" spans="1:358" ht="50.25" hidden="1" customHeight="1" outlineLevel="1" thickBot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388">
        <v>11.884545454545446</v>
      </c>
      <c r="V51" s="189">
        <v>12.23</v>
      </c>
      <c r="W51" s="183">
        <v>11.8</v>
      </c>
      <c r="X51" s="224" t="s">
        <v>212</v>
      </c>
      <c r="Y51" s="186" t="s">
        <v>213</v>
      </c>
      <c r="Z51" s="183">
        <v>11.2</v>
      </c>
      <c r="AA51" s="183">
        <v>12.3</v>
      </c>
      <c r="AB51" s="183">
        <v>14.2</v>
      </c>
      <c r="AC51" s="298">
        <v>14.6</v>
      </c>
      <c r="AD51" s="308">
        <f>AVERAGE(P51:R51)</f>
        <v>9.6253030303030318</v>
      </c>
      <c r="AE51" s="246">
        <f>AVERAGE(S51:T51:U51)</f>
        <v>10.505959595959599</v>
      </c>
      <c r="AF51" s="246">
        <f>AVERAGE(V51:Z51)</f>
        <v>11.743333333333334</v>
      </c>
      <c r="AG51" s="309">
        <f t="shared" si="26"/>
        <v>13.700000000000001</v>
      </c>
      <c r="AH51" s="241">
        <f>AVERAGE(P51:AC51)</f>
        <v>11.393648989898992</v>
      </c>
      <c r="AI51" s="267"/>
    </row>
    <row r="52" spans="1:358" s="62" customFormat="1" ht="19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28">AVERAGE(J48:J51)</f>
        <v>#DIV/0!</v>
      </c>
      <c r="K52" s="157">
        <f t="shared" si="28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157">
        <f>AVERAGE(P48:P51)</f>
        <v>9.34</v>
      </c>
      <c r="Q52" s="157">
        <f>AVERAGE(Q48:Q51)</f>
        <v>9.16</v>
      </c>
      <c r="R52" s="157">
        <f t="shared" ref="R52:AG52" si="29">AVERAGE(R48:R51)</f>
        <v>10.375909090909097</v>
      </c>
      <c r="S52" s="59">
        <f t="shared" si="29"/>
        <v>9.0500000000000007</v>
      </c>
      <c r="T52" s="59">
        <f>AVERAGE(T48:T51)</f>
        <v>10.58333333333335</v>
      </c>
      <c r="U52" s="59">
        <f t="shared" si="29"/>
        <v>11.884545454545446</v>
      </c>
      <c r="V52" s="59">
        <f t="shared" si="29"/>
        <v>12.23</v>
      </c>
      <c r="W52" s="59">
        <f t="shared" si="29"/>
        <v>11.410419097950101</v>
      </c>
      <c r="X52" s="379"/>
      <c r="Y52" s="379"/>
      <c r="Z52" s="59">
        <f t="shared" si="29"/>
        <v>11.2</v>
      </c>
      <c r="AA52" s="59">
        <f t="shared" si="29"/>
        <v>11.737500000000001</v>
      </c>
      <c r="AB52" s="59">
        <f t="shared" si="29"/>
        <v>12.637499999999999</v>
      </c>
      <c r="AC52" s="234">
        <f t="shared" si="29"/>
        <v>12.825000000000001</v>
      </c>
      <c r="AD52" s="310">
        <f t="shared" si="29"/>
        <v>9.6253030303030318</v>
      </c>
      <c r="AE52" s="59">
        <f t="shared" si="29"/>
        <v>10.505959595959599</v>
      </c>
      <c r="AF52" s="59">
        <f t="shared" si="29"/>
        <v>11.613473032650035</v>
      </c>
      <c r="AG52" s="311">
        <f t="shared" si="29"/>
        <v>12.4</v>
      </c>
      <c r="AH52" s="242">
        <f>AVERAGE(AH48:AH51)</f>
        <v>11.036183914728166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0">O52</f>
        <v>14.15</v>
      </c>
      <c r="P53" s="164">
        <f>P52</f>
        <v>9.34</v>
      </c>
      <c r="Q53" s="164">
        <f t="shared" ref="Q53" si="31">Q52</f>
        <v>9.16</v>
      </c>
      <c r="R53" s="164">
        <f>R52</f>
        <v>10.375909090909097</v>
      </c>
      <c r="S53" s="164">
        <f>S52</f>
        <v>9.0500000000000007</v>
      </c>
      <c r="T53" s="164">
        <f>T52</f>
        <v>10.58333333333335</v>
      </c>
      <c r="U53" s="164">
        <v>11.7</v>
      </c>
      <c r="V53" s="164">
        <f>V52</f>
        <v>12.23</v>
      </c>
      <c r="W53" s="164">
        <v>11.4</v>
      </c>
      <c r="X53" s="370"/>
      <c r="Y53" s="370"/>
      <c r="Z53" s="164">
        <v>11.2</v>
      </c>
      <c r="AA53" s="164">
        <v>11.7</v>
      </c>
      <c r="AB53" s="164">
        <v>12.3</v>
      </c>
      <c r="AC53" s="164">
        <v>12.5</v>
      </c>
      <c r="AD53" s="312">
        <f>AVERAGE(P53:R53)</f>
        <v>9.6253030303030318</v>
      </c>
      <c r="AE53" s="164">
        <f>AVERAGE(S53:T53:U53)</f>
        <v>10.44444444444445</v>
      </c>
      <c r="AF53" s="164">
        <f>AVERAGE(V53:Z53)</f>
        <v>11.61</v>
      </c>
      <c r="AG53" s="313">
        <f>AVERAGE(AA53:AC53)</f>
        <v>12.166666666666666</v>
      </c>
      <c r="AH53" s="242">
        <f>AVERAGE(P53:AC53)</f>
        <v>10.961603535353538</v>
      </c>
      <c r="AI53" s="275">
        <v>12.8</v>
      </c>
    </row>
    <row r="54" spans="1:358" ht="21.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23"/>
      <c r="X54" s="371"/>
      <c r="Y54" s="371"/>
      <c r="Z54" s="23"/>
      <c r="AA54" s="23"/>
      <c r="AB54" s="23"/>
      <c r="AC54" s="24"/>
      <c r="AD54" s="314"/>
      <c r="AE54" s="23"/>
      <c r="AF54" s="23"/>
      <c r="AG54" s="303"/>
      <c r="AH54" s="238"/>
      <c r="AI54" s="267"/>
    </row>
    <row r="55" spans="1:358" hidden="1" outlineLevel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6"/>
      <c r="V55" s="39"/>
      <c r="W55" s="38"/>
      <c r="X55" s="372"/>
      <c r="Y55" s="372"/>
      <c r="Z55" s="38"/>
      <c r="AA55" s="38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8.5" hidden="1" outlineLevel="1">
      <c r="A56" s="675"/>
      <c r="B56" s="676"/>
      <c r="C56" s="676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44"/>
      <c r="X56" s="376"/>
      <c r="Y56" s="377"/>
      <c r="Z56" s="44"/>
      <c r="AA56" s="44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388">
        <v>-8.3847566213314266</v>
      </c>
      <c r="V57" s="189">
        <v>-4.41</v>
      </c>
      <c r="W57" s="189">
        <v>-5.5</v>
      </c>
      <c r="X57" s="185"/>
      <c r="Y57" s="186"/>
      <c r="Z57" s="189">
        <v>-7</v>
      </c>
      <c r="AA57" s="189">
        <v>-6.75</v>
      </c>
      <c r="AB57" s="189">
        <v>-6.5</v>
      </c>
      <c r="AC57" s="297">
        <v>-6.6</v>
      </c>
      <c r="AD57" s="308">
        <f>AVERAGE(P57:R57)</f>
        <v>-5.1703388212837007</v>
      </c>
      <c r="AE57" s="246">
        <f>AVERAGE(S57:T57:U57)</f>
        <v>-8.7422592062355839</v>
      </c>
      <c r="AF57" s="246">
        <f>AVERAGE(V57:Z57)</f>
        <v>-5.6366666666666667</v>
      </c>
      <c r="AG57" s="309">
        <f>AVERAGE(AA57:AC57)</f>
        <v>-6.6166666666666671</v>
      </c>
      <c r="AH57" s="241">
        <f>AVERAGE(P57:AC57)</f>
        <v>-6.5414828402131535</v>
      </c>
      <c r="AI57" s="267"/>
    </row>
    <row r="58" spans="1:358" ht="51" hidden="1" customHeight="1" outlineLevel="1">
      <c r="A58" s="47" t="s">
        <v>24</v>
      </c>
      <c r="B58" s="78">
        <f t="shared" ref="B58" si="32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388">
        <v>-8.3847566213314266</v>
      </c>
      <c r="V58" s="189">
        <v>-4.41</v>
      </c>
      <c r="W58" s="189">
        <v>-5</v>
      </c>
      <c r="X58" s="185"/>
      <c r="Y58" s="186"/>
      <c r="Z58" s="189">
        <v>-7</v>
      </c>
      <c r="AA58" s="189">
        <v>-7.7</v>
      </c>
      <c r="AB58" s="189">
        <v>-7.7</v>
      </c>
      <c r="AC58" s="297">
        <v>-7.5</v>
      </c>
      <c r="AD58" s="308">
        <f>AVERAGE(P58:R58)</f>
        <v>-5.1703388212837007</v>
      </c>
      <c r="AE58" s="246">
        <f>AVERAGE(S58:T58:U58)</f>
        <v>-8.7422592062355839</v>
      </c>
      <c r="AF58" s="246">
        <f>AVERAGE(V58:Z58)</f>
        <v>-5.47</v>
      </c>
      <c r="AG58" s="309">
        <f t="shared" ref="AG58:AG60" si="33">AVERAGE(AA58:AC58)</f>
        <v>-7.6333333333333329</v>
      </c>
      <c r="AH58" s="241">
        <f>AVERAGE(P58:AC58)</f>
        <v>-6.7539828402131548</v>
      </c>
      <c r="AI58" s="267"/>
    </row>
    <row r="59" spans="1:358" ht="51" hidden="1" customHeight="1" outlineLevel="1">
      <c r="A59" s="47" t="s">
        <v>25</v>
      </c>
      <c r="B59" s="78">
        <f t="shared" ref="B59" si="34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388">
        <v>-8.3847566213314266</v>
      </c>
      <c r="V59" s="189">
        <v>-4.41</v>
      </c>
      <c r="W59" s="189">
        <v>-5.7</v>
      </c>
      <c r="X59" s="185" t="s">
        <v>214</v>
      </c>
      <c r="Y59" s="186" t="s">
        <v>214</v>
      </c>
      <c r="Z59" s="189">
        <v>-7</v>
      </c>
      <c r="AA59" s="189">
        <v>-8</v>
      </c>
      <c r="AB59" s="189">
        <v>-8</v>
      </c>
      <c r="AC59" s="297">
        <v>-8</v>
      </c>
      <c r="AD59" s="308">
        <f>AVERAGE(P59:R59)</f>
        <v>-5.1703388212837007</v>
      </c>
      <c r="AE59" s="246">
        <f>AVERAGE(S59:T59:U59)</f>
        <v>-8.7422592062355839</v>
      </c>
      <c r="AF59" s="246">
        <f>AVERAGE(V59:Z59)</f>
        <v>-5.7033333333333331</v>
      </c>
      <c r="AG59" s="309">
        <f t="shared" si="33"/>
        <v>-8</v>
      </c>
      <c r="AH59" s="241">
        <f>AVERAGE(P59:AC59)</f>
        <v>-6.9039828402131542</v>
      </c>
      <c r="AI59" s="267"/>
    </row>
    <row r="60" spans="1:358" ht="51" hidden="1" customHeight="1" outlineLevel="1" thickBot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388">
        <v>-8.3847566213314266</v>
      </c>
      <c r="V60" s="189">
        <v>-4.41</v>
      </c>
      <c r="W60" s="189">
        <v>-6.22</v>
      </c>
      <c r="X60" s="185" t="s">
        <v>205</v>
      </c>
      <c r="Y60" s="186"/>
      <c r="Z60" s="189">
        <v>-6.9</v>
      </c>
      <c r="AA60" s="189">
        <v>-7.8</v>
      </c>
      <c r="AB60" s="189">
        <v>-7.8</v>
      </c>
      <c r="AC60" s="297">
        <v>-7.6</v>
      </c>
      <c r="AD60" s="308">
        <f>AVERAGE(P60:R60)</f>
        <v>-5.1703388212837007</v>
      </c>
      <c r="AE60" s="246">
        <f>AVERAGE(S60:T60:U60)</f>
        <v>-8.7422592062355839</v>
      </c>
      <c r="AF60" s="246">
        <f>AVERAGE(V60:Z60)</f>
        <v>-5.8433333333333337</v>
      </c>
      <c r="AG60" s="309">
        <f t="shared" si="33"/>
        <v>-7.7333333333333334</v>
      </c>
      <c r="AH60" s="241">
        <f>AVERAGE(P60:AC60)</f>
        <v>-6.8723161735464871</v>
      </c>
      <c r="AI60" s="267"/>
    </row>
    <row r="61" spans="1:358" s="62" customFormat="1" ht="19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35">AVERAGE(K57:K60)</f>
        <v>-8.1550000000000011</v>
      </c>
      <c r="L61" s="59">
        <f t="shared" si="35"/>
        <v>-8.1550000000000011</v>
      </c>
      <c r="M61" s="59">
        <f t="shared" si="35"/>
        <v>-8.33</v>
      </c>
      <c r="N61" s="59">
        <f t="shared" si="35"/>
        <v>-6.9175000000000004</v>
      </c>
      <c r="O61" s="59">
        <f t="shared" si="35"/>
        <v>-6.7333333333333334</v>
      </c>
      <c r="P61" s="59">
        <f>AVERAGE(P57:P60)</f>
        <v>-3.13</v>
      </c>
      <c r="Q61" s="59">
        <f t="shared" si="35"/>
        <v>-5.08</v>
      </c>
      <c r="R61" s="59">
        <f t="shared" si="35"/>
        <v>-7.3010164638511021</v>
      </c>
      <c r="S61" s="59">
        <f t="shared" si="35"/>
        <v>-8.77</v>
      </c>
      <c r="T61" s="59">
        <f>AVERAGE(T57:T60)</f>
        <v>-9.0720209973753256</v>
      </c>
      <c r="U61" s="59">
        <f t="shared" si="35"/>
        <v>-8.3847566213314266</v>
      </c>
      <c r="V61" s="59">
        <f t="shared" si="35"/>
        <v>-4.41</v>
      </c>
      <c r="W61" s="59">
        <f t="shared" si="35"/>
        <v>-5.6049999999999995</v>
      </c>
      <c r="X61" s="369"/>
      <c r="Y61" s="369"/>
      <c r="Z61" s="59">
        <f t="shared" si="35"/>
        <v>-6.9749999999999996</v>
      </c>
      <c r="AA61" s="59">
        <f t="shared" si="35"/>
        <v>-7.5625</v>
      </c>
      <c r="AB61" s="59">
        <f t="shared" si="35"/>
        <v>-7.5</v>
      </c>
      <c r="AC61" s="234">
        <f t="shared" si="35"/>
        <v>-7.4250000000000007</v>
      </c>
      <c r="AD61" s="310">
        <f t="shared" si="35"/>
        <v>-5.1703388212837007</v>
      </c>
      <c r="AE61" s="59">
        <f t="shared" si="35"/>
        <v>-8.7422592062355839</v>
      </c>
      <c r="AF61" s="59">
        <f t="shared" si="35"/>
        <v>-5.6633333333333331</v>
      </c>
      <c r="AG61" s="311">
        <f t="shared" si="35"/>
        <v>-7.4958333333333336</v>
      </c>
      <c r="AH61" s="242">
        <f>AVERAGE(AH57:AH60)</f>
        <v>-6.7679411735464869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164">
        <f>P61</f>
        <v>-3.13</v>
      </c>
      <c r="Q62" s="164">
        <f t="shared" ref="Q62" si="36">Q61</f>
        <v>-5.08</v>
      </c>
      <c r="R62" s="164">
        <f>R61</f>
        <v>-7.3010164638511021</v>
      </c>
      <c r="S62" s="164">
        <f>S61</f>
        <v>-8.77</v>
      </c>
      <c r="T62" s="164">
        <f>T61</f>
        <v>-9.0720209973753256</v>
      </c>
      <c r="U62" s="164">
        <v>-8.8000000000000007</v>
      </c>
      <c r="V62" s="164">
        <f>V61</f>
        <v>-4.41</v>
      </c>
      <c r="W62" s="164">
        <v>-5.5</v>
      </c>
      <c r="X62" s="370"/>
      <c r="Y62" s="370"/>
      <c r="Z62" s="164">
        <v>-6.9</v>
      </c>
      <c r="AA62" s="164">
        <v>-7.6</v>
      </c>
      <c r="AB62" s="164">
        <v>-7.5</v>
      </c>
      <c r="AC62" s="229">
        <v>-7.4</v>
      </c>
      <c r="AD62" s="312">
        <f>AVERAGE(P62:R62)</f>
        <v>-5.1703388212837007</v>
      </c>
      <c r="AE62" s="164">
        <f>AVERAGE(S62:T62:U62)</f>
        <v>-8.8806736657917753</v>
      </c>
      <c r="AF62" s="164">
        <f>AVERAGE(V62:Z62)</f>
        <v>-5.6033333333333344</v>
      </c>
      <c r="AG62" s="313">
        <f>AVERAGE(AA62:AC62)</f>
        <v>-7.5</v>
      </c>
      <c r="AH62" s="242">
        <f>AVERAGE(P62:AC62)</f>
        <v>-6.7885864551022026</v>
      </c>
      <c r="AI62" s="275">
        <v>-6.5</v>
      </c>
    </row>
    <row r="63" spans="1:358" ht="21.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23"/>
      <c r="X63" s="371"/>
      <c r="Y63" s="371"/>
      <c r="Z63" s="23"/>
      <c r="AA63" s="23"/>
      <c r="AB63" s="23"/>
      <c r="AC63" s="24"/>
      <c r="AD63" s="314"/>
      <c r="AE63" s="23"/>
      <c r="AF63" s="23"/>
      <c r="AG63" s="303"/>
      <c r="AH63" s="238"/>
      <c r="AI63" s="267"/>
    </row>
    <row r="64" spans="1:358" ht="21.5" hidden="1" outlineLevel="1" thickBot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5"/>
      <c r="V64" s="39"/>
      <c r="W64" s="38"/>
      <c r="X64" s="384"/>
      <c r="Y64" s="384"/>
      <c r="Z64" s="38"/>
      <c r="AA64" s="38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75"/>
      <c r="B65" s="676"/>
      <c r="C65" s="676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44"/>
      <c r="X65" s="373"/>
      <c r="Y65" s="374"/>
      <c r="Z65" s="44"/>
      <c r="AA65" s="4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388">
        <v>2.0834090909090861</v>
      </c>
      <c r="V66" s="189">
        <v>2.5099999999999998</v>
      </c>
      <c r="W66" s="189">
        <v>2.6385276679841865</v>
      </c>
      <c r="X66" s="255"/>
      <c r="Y66" s="255"/>
      <c r="Z66" s="189">
        <v>2.7699999999999974</v>
      </c>
      <c r="AA66" s="189">
        <v>2.7811363636363438</v>
      </c>
      <c r="AB66" s="189">
        <v>2.7618181818181795</v>
      </c>
      <c r="AC66" s="297">
        <v>2.7356601731601642</v>
      </c>
      <c r="AD66" s="308">
        <f>AVERAGE(P66:R66)</f>
        <v>3.3432575757575762</v>
      </c>
      <c r="AE66" s="246">
        <f>AVERAGE(S66:T66:U66)</f>
        <v>2.380029220779218</v>
      </c>
      <c r="AF66" s="246">
        <f>AVERAGE(V66:Z66)</f>
        <v>2.639509222661395</v>
      </c>
      <c r="AG66" s="309">
        <f>AVERAGE(AA66:AC66)</f>
        <v>2.7595382395382289</v>
      </c>
      <c r="AH66" s="241">
        <f>AVERAGE(P66:AC66)</f>
        <v>2.7805835646841039</v>
      </c>
      <c r="AI66" s="267"/>
    </row>
    <row r="67" spans="1:358" ht="48.75" hidden="1" customHeight="1" outlineLevel="1">
      <c r="A67" s="47" t="s">
        <v>24</v>
      </c>
      <c r="B67" s="78">
        <f t="shared" ref="B67" si="37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388">
        <v>2.0834090909090861</v>
      </c>
      <c r="V67" s="189">
        <v>2.5099999999999998</v>
      </c>
      <c r="W67" s="189">
        <v>3</v>
      </c>
      <c r="X67" s="255"/>
      <c r="Y67" s="255"/>
      <c r="Z67" s="189">
        <v>2.9</v>
      </c>
      <c r="AA67" s="189">
        <v>2.5</v>
      </c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2.380029220779218</v>
      </c>
      <c r="AF67" s="246">
        <f>AVERAGE(V67:Z67)</f>
        <v>2.8033333333333332</v>
      </c>
      <c r="AG67" s="309">
        <f t="shared" ref="AG67:AG69" si="38">AVERAGE(AA67:AC67)</f>
        <v>2.6333333333333333</v>
      </c>
      <c r="AH67" s="241">
        <f>AVERAGE(P67:AC67)</f>
        <v>2.7899883658008648</v>
      </c>
      <c r="AI67" s="267"/>
    </row>
    <row r="68" spans="1:358" ht="48.75" hidden="1" customHeight="1" outlineLevel="1">
      <c r="A68" s="47" t="s">
        <v>25</v>
      </c>
      <c r="B68" s="78">
        <f t="shared" ref="B68" si="39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388">
        <v>2.0834090909090861</v>
      </c>
      <c r="V68" s="189">
        <v>2.5099999999999998</v>
      </c>
      <c r="W68" s="189">
        <v>2.8</v>
      </c>
      <c r="X68" s="185" t="s">
        <v>215</v>
      </c>
      <c r="Y68" s="186" t="s">
        <v>215</v>
      </c>
      <c r="Z68" s="189">
        <v>2.9</v>
      </c>
      <c r="AA68" s="189">
        <v>2.9</v>
      </c>
      <c r="AB68" s="189">
        <v>2.9</v>
      </c>
      <c r="AC68" s="297">
        <v>2.9</v>
      </c>
      <c r="AD68" s="308">
        <f>AVERAGE(P68:R68)</f>
        <v>3.3432575757575762</v>
      </c>
      <c r="AE68" s="246">
        <f>AVERAGE(S68:T68:U68)</f>
        <v>2.380029220779218</v>
      </c>
      <c r="AF68" s="246">
        <f>AVERAGE(V68:Z68)</f>
        <v>2.7366666666666664</v>
      </c>
      <c r="AG68" s="309">
        <f t="shared" si="38"/>
        <v>2.9</v>
      </c>
      <c r="AH68" s="241">
        <f>AVERAGE(P68:AC68)</f>
        <v>2.8399883658008651</v>
      </c>
      <c r="AI68" s="267"/>
    </row>
    <row r="69" spans="1:358" ht="48.75" hidden="1" customHeight="1" outlineLevel="1" thickBot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388">
        <v>2.0834090909090861</v>
      </c>
      <c r="V69" s="189">
        <v>2.5099999999999998</v>
      </c>
      <c r="W69" s="189">
        <v>2.7</v>
      </c>
      <c r="X69" s="256"/>
      <c r="Y69" s="256"/>
      <c r="Z69" s="189">
        <v>2.7</v>
      </c>
      <c r="AA69" s="189">
        <v>2.7</v>
      </c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2.380029220779218</v>
      </c>
      <c r="AF69" s="246">
        <f>AVERAGE(V69:Z69)</f>
        <v>2.6366666666666667</v>
      </c>
      <c r="AG69" s="309">
        <f t="shared" si="38"/>
        <v>2.7000000000000006</v>
      </c>
      <c r="AH69" s="241">
        <f>AVERAGE(P69:AC69)</f>
        <v>2.7649883658008654</v>
      </c>
      <c r="AI69" s="267"/>
    </row>
    <row r="70" spans="1:358" s="62" customFormat="1" ht="19.5" hidden="1" customHeight="1" outlineLevel="1" thickBot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0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59">
        <f>AVERAGE(P66:P69)</f>
        <v>3.5</v>
      </c>
      <c r="Q70" s="59">
        <f>AVERAGE(Q66:Q69)</f>
        <v>3.18</v>
      </c>
      <c r="R70" s="59">
        <f>AVERAGE(R66:R69)</f>
        <v>3.3497727272727289</v>
      </c>
      <c r="S70" s="59">
        <f t="shared" ref="S70:AD70" si="41">AVERAGE(S66:S69)</f>
        <v>2.4500000000000002</v>
      </c>
      <c r="T70" s="59">
        <f>AVERAGE(T66:T69)</f>
        <v>2.6066785714285672</v>
      </c>
      <c r="U70" s="59">
        <f t="shared" si="41"/>
        <v>2.0834090909090861</v>
      </c>
      <c r="V70" s="59">
        <f t="shared" si="41"/>
        <v>2.5099999999999998</v>
      </c>
      <c r="W70" s="59">
        <f t="shared" si="41"/>
        <v>2.7846319169960463</v>
      </c>
      <c r="X70" s="60"/>
      <c r="Y70" s="60"/>
      <c r="Z70" s="59">
        <f t="shared" si="41"/>
        <v>2.817499999999999</v>
      </c>
      <c r="AA70" s="59">
        <f t="shared" si="41"/>
        <v>2.720284090909086</v>
      </c>
      <c r="AB70" s="59">
        <f t="shared" si="41"/>
        <v>2.7404545454545453</v>
      </c>
      <c r="AC70" s="234">
        <f t="shared" si="41"/>
        <v>2.7839150432900412</v>
      </c>
      <c r="AD70" s="310">
        <f t="shared" si="41"/>
        <v>3.3432575757575762</v>
      </c>
      <c r="AE70" s="59">
        <f>AVERAGE(AE66:AE69)</f>
        <v>2.380029220779218</v>
      </c>
      <c r="AF70" s="59">
        <f t="shared" ref="AF70:AG70" si="42">AVERAGE(AF66:AF69)</f>
        <v>2.7040439723320153</v>
      </c>
      <c r="AG70" s="311">
        <f t="shared" si="42"/>
        <v>2.7482178932178907</v>
      </c>
      <c r="AH70" s="242">
        <f>AVERAGE(AH66:AH69)</f>
        <v>2.7938871655216748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164">
        <f>P70</f>
        <v>3.5</v>
      </c>
      <c r="Q71" s="164">
        <f t="shared" ref="Q71" si="43">Q70</f>
        <v>3.18</v>
      </c>
      <c r="R71" s="164">
        <f>R70</f>
        <v>3.3497727272727289</v>
      </c>
      <c r="S71" s="164">
        <f>S70</f>
        <v>2.4500000000000002</v>
      </c>
      <c r="T71" s="164">
        <f>T70</f>
        <v>2.6066785714285672</v>
      </c>
      <c r="U71" s="164">
        <v>2.1</v>
      </c>
      <c r="V71" s="164">
        <f>V70</f>
        <v>2.5099999999999998</v>
      </c>
      <c r="W71" s="164">
        <v>2.8</v>
      </c>
      <c r="X71" s="164"/>
      <c r="Y71" s="164"/>
      <c r="Z71" s="164">
        <v>2.8</v>
      </c>
      <c r="AA71" s="164">
        <v>2.9</v>
      </c>
      <c r="AB71" s="164">
        <v>2.9</v>
      </c>
      <c r="AC71" s="229">
        <v>2.9</v>
      </c>
      <c r="AD71" s="312">
        <f>AVERAGE(P71:R71)</f>
        <v>3.3432575757575762</v>
      </c>
      <c r="AE71" s="164">
        <f>AVERAGE(S71:T71:U71)</f>
        <v>2.3855595238095226</v>
      </c>
      <c r="AF71" s="164">
        <f>AVERAGE(V71:Z71)</f>
        <v>2.7033333333333331</v>
      </c>
      <c r="AG71" s="313">
        <f>AVERAGE(AA71:AC71)</f>
        <v>2.9</v>
      </c>
      <c r="AH71" s="242">
        <f>AVERAGE(P71:AC71)</f>
        <v>2.8330376082251081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52"/>
      <c r="Q72" s="152"/>
      <c r="R72" s="406"/>
      <c r="S72" s="406"/>
      <c r="T72" s="406"/>
      <c r="U72" s="406"/>
      <c r="V72" s="406"/>
      <c r="W72" s="406"/>
      <c r="X72" s="407"/>
      <c r="Y72" s="407"/>
      <c r="Z72" s="406"/>
      <c r="AA72" s="406"/>
      <c r="AB72" s="406"/>
      <c r="AC72" s="406"/>
      <c r="AD72" s="406"/>
      <c r="AE72" s="406"/>
      <c r="AF72" s="406"/>
      <c r="AG72" s="40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29" t="s">
        <v>68</v>
      </c>
      <c r="X73" s="330"/>
      <c r="Y73" s="330"/>
      <c r="Z73" s="329" t="s">
        <v>69</v>
      </c>
      <c r="AA73" s="329" t="s">
        <v>70</v>
      </c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363" t="s">
        <v>48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AG74" si="44">O15</f>
        <v>0</v>
      </c>
      <c r="P74" s="36">
        <f t="shared" si="44"/>
        <v>26.81</v>
      </c>
      <c r="Q74" s="36">
        <f t="shared" si="44"/>
        <v>29.30263157894737</v>
      </c>
      <c r="R74" s="36">
        <f t="shared" si="44"/>
        <v>35.141818181818174</v>
      </c>
      <c r="S74" s="36">
        <f t="shared" si="44"/>
        <v>39.03</v>
      </c>
      <c r="T74" s="36">
        <f t="shared" si="44"/>
        <v>44.268571428571427</v>
      </c>
      <c r="U74" s="36">
        <f t="shared" si="44"/>
        <v>46.4</v>
      </c>
      <c r="V74" s="36">
        <f t="shared" si="44"/>
        <v>43.32</v>
      </c>
      <c r="W74" s="36">
        <f t="shared" si="44"/>
        <v>42.5</v>
      </c>
      <c r="X74" s="36"/>
      <c r="Y74" s="36"/>
      <c r="Z74" s="36">
        <f t="shared" si="44"/>
        <v>43</v>
      </c>
      <c r="AA74" s="36">
        <f t="shared" si="44"/>
        <v>44</v>
      </c>
      <c r="AB74" s="36">
        <f t="shared" si="44"/>
        <v>44.5</v>
      </c>
      <c r="AC74" s="322">
        <f t="shared" si="44"/>
        <v>45</v>
      </c>
      <c r="AD74" s="319">
        <f t="shared" si="44"/>
        <v>30.418149920255178</v>
      </c>
      <c r="AE74" s="258">
        <f t="shared" si="44"/>
        <v>43.232857142857142</v>
      </c>
      <c r="AF74" s="258">
        <f t="shared" si="44"/>
        <v>42.94</v>
      </c>
      <c r="AG74" s="258">
        <f t="shared" si="44"/>
        <v>44.5</v>
      </c>
      <c r="AH74" s="334">
        <f t="shared" ref="AH74:AH80" si="45">AVERAGE(P74:AC74)</f>
        <v>40.272751765778082</v>
      </c>
    </row>
    <row r="75" spans="1:358" ht="18.5">
      <c r="A75" s="333" t="s">
        <v>49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AG75" si="46">O15+O24</f>
        <v>6</v>
      </c>
      <c r="P75" s="36">
        <f t="shared" si="46"/>
        <v>36.599999999999994</v>
      </c>
      <c r="Q75" s="36">
        <f t="shared" si="46"/>
        <v>33.877894736842109</v>
      </c>
      <c r="R75" s="36">
        <f t="shared" si="46"/>
        <v>39.004090909090912</v>
      </c>
      <c r="S75" s="36">
        <f t="shared" si="46"/>
        <v>42.36</v>
      </c>
      <c r="T75" s="36">
        <f t="shared" si="46"/>
        <v>44.036666666666669</v>
      </c>
      <c r="U75" s="36">
        <f t="shared" si="46"/>
        <v>45.6</v>
      </c>
      <c r="V75" s="36">
        <f t="shared" si="46"/>
        <v>42.76</v>
      </c>
      <c r="W75" s="36">
        <f t="shared" si="46"/>
        <v>42</v>
      </c>
      <c r="X75" s="36"/>
      <c r="Y75" s="36"/>
      <c r="Z75" s="36">
        <f t="shared" si="46"/>
        <v>43.1</v>
      </c>
      <c r="AA75" s="36">
        <f t="shared" si="46"/>
        <v>44.5</v>
      </c>
      <c r="AB75" s="36">
        <f t="shared" si="46"/>
        <v>45.7</v>
      </c>
      <c r="AC75" s="322">
        <f t="shared" si="46"/>
        <v>46.5</v>
      </c>
      <c r="AD75" s="319">
        <f t="shared" si="46"/>
        <v>36.493995215311003</v>
      </c>
      <c r="AE75" s="258">
        <f t="shared" si="46"/>
        <v>43.998888888888892</v>
      </c>
      <c r="AF75" s="258">
        <f t="shared" si="46"/>
        <v>42.62</v>
      </c>
      <c r="AG75" s="258">
        <f t="shared" si="46"/>
        <v>45.56666666666667</v>
      </c>
      <c r="AH75" s="334">
        <f t="shared" si="45"/>
        <v>42.169887692716635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5">
      <c r="A76" s="333">
        <v>95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AG76" si="47">O33+O15</f>
        <v>17.5</v>
      </c>
      <c r="P76" s="36">
        <f t="shared" si="47"/>
        <v>50.42</v>
      </c>
      <c r="Q76" s="36">
        <f t="shared" si="47"/>
        <v>44.510526315789477</v>
      </c>
      <c r="R76" s="36">
        <f t="shared" si="47"/>
        <v>52.771818181818183</v>
      </c>
      <c r="S76" s="36">
        <f t="shared" si="47"/>
        <v>54.59</v>
      </c>
      <c r="T76" s="36">
        <f t="shared" si="47"/>
        <v>59.165238095238095</v>
      </c>
      <c r="U76" s="36">
        <f t="shared" si="47"/>
        <v>59.4</v>
      </c>
      <c r="V76" s="36">
        <f t="shared" si="47"/>
        <v>52.980000000000004</v>
      </c>
      <c r="W76" s="36">
        <f t="shared" si="47"/>
        <v>52</v>
      </c>
      <c r="X76" s="36"/>
      <c r="Y76" s="36"/>
      <c r="Z76" s="36">
        <f t="shared" si="47"/>
        <v>53.5</v>
      </c>
      <c r="AA76" s="36">
        <f t="shared" si="47"/>
        <v>54.5</v>
      </c>
      <c r="AB76" s="36">
        <f t="shared" si="47"/>
        <v>55</v>
      </c>
      <c r="AC76" s="322">
        <f t="shared" si="47"/>
        <v>55.5</v>
      </c>
      <c r="AD76" s="319">
        <f t="shared" si="47"/>
        <v>49.23411483253588</v>
      </c>
      <c r="AE76" s="258">
        <f t="shared" si="47"/>
        <v>57.718412698412699</v>
      </c>
      <c r="AF76" s="258">
        <f t="shared" si="47"/>
        <v>52.826666666666668</v>
      </c>
      <c r="AG76" s="258">
        <f t="shared" si="47"/>
        <v>55</v>
      </c>
      <c r="AH76" s="334">
        <f t="shared" si="45"/>
        <v>53.694798549403821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5">
      <c r="A77" s="333" t="s">
        <v>50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AG77" si="48">O42+O15</f>
        <v>15.6</v>
      </c>
      <c r="P77" s="36">
        <f t="shared" si="48"/>
        <v>37.909999999999997</v>
      </c>
      <c r="Q77" s="36">
        <f t="shared" si="48"/>
        <v>41.013684210526321</v>
      </c>
      <c r="R77" s="36">
        <f t="shared" si="48"/>
        <v>47.38</v>
      </c>
      <c r="S77" s="36">
        <f t="shared" si="48"/>
        <v>49.53</v>
      </c>
      <c r="T77" s="36">
        <f t="shared" si="48"/>
        <v>55.170000000000009</v>
      </c>
      <c r="U77" s="36">
        <f t="shared" si="48"/>
        <v>58.3</v>
      </c>
      <c r="V77" s="36">
        <f t="shared" si="48"/>
        <v>55.53</v>
      </c>
      <c r="W77" s="36">
        <f t="shared" si="48"/>
        <v>54.1</v>
      </c>
      <c r="X77" s="36"/>
      <c r="Y77" s="36"/>
      <c r="Z77" s="36">
        <f t="shared" si="48"/>
        <v>54.5</v>
      </c>
      <c r="AA77" s="36">
        <f t="shared" si="48"/>
        <v>56.4</v>
      </c>
      <c r="AB77" s="36">
        <f t="shared" si="48"/>
        <v>57.8</v>
      </c>
      <c r="AC77" s="322">
        <f t="shared" si="48"/>
        <v>58.5</v>
      </c>
      <c r="AD77" s="319">
        <f t="shared" si="48"/>
        <v>42.101228070175438</v>
      </c>
      <c r="AE77" s="258">
        <f t="shared" si="48"/>
        <v>54.333333333333336</v>
      </c>
      <c r="AF77" s="258">
        <f t="shared" si="48"/>
        <v>54.71</v>
      </c>
      <c r="AG77" s="258">
        <f t="shared" si="48"/>
        <v>57.56666666666667</v>
      </c>
      <c r="AH77" s="334">
        <f t="shared" si="45"/>
        <v>52.177807017543863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5">
      <c r="A78" s="333" t="s">
        <v>51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AG78" si="49">O53+O15</f>
        <v>14.15</v>
      </c>
      <c r="P78" s="36">
        <f t="shared" si="49"/>
        <v>36.15</v>
      </c>
      <c r="Q78" s="36">
        <f t="shared" si="49"/>
        <v>38.462631578947367</v>
      </c>
      <c r="R78" s="36">
        <f t="shared" si="49"/>
        <v>45.517727272727271</v>
      </c>
      <c r="S78" s="36">
        <f t="shared" si="49"/>
        <v>48.08</v>
      </c>
      <c r="T78" s="36">
        <f t="shared" si="49"/>
        <v>54.851904761904777</v>
      </c>
      <c r="U78" s="36">
        <f t="shared" si="49"/>
        <v>58.099999999999994</v>
      </c>
      <c r="V78" s="36">
        <f t="shared" si="49"/>
        <v>55.55</v>
      </c>
      <c r="W78" s="36">
        <f t="shared" si="49"/>
        <v>53.9</v>
      </c>
      <c r="X78" s="36"/>
      <c r="Y78" s="36"/>
      <c r="Z78" s="36">
        <f t="shared" si="49"/>
        <v>54.2</v>
      </c>
      <c r="AA78" s="36">
        <f t="shared" si="49"/>
        <v>55.7</v>
      </c>
      <c r="AB78" s="36">
        <f t="shared" si="49"/>
        <v>56.8</v>
      </c>
      <c r="AC78" s="322">
        <f t="shared" si="49"/>
        <v>57.5</v>
      </c>
      <c r="AD78" s="319">
        <f t="shared" si="49"/>
        <v>40.043452950558212</v>
      </c>
      <c r="AE78" s="258">
        <f t="shared" si="49"/>
        <v>53.677301587301592</v>
      </c>
      <c r="AF78" s="258">
        <f t="shared" si="49"/>
        <v>54.55</v>
      </c>
      <c r="AG78" s="258">
        <f t="shared" si="49"/>
        <v>56.666666666666664</v>
      </c>
      <c r="AH78" s="334">
        <f t="shared" si="45"/>
        <v>51.234355301131615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5">
      <c r="A79" s="333" t="s">
        <v>52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AG79" si="50">(O62+O15)*6.35</f>
        <v>-42.756666666666668</v>
      </c>
      <c r="P79" s="134">
        <f t="shared" si="50"/>
        <v>150.36799999999999</v>
      </c>
      <c r="Q79" s="134">
        <f t="shared" si="50"/>
        <v>153.81371052631579</v>
      </c>
      <c r="R79" s="134">
        <f t="shared" si="50"/>
        <v>176.7890909090909</v>
      </c>
      <c r="S79" s="134">
        <f t="shared" si="50"/>
        <v>192.15100000000001</v>
      </c>
      <c r="T79" s="134">
        <f t="shared" si="50"/>
        <v>223.49809523809523</v>
      </c>
      <c r="U79" s="134">
        <f t="shared" si="50"/>
        <v>238.75999999999996</v>
      </c>
      <c r="V79" s="134">
        <f t="shared" si="50"/>
        <v>247.07849999999996</v>
      </c>
      <c r="W79" s="134">
        <f t="shared" si="50"/>
        <v>234.95</v>
      </c>
      <c r="X79" s="134"/>
      <c r="Y79" s="134"/>
      <c r="Z79" s="134">
        <f t="shared" si="50"/>
        <v>229.23499999999999</v>
      </c>
      <c r="AA79" s="134">
        <f t="shared" si="50"/>
        <v>231.14</v>
      </c>
      <c r="AB79" s="134">
        <f t="shared" si="50"/>
        <v>234.95</v>
      </c>
      <c r="AC79" s="323">
        <f t="shared" si="50"/>
        <v>238.76</v>
      </c>
      <c r="AD79" s="320">
        <f t="shared" si="50"/>
        <v>160.32360047846888</v>
      </c>
      <c r="AE79" s="259">
        <f t="shared" si="50"/>
        <v>218.13636507936508</v>
      </c>
      <c r="AF79" s="259">
        <f t="shared" si="50"/>
        <v>237.08783333333332</v>
      </c>
      <c r="AG79" s="259">
        <f t="shared" si="50"/>
        <v>234.95</v>
      </c>
      <c r="AH79" s="334">
        <f t="shared" si="45"/>
        <v>212.62444972279181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" thickBot="1">
      <c r="A80" s="335" t="s">
        <v>53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1">K70</f>
        <v>1.2</v>
      </c>
      <c r="L80" s="338">
        <f t="shared" si="51"/>
        <v>1.5</v>
      </c>
      <c r="M80" s="338">
        <f>M70</f>
        <v>1.625</v>
      </c>
      <c r="N80" s="338">
        <f t="shared" ref="N80:AG80" si="52">N71+N15</f>
        <v>47.85</v>
      </c>
      <c r="O80" s="338">
        <f t="shared" si="52"/>
        <v>2.0666666666666669</v>
      </c>
      <c r="P80" s="338">
        <f t="shared" si="52"/>
        <v>30.31</v>
      </c>
      <c r="Q80" s="338">
        <f t="shared" si="52"/>
        <v>32.48263157894737</v>
      </c>
      <c r="R80" s="338">
        <f t="shared" si="52"/>
        <v>38.491590909090903</v>
      </c>
      <c r="S80" s="338">
        <f t="shared" si="52"/>
        <v>41.480000000000004</v>
      </c>
      <c r="T80" s="338">
        <f t="shared" si="52"/>
        <v>46.875249999999994</v>
      </c>
      <c r="U80" s="338">
        <f t="shared" si="52"/>
        <v>48.5</v>
      </c>
      <c r="V80" s="338">
        <f t="shared" si="52"/>
        <v>45.83</v>
      </c>
      <c r="W80" s="338">
        <f t="shared" si="52"/>
        <v>45.3</v>
      </c>
      <c r="X80" s="338"/>
      <c r="Y80" s="338"/>
      <c r="Z80" s="338">
        <f t="shared" si="52"/>
        <v>45.8</v>
      </c>
      <c r="AA80" s="338">
        <f t="shared" si="52"/>
        <v>46.9</v>
      </c>
      <c r="AB80" s="338">
        <f t="shared" si="52"/>
        <v>47.4</v>
      </c>
      <c r="AC80" s="339">
        <f t="shared" si="52"/>
        <v>47.9</v>
      </c>
      <c r="AD80" s="340">
        <f t="shared" si="52"/>
        <v>33.761407496012751</v>
      </c>
      <c r="AE80" s="341">
        <f t="shared" si="52"/>
        <v>45.618416666666661</v>
      </c>
      <c r="AF80" s="341">
        <f t="shared" si="52"/>
        <v>45.643333333333331</v>
      </c>
      <c r="AG80" s="341">
        <f t="shared" si="52"/>
        <v>47.4</v>
      </c>
      <c r="AH80" s="342">
        <f t="shared" si="45"/>
        <v>43.105789374003187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403"/>
      <c r="Q81" s="403"/>
      <c r="R81" s="404"/>
      <c r="S81" s="404"/>
      <c r="T81" s="404"/>
      <c r="U81" s="404"/>
      <c r="V81" s="404"/>
      <c r="W81" s="404"/>
      <c r="X81" s="405"/>
      <c r="Y81" s="405"/>
      <c r="Z81" s="404"/>
      <c r="AA81" s="404"/>
      <c r="AB81" s="404"/>
      <c r="AC81" s="404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19.5" customHeight="1">
      <c r="A82" s="332" t="s">
        <v>54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29" t="s">
        <v>68</v>
      </c>
      <c r="X82" s="330"/>
      <c r="Y82" s="330"/>
      <c r="Z82" s="329" t="s">
        <v>69</v>
      </c>
      <c r="AA82" s="329" t="s">
        <v>70</v>
      </c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9.5" customHeight="1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53">F74</f>
        <v>0</v>
      </c>
      <c r="G83" s="143">
        <f>G74</f>
        <v>56.18</v>
      </c>
      <c r="H83" s="143">
        <f t="shared" ref="H83" si="54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55">K74</f>
        <v>48.3</v>
      </c>
      <c r="L83" s="143">
        <f t="shared" si="55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29.30263157894737</v>
      </c>
      <c r="R83" s="143">
        <f t="shared" ref="R83:AG83" si="56">R74</f>
        <v>35.141818181818174</v>
      </c>
      <c r="S83" s="143">
        <f t="shared" si="56"/>
        <v>39.03</v>
      </c>
      <c r="T83" s="143">
        <f>T74</f>
        <v>44.268571428571427</v>
      </c>
      <c r="U83" s="143">
        <f t="shared" si="56"/>
        <v>46.4</v>
      </c>
      <c r="V83" s="143">
        <f t="shared" si="56"/>
        <v>43.32</v>
      </c>
      <c r="W83" s="143">
        <f t="shared" si="56"/>
        <v>42.5</v>
      </c>
      <c r="X83" s="361"/>
      <c r="Y83" s="361"/>
      <c r="Z83" s="143">
        <f t="shared" si="56"/>
        <v>43</v>
      </c>
      <c r="AA83" s="143">
        <f t="shared" si="56"/>
        <v>44</v>
      </c>
      <c r="AB83" s="143">
        <f t="shared" si="56"/>
        <v>44.5</v>
      </c>
      <c r="AC83" s="353">
        <f t="shared" si="56"/>
        <v>45</v>
      </c>
      <c r="AD83" s="321">
        <f t="shared" si="56"/>
        <v>30.418149920255178</v>
      </c>
      <c r="AE83" s="260">
        <f t="shared" si="56"/>
        <v>43.232857142857142</v>
      </c>
      <c r="AF83" s="260">
        <f t="shared" si="56"/>
        <v>42.94</v>
      </c>
      <c r="AG83" s="260">
        <f t="shared" si="56"/>
        <v>44.5</v>
      </c>
      <c r="AH83" s="334">
        <f t="shared" ref="AH83:AH89" si="57">AVERAGE(P83:AC83)</f>
        <v>40.272751765778082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58">F75-F74</f>
        <v>0</v>
      </c>
      <c r="G84" s="143">
        <f>G75-G74</f>
        <v>-3.0341000000000022</v>
      </c>
      <c r="H84" s="143">
        <f t="shared" ref="H84" si="59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0">K75-K74</f>
        <v>#REF!</v>
      </c>
      <c r="L84" s="143" t="e">
        <f t="shared" si="60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4.5752631578947387</v>
      </c>
      <c r="R84" s="143">
        <f t="shared" ref="R84:AG84" si="61">R75-R74</f>
        <v>3.8622727272727388</v>
      </c>
      <c r="S84" s="143">
        <f t="shared" si="61"/>
        <v>3.3299999999999983</v>
      </c>
      <c r="T84" s="143">
        <f>T75-T74</f>
        <v>-0.23190476190475806</v>
      </c>
      <c r="U84" s="143">
        <f t="shared" si="61"/>
        <v>-0.79999999999999716</v>
      </c>
      <c r="V84" s="143">
        <f t="shared" si="61"/>
        <v>-0.56000000000000227</v>
      </c>
      <c r="W84" s="143">
        <f t="shared" si="61"/>
        <v>-0.5</v>
      </c>
      <c r="X84" s="361"/>
      <c r="Y84" s="361"/>
      <c r="Z84" s="143">
        <f t="shared" si="61"/>
        <v>0.10000000000000142</v>
      </c>
      <c r="AA84" s="143">
        <f t="shared" si="61"/>
        <v>0.5</v>
      </c>
      <c r="AB84" s="143">
        <f t="shared" si="61"/>
        <v>1.2000000000000028</v>
      </c>
      <c r="AC84" s="353">
        <f t="shared" si="61"/>
        <v>1.5</v>
      </c>
      <c r="AD84" s="321">
        <f t="shared" si="61"/>
        <v>6.0758452950558244</v>
      </c>
      <c r="AE84" s="260">
        <f t="shared" si="61"/>
        <v>0.76603174603175006</v>
      </c>
      <c r="AF84" s="260">
        <f t="shared" si="61"/>
        <v>-0.32000000000000028</v>
      </c>
      <c r="AG84" s="260">
        <f t="shared" si="61"/>
        <v>1.06666666666667</v>
      </c>
      <c r="AH84" s="334">
        <f t="shared" si="57"/>
        <v>1.8971359269385599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62">F76-F74</f>
        <v>0</v>
      </c>
      <c r="G85" s="143">
        <f>G76-G74</f>
        <v>19.766299999999994</v>
      </c>
      <c r="H85" s="143">
        <f t="shared" ref="H85" si="63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64">K76-K74</f>
        <v>16.482500000000002</v>
      </c>
      <c r="L85" s="143">
        <f t="shared" si="64"/>
        <v>17.249999999999993</v>
      </c>
      <c r="M85" s="143">
        <f t="shared" si="64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65">Q76-Q74</f>
        <v>15.207894736842107</v>
      </c>
      <c r="R85" s="143">
        <f>R76-R74</f>
        <v>17.63000000000001</v>
      </c>
      <c r="S85" s="143">
        <f t="shared" ref="S85:AG85" si="66">S76-S74</f>
        <v>15.560000000000002</v>
      </c>
      <c r="T85" s="143">
        <f>T76-T74</f>
        <v>14.896666666666668</v>
      </c>
      <c r="U85" s="143">
        <f t="shared" si="66"/>
        <v>13</v>
      </c>
      <c r="V85" s="143">
        <f t="shared" si="66"/>
        <v>9.6600000000000037</v>
      </c>
      <c r="W85" s="143">
        <f t="shared" si="66"/>
        <v>9.5</v>
      </c>
      <c r="X85" s="361"/>
      <c r="Y85" s="361"/>
      <c r="Z85" s="143">
        <f t="shared" si="66"/>
        <v>10.5</v>
      </c>
      <c r="AA85" s="143">
        <f t="shared" si="66"/>
        <v>10.5</v>
      </c>
      <c r="AB85" s="143">
        <f t="shared" si="66"/>
        <v>10.5</v>
      </c>
      <c r="AC85" s="353">
        <f t="shared" si="66"/>
        <v>10.5</v>
      </c>
      <c r="AD85" s="321">
        <f t="shared" si="66"/>
        <v>18.815964912280702</v>
      </c>
      <c r="AE85" s="260">
        <f t="shared" si="66"/>
        <v>14.485555555555557</v>
      </c>
      <c r="AF85" s="260">
        <f t="shared" si="66"/>
        <v>9.8866666666666703</v>
      </c>
      <c r="AG85" s="260">
        <f t="shared" si="66"/>
        <v>10.5</v>
      </c>
      <c r="AH85" s="334">
        <f t="shared" si="57"/>
        <v>13.422046783625731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67">F77-F74</f>
        <v>0</v>
      </c>
      <c r="G86" s="143">
        <f>G77-G74</f>
        <v>9.6289999999999978</v>
      </c>
      <c r="H86" s="143">
        <f t="shared" ref="H86" si="68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69">K77-K74</f>
        <v>13.11</v>
      </c>
      <c r="L86" s="143">
        <f t="shared" si="69"/>
        <v>13.435000000000002</v>
      </c>
      <c r="M86" s="143">
        <f t="shared" si="69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11.711052631578951</v>
      </c>
      <c r="R86" s="143">
        <f t="shared" ref="R86:AG86" si="70">R77-R74</f>
        <v>12.238181818181829</v>
      </c>
      <c r="S86" s="143">
        <f t="shared" si="70"/>
        <v>10.5</v>
      </c>
      <c r="T86" s="143">
        <f>T77-T74</f>
        <v>10.901428571428582</v>
      </c>
      <c r="U86" s="143">
        <f t="shared" si="70"/>
        <v>11.899999999999999</v>
      </c>
      <c r="V86" s="143">
        <f t="shared" si="70"/>
        <v>12.21</v>
      </c>
      <c r="W86" s="143">
        <f t="shared" si="70"/>
        <v>11.600000000000001</v>
      </c>
      <c r="X86" s="361"/>
      <c r="Y86" s="361"/>
      <c r="Z86" s="143">
        <f t="shared" si="70"/>
        <v>11.5</v>
      </c>
      <c r="AA86" s="143">
        <f t="shared" si="70"/>
        <v>12.399999999999999</v>
      </c>
      <c r="AB86" s="143">
        <f t="shared" si="70"/>
        <v>13.299999999999997</v>
      </c>
      <c r="AC86" s="353">
        <f t="shared" si="70"/>
        <v>13.5</v>
      </c>
      <c r="AD86" s="321">
        <f t="shared" si="70"/>
        <v>11.683078149920259</v>
      </c>
      <c r="AE86" s="260">
        <f t="shared" si="70"/>
        <v>11.100476190476193</v>
      </c>
      <c r="AF86" s="260">
        <f t="shared" si="70"/>
        <v>11.770000000000003</v>
      </c>
      <c r="AG86" s="260">
        <f t="shared" si="70"/>
        <v>13.06666666666667</v>
      </c>
      <c r="AH86" s="334">
        <f t="shared" si="57"/>
        <v>11.905055251765779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1">F78-F74</f>
        <v>0</v>
      </c>
      <c r="G87" s="143">
        <f>G78-G74</f>
        <v>8.8899999999999935</v>
      </c>
      <c r="H87" s="143">
        <f t="shared" ref="H87" si="72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73">K78-K74</f>
        <v>13.350000000000001</v>
      </c>
      <c r="L87" s="143">
        <f t="shared" si="73"/>
        <v>13.75</v>
      </c>
      <c r="M87" s="143">
        <f t="shared" si="73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9.1599999999999966</v>
      </c>
      <c r="R87" s="143">
        <f t="shared" ref="R87:AG87" si="74">R78-R74</f>
        <v>10.375909090909097</v>
      </c>
      <c r="S87" s="143">
        <f t="shared" si="74"/>
        <v>9.0499999999999972</v>
      </c>
      <c r="T87" s="143">
        <f>T78-T74</f>
        <v>10.58333333333335</v>
      </c>
      <c r="U87" s="143">
        <f t="shared" si="74"/>
        <v>11.699999999999996</v>
      </c>
      <c r="V87" s="143">
        <f t="shared" si="74"/>
        <v>12.229999999999997</v>
      </c>
      <c r="W87" s="143">
        <f t="shared" si="74"/>
        <v>11.399999999999999</v>
      </c>
      <c r="X87" s="361"/>
      <c r="Y87" s="361"/>
      <c r="Z87" s="143">
        <f t="shared" si="74"/>
        <v>11.200000000000003</v>
      </c>
      <c r="AA87" s="143">
        <f t="shared" si="74"/>
        <v>11.700000000000003</v>
      </c>
      <c r="AB87" s="143">
        <f t="shared" si="74"/>
        <v>12.299999999999997</v>
      </c>
      <c r="AC87" s="353">
        <f t="shared" si="74"/>
        <v>12.5</v>
      </c>
      <c r="AD87" s="321">
        <f t="shared" si="74"/>
        <v>9.6253030303030336</v>
      </c>
      <c r="AE87" s="260">
        <f t="shared" si="74"/>
        <v>10.44444444444445</v>
      </c>
      <c r="AF87" s="260">
        <f t="shared" si="74"/>
        <v>11.61</v>
      </c>
      <c r="AG87" s="260">
        <f t="shared" si="74"/>
        <v>12.166666666666664</v>
      </c>
      <c r="AH87" s="334">
        <f t="shared" si="57"/>
        <v>10.961603535353538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75">H79-H74</f>
        <v>-8.9503004558640669</v>
      </c>
      <c r="I88" s="143">
        <f t="shared" si="75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76">O62</f>
        <v>-6.7333333333333334</v>
      </c>
      <c r="P88" s="143">
        <f t="shared" si="76"/>
        <v>-3.13</v>
      </c>
      <c r="Q88" s="143">
        <f t="shared" si="76"/>
        <v>-5.08</v>
      </c>
      <c r="R88" s="143">
        <f t="shared" si="76"/>
        <v>-7.3010164638511021</v>
      </c>
      <c r="S88" s="143">
        <f t="shared" si="76"/>
        <v>-8.77</v>
      </c>
      <c r="T88" s="143">
        <f t="shared" si="76"/>
        <v>-9.0720209973753256</v>
      </c>
      <c r="U88" s="143">
        <f t="shared" si="76"/>
        <v>-8.8000000000000007</v>
      </c>
      <c r="V88" s="143">
        <f t="shared" si="76"/>
        <v>-4.41</v>
      </c>
      <c r="W88" s="143">
        <f t="shared" si="76"/>
        <v>-5.5</v>
      </c>
      <c r="X88" s="143"/>
      <c r="Y88" s="143"/>
      <c r="Z88" s="143">
        <f t="shared" si="76"/>
        <v>-6.9</v>
      </c>
      <c r="AA88" s="143">
        <f t="shared" si="76"/>
        <v>-7.6</v>
      </c>
      <c r="AB88" s="143">
        <f t="shared" si="76"/>
        <v>-7.5</v>
      </c>
      <c r="AC88" s="353">
        <f t="shared" si="76"/>
        <v>-7.4</v>
      </c>
      <c r="AD88" s="365">
        <f>AD61</f>
        <v>-5.1703388212837007</v>
      </c>
      <c r="AE88" s="260">
        <f>AE61</f>
        <v>-8.7422592062355839</v>
      </c>
      <c r="AF88" s="260">
        <f>AF79-AF74</f>
        <v>194.14783333333332</v>
      </c>
      <c r="AG88" s="358">
        <f>AG79-AG74</f>
        <v>190.45</v>
      </c>
      <c r="AH88" s="334">
        <f t="shared" si="57"/>
        <v>-6.7885864551022026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77">F70</f>
        <v>0</v>
      </c>
      <c r="G89" s="349">
        <f>G70</f>
        <v>0</v>
      </c>
      <c r="H89" s="349">
        <f t="shared" ref="H89" si="78">H70</f>
        <v>0</v>
      </c>
      <c r="I89" s="349">
        <f>I70</f>
        <v>0</v>
      </c>
      <c r="J89" s="349" t="e">
        <f>J70</f>
        <v>#DIV/0!</v>
      </c>
      <c r="K89" s="349">
        <f t="shared" ref="K89:M89" si="79">K70</f>
        <v>1.2</v>
      </c>
      <c r="L89" s="349">
        <f t="shared" si="79"/>
        <v>1.5</v>
      </c>
      <c r="M89" s="349">
        <f t="shared" si="79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3.1799999999999997</v>
      </c>
      <c r="R89" s="349">
        <f t="shared" ref="R89:AG89" si="80">R80-R74</f>
        <v>3.3497727272727289</v>
      </c>
      <c r="S89" s="349">
        <f t="shared" si="80"/>
        <v>2.4500000000000028</v>
      </c>
      <c r="T89" s="349">
        <f>T80-T74</f>
        <v>2.6066785714285672</v>
      </c>
      <c r="U89" s="349">
        <f t="shared" si="80"/>
        <v>2.1000000000000014</v>
      </c>
      <c r="V89" s="349">
        <f t="shared" si="80"/>
        <v>2.509999999999998</v>
      </c>
      <c r="W89" s="349">
        <f t="shared" si="80"/>
        <v>2.7999999999999972</v>
      </c>
      <c r="X89" s="362"/>
      <c r="Y89" s="362"/>
      <c r="Z89" s="349">
        <f t="shared" si="80"/>
        <v>2.7999999999999972</v>
      </c>
      <c r="AA89" s="349">
        <f t="shared" si="80"/>
        <v>2.8999999999999986</v>
      </c>
      <c r="AB89" s="349">
        <f t="shared" si="80"/>
        <v>2.8999999999999986</v>
      </c>
      <c r="AC89" s="354">
        <f t="shared" si="80"/>
        <v>2.8999999999999986</v>
      </c>
      <c r="AD89" s="351">
        <f>AD80-AD74</f>
        <v>3.3432575757575727</v>
      </c>
      <c r="AE89" s="352">
        <f>AE80-AE74</f>
        <v>2.3855595238095191</v>
      </c>
      <c r="AF89" s="352">
        <f>AF80-AF74</f>
        <v>2.7033333333333331</v>
      </c>
      <c r="AG89" s="352">
        <f t="shared" si="80"/>
        <v>2.8999999999999986</v>
      </c>
      <c r="AH89" s="342">
        <f t="shared" si="57"/>
        <v>2.8330376082251072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412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79"/>
      <c r="X90" s="280"/>
      <c r="Y90" s="280"/>
      <c r="Z90" s="279"/>
      <c r="AA90" s="279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idden="1">
      <c r="A91" s="412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6"/>
      <c r="X91" s="285"/>
      <c r="Y91" s="285"/>
      <c r="Z91" s="286"/>
      <c r="AA91" s="286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412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1">$B$92*$J$92</f>
        <v>-0.6</v>
      </c>
      <c r="L92" s="289">
        <f t="shared" si="81"/>
        <v>-0.6</v>
      </c>
      <c r="M92" s="289">
        <f t="shared" si="81"/>
        <v>-0.6</v>
      </c>
      <c r="N92" s="289">
        <f t="shared" si="81"/>
        <v>-0.6</v>
      </c>
      <c r="O92" s="289">
        <f t="shared" si="81"/>
        <v>-0.6</v>
      </c>
      <c r="P92" s="289">
        <f t="shared" si="81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1"/>
      <c r="X92" s="292"/>
      <c r="Y92" s="292"/>
      <c r="Z92" s="291"/>
      <c r="AA92" s="291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412"/>
      <c r="B93" s="287">
        <v>0.03</v>
      </c>
      <c r="C93" s="287">
        <v>0.03</v>
      </c>
      <c r="D93" s="288"/>
      <c r="E93" s="288"/>
      <c r="F93" s="289">
        <f t="shared" ref="F93:I96" si="82">$B93*(F75-F$74-1.7)</f>
        <v>-5.0999999999999997E-2</v>
      </c>
      <c r="G93" s="289">
        <f t="shared" si="82"/>
        <v>-0.14202300000000007</v>
      </c>
      <c r="H93" s="289">
        <f t="shared" si="82"/>
        <v>-0.10879736842105259</v>
      </c>
      <c r="I93" s="289">
        <f t="shared" si="82"/>
        <v>-8.1000000000004332E-3</v>
      </c>
      <c r="J93" s="290"/>
      <c r="K93" s="289" t="e">
        <f t="shared" ref="K93:P96" si="83">$B93*(K75-K$74-1.7)</f>
        <v>#REF!</v>
      </c>
      <c r="L93" s="289" t="e">
        <f t="shared" si="83"/>
        <v>#REF!</v>
      </c>
      <c r="M93" s="289">
        <f t="shared" si="83"/>
        <v>-8.2500000000000837E-3</v>
      </c>
      <c r="N93" s="289">
        <f t="shared" si="83"/>
        <v>6.5249999999999989E-2</v>
      </c>
      <c r="O93" s="289">
        <f t="shared" si="83"/>
        <v>0.129</v>
      </c>
      <c r="P93" s="289">
        <f t="shared" si="83"/>
        <v>0.24269999999999989</v>
      </c>
      <c r="Q93" s="289">
        <f>$B93*(Q75-Q$74-1.7)</f>
        <v>8.6257894736842158E-2</v>
      </c>
      <c r="R93" s="291"/>
      <c r="S93" s="291"/>
      <c r="T93" s="291"/>
      <c r="U93" s="291"/>
      <c r="V93" s="291" t="e">
        <v>#REF!</v>
      </c>
      <c r="W93" s="291"/>
      <c r="X93" s="292"/>
      <c r="Y93" s="292"/>
      <c r="Z93" s="291"/>
      <c r="AA93" s="291"/>
      <c r="AB93" s="291"/>
      <c r="AC93" s="291"/>
      <c r="AD93" s="289">
        <f t="shared" ref="AD93:AG96" si="84">$B93*(AD75-AD$74-1.7)</f>
        <v>0.13127535885167471</v>
      </c>
      <c r="AE93" s="289">
        <f t="shared" si="84"/>
        <v>-2.8019047619047496E-2</v>
      </c>
      <c r="AF93" s="289"/>
      <c r="AG93" s="289">
        <f t="shared" si="84"/>
        <v>-1.8999999999999899E-2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412"/>
      <c r="B94" s="287">
        <v>0.16</v>
      </c>
      <c r="C94" s="287">
        <v>0.16</v>
      </c>
      <c r="D94" s="288"/>
      <c r="E94" s="288"/>
      <c r="F94" s="289">
        <f t="shared" si="82"/>
        <v>-0.27200000000000002</v>
      </c>
      <c r="G94" s="289">
        <f t="shared" si="82"/>
        <v>2.8906079999999994</v>
      </c>
      <c r="H94" s="289">
        <f t="shared" si="82"/>
        <v>2.6582315789473734</v>
      </c>
      <c r="I94" s="289">
        <f t="shared" si="82"/>
        <v>2.9057599999999999</v>
      </c>
      <c r="J94" s="290"/>
      <c r="K94" s="289">
        <f t="shared" si="83"/>
        <v>2.3652000000000006</v>
      </c>
      <c r="L94" s="289">
        <f t="shared" si="83"/>
        <v>2.4879999999999991</v>
      </c>
      <c r="M94" s="289">
        <f t="shared" si="83"/>
        <v>2.3475999999999995</v>
      </c>
      <c r="N94" s="289">
        <f t="shared" si="83"/>
        <v>2.258</v>
      </c>
      <c r="O94" s="289">
        <f t="shared" si="83"/>
        <v>2.528</v>
      </c>
      <c r="P94" s="289">
        <f t="shared" si="83"/>
        <v>3.5056000000000007</v>
      </c>
      <c r="Q94" s="289">
        <f>$B94*(Q76-Q$74-1.7)</f>
        <v>2.1612631578947372</v>
      </c>
      <c r="R94" s="291"/>
      <c r="S94" s="291"/>
      <c r="T94" s="291"/>
      <c r="U94" s="291"/>
      <c r="V94" s="291" t="e">
        <v>#REF!</v>
      </c>
      <c r="W94" s="291"/>
      <c r="X94" s="292"/>
      <c r="Y94" s="292"/>
      <c r="Z94" s="291"/>
      <c r="AA94" s="291"/>
      <c r="AB94" s="291"/>
      <c r="AC94" s="291"/>
      <c r="AD94" s="289">
        <f t="shared" si="84"/>
        <v>2.7385543859649126</v>
      </c>
      <c r="AE94" s="289">
        <f t="shared" si="84"/>
        <v>2.0456888888888893</v>
      </c>
      <c r="AF94" s="289"/>
      <c r="AG94" s="289">
        <f t="shared" si="84"/>
        <v>1.4080000000000001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82"/>
        <v>-0.255</v>
      </c>
      <c r="G95" s="289">
        <f t="shared" si="82"/>
        <v>1.1893499999999997</v>
      </c>
      <c r="H95" s="289">
        <f t="shared" si="82"/>
        <v>1.1527499999999997</v>
      </c>
      <c r="I95" s="289">
        <f t="shared" si="82"/>
        <v>1.7877749999999986</v>
      </c>
      <c r="J95" s="290"/>
      <c r="K95" s="289">
        <f t="shared" si="83"/>
        <v>1.7115</v>
      </c>
      <c r="L95" s="289">
        <f t="shared" si="83"/>
        <v>1.7602500000000003</v>
      </c>
      <c r="M95" s="289">
        <f t="shared" si="83"/>
        <v>1.7467499999999998</v>
      </c>
      <c r="N95" s="289">
        <f t="shared" si="83"/>
        <v>1.8794999999999995</v>
      </c>
      <c r="O95" s="289">
        <f t="shared" si="83"/>
        <v>2.085</v>
      </c>
      <c r="P95" s="289">
        <f t="shared" si="83"/>
        <v>1.4099999999999997</v>
      </c>
      <c r="Q95" s="289">
        <f>$B95*(Q77-Q$74-1.7)</f>
        <v>1.5016578947368429</v>
      </c>
      <c r="R95" s="291"/>
      <c r="S95" s="291"/>
      <c r="T95" s="291"/>
      <c r="U95" s="291"/>
      <c r="V95" s="291" t="e">
        <v>#REF!</v>
      </c>
      <c r="W95" s="291"/>
      <c r="X95" s="292"/>
      <c r="Y95" s="292"/>
      <c r="Z95" s="291"/>
      <c r="AA95" s="291"/>
      <c r="AB95" s="291"/>
      <c r="AC95" s="291"/>
      <c r="AD95" s="289">
        <f t="shared" si="84"/>
        <v>1.4974617224880389</v>
      </c>
      <c r="AE95" s="289">
        <f t="shared" si="84"/>
        <v>1.4100714285714291</v>
      </c>
      <c r="AF95" s="289"/>
      <c r="AG95" s="289">
        <f t="shared" si="84"/>
        <v>1.7050000000000005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82"/>
        <v>-0.66300000000000003</v>
      </c>
      <c r="G96" s="289">
        <f t="shared" si="82"/>
        <v>2.8040999999999974</v>
      </c>
      <c r="H96" s="289">
        <f t="shared" si="82"/>
        <v>3.0129552631578984</v>
      </c>
      <c r="I96" s="289">
        <f t="shared" si="82"/>
        <v>4.8371700000000013</v>
      </c>
      <c r="J96" s="290"/>
      <c r="K96" s="289">
        <f t="shared" si="83"/>
        <v>4.5435000000000008</v>
      </c>
      <c r="L96" s="289">
        <f t="shared" si="83"/>
        <v>4.6995000000000005</v>
      </c>
      <c r="M96" s="289">
        <f t="shared" si="83"/>
        <v>4.4343000000000004</v>
      </c>
      <c r="N96" s="289">
        <f t="shared" si="83"/>
        <v>4.8087000000000009</v>
      </c>
      <c r="O96" s="289">
        <f t="shared" si="83"/>
        <v>4.8555000000000001</v>
      </c>
      <c r="P96" s="289">
        <f t="shared" si="83"/>
        <v>2.9796</v>
      </c>
      <c r="Q96" s="289">
        <f>$B96*(Q78-Q$74-1.7)</f>
        <v>2.9093999999999989</v>
      </c>
      <c r="R96" s="291"/>
      <c r="S96" s="291"/>
      <c r="T96" s="291"/>
      <c r="U96" s="291"/>
      <c r="V96" s="291" t="e">
        <v>#REF!</v>
      </c>
      <c r="W96" s="291"/>
      <c r="X96" s="292"/>
      <c r="Y96" s="292"/>
      <c r="Z96" s="291"/>
      <c r="AA96" s="291"/>
      <c r="AB96" s="291"/>
      <c r="AC96" s="291"/>
      <c r="AD96" s="289">
        <f t="shared" si="84"/>
        <v>3.0908681818181831</v>
      </c>
      <c r="AE96" s="289">
        <f t="shared" si="84"/>
        <v>3.4103333333333361</v>
      </c>
      <c r="AF96" s="289"/>
      <c r="AG96" s="289">
        <f t="shared" si="84"/>
        <v>4.0819999999999999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85">$B$97*((K79/6.5)-(K$74-1.7))</f>
        <v>-0.88577076923076925</v>
      </c>
      <c r="L97" s="289">
        <f t="shared" si="85"/>
        <v>-0.88175538461538472</v>
      </c>
      <c r="M97" s="289">
        <f t="shared" si="85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-0.47267805668016233</v>
      </c>
      <c r="R97" s="291"/>
      <c r="S97" s="291"/>
      <c r="T97" s="291"/>
      <c r="U97" s="291"/>
      <c r="V97" s="291" t="e">
        <v>#REF!</v>
      </c>
      <c r="W97" s="291"/>
      <c r="X97" s="292"/>
      <c r="Y97" s="292"/>
      <c r="Z97" s="291"/>
      <c r="AA97" s="291"/>
      <c r="AB97" s="291"/>
      <c r="AC97" s="291"/>
      <c r="AD97" s="289">
        <f t="shared" ref="AD97:AG97" si="86">$B$97*((AD79/6.5)-(AD$74-1.7))</f>
        <v>-0.48635767390504225</v>
      </c>
      <c r="AE97" s="289">
        <f t="shared" si="86"/>
        <v>-0.9568099633699626</v>
      </c>
      <c r="AF97" s="289"/>
      <c r="AG97" s="289">
        <f t="shared" si="86"/>
        <v>-0.79846153846153833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87">$B98*(K81-K$74-1.7)</f>
        <v>-1.5</v>
      </c>
      <c r="L98" s="289">
        <f t="shared" si="87"/>
        <v>-1.4565000000000001</v>
      </c>
      <c r="M98" s="289">
        <f t="shared" si="87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-0.93007894736842101</v>
      </c>
      <c r="R98" s="291"/>
      <c r="S98" s="291"/>
      <c r="T98" s="291"/>
      <c r="U98" s="291"/>
      <c r="V98" s="291" t="e">
        <v>#REF!</v>
      </c>
      <c r="W98" s="291"/>
      <c r="X98" s="292"/>
      <c r="Y98" s="292"/>
      <c r="Z98" s="291"/>
      <c r="AA98" s="291"/>
      <c r="AB98" s="291"/>
      <c r="AC98" s="291"/>
      <c r="AD98" s="289">
        <f t="shared" ref="AD98:AG98" si="88">$B98*(AD81-AD$74-1.7)</f>
        <v>-0.96354449760765526</v>
      </c>
      <c r="AE98" s="289">
        <f t="shared" si="88"/>
        <v>-1.3479857142857143</v>
      </c>
      <c r="AF98" s="289"/>
      <c r="AG98" s="289">
        <f t="shared" si="88"/>
        <v>-1.3860000000000001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1"/>
      <c r="X99" s="292"/>
      <c r="Y99" s="292"/>
      <c r="Z99" s="291"/>
      <c r="AA99" s="291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89">SUM(H92:H98)</f>
        <v>-0.17026991934711599</v>
      </c>
      <c r="I100" s="289">
        <f>SUM(I92:I98)</f>
        <v>2.9612135099939429</v>
      </c>
      <c r="J100" s="290"/>
      <c r="K100" s="289" t="e">
        <f t="shared" ref="K100:M100" si="90">SUM(K92:K98)</f>
        <v>#REF!</v>
      </c>
      <c r="L100" s="289" t="e">
        <f t="shared" si="90"/>
        <v>#REF!</v>
      </c>
      <c r="M100" s="289">
        <f t="shared" si="90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1">SUM(Q92:Q98)</f>
        <v>4.6558219433198378</v>
      </c>
      <c r="R100" s="291"/>
      <c r="S100" s="291"/>
      <c r="T100" s="291"/>
      <c r="U100" s="291"/>
      <c r="V100" s="291" t="e">
        <v>#REF!</v>
      </c>
      <c r="W100" s="291"/>
      <c r="X100" s="292"/>
      <c r="Y100" s="292"/>
      <c r="Z100" s="291"/>
      <c r="AA100" s="291"/>
      <c r="AB100" s="291"/>
      <c r="AC100" s="291"/>
      <c r="AD100" s="289">
        <f t="shared" ref="AD100:AG100" si="92">SUM(AD92:AD98)</f>
        <v>5.4082574776101122</v>
      </c>
      <c r="AE100" s="289">
        <f t="shared" si="92"/>
        <v>3.9332789255189295</v>
      </c>
      <c r="AF100" s="289"/>
      <c r="AG100" s="289">
        <f t="shared" si="92"/>
        <v>4.3915384615384623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79"/>
      <c r="X101" s="280"/>
      <c r="Y101" s="280"/>
      <c r="Z101" s="279"/>
      <c r="AA101" s="279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79"/>
      <c r="X102" s="280"/>
      <c r="Y102" s="280"/>
      <c r="Z102" s="279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79"/>
      <c r="X103" s="280"/>
      <c r="Y103" s="280"/>
      <c r="Z103" s="279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79"/>
      <c r="X104" s="280"/>
      <c r="Y104" s="280"/>
      <c r="Z104" s="279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79"/>
      <c r="X105" s="280"/>
      <c r="Y105" s="280"/>
      <c r="Z105" s="279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79"/>
      <c r="X106" s="280"/>
      <c r="Y106" s="280"/>
      <c r="Z106" s="279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79"/>
      <c r="X107" s="280"/>
      <c r="Y107" s="280"/>
      <c r="Z107" s="279"/>
      <c r="AA107" s="279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79"/>
      <c r="X108" s="280"/>
      <c r="Y108" s="280"/>
      <c r="Z108" s="279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79"/>
      <c r="X109" s="280"/>
      <c r="Y109" s="280"/>
      <c r="Z109" s="279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412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79"/>
      <c r="X110" s="280"/>
      <c r="Y110" s="280"/>
      <c r="Z110" s="279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412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79"/>
      <c r="X111" s="280"/>
      <c r="Y111" s="280"/>
      <c r="Z111" s="279"/>
      <c r="AA111" s="279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79"/>
      <c r="X112" s="280"/>
      <c r="Y112" s="280"/>
      <c r="Z112" s="279"/>
      <c r="AA112" s="279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79"/>
      <c r="X113" s="280"/>
      <c r="Y113" s="280"/>
      <c r="Z113" s="279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79"/>
      <c r="X114" s="280"/>
      <c r="Y114" s="280"/>
      <c r="Z114" s="279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79"/>
      <c r="X115" s="280"/>
      <c r="Y115" s="280"/>
      <c r="Z115" s="279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79"/>
      <c r="X116" s="280"/>
      <c r="Y116" s="280"/>
      <c r="Z116" s="279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79"/>
      <c r="X117" s="280"/>
      <c r="Y117" s="280"/>
      <c r="Z117" s="279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79"/>
      <c r="X118" s="280"/>
      <c r="Y118" s="280"/>
      <c r="Z118" s="279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79"/>
      <c r="X119" s="280"/>
      <c r="Y119" s="280"/>
      <c r="Z119" s="279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79"/>
      <c r="X120" s="280"/>
      <c r="Y120" s="280"/>
      <c r="Z120" s="279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79"/>
      <c r="X121" s="280"/>
      <c r="Y121" s="280"/>
      <c r="Z121" s="279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79"/>
      <c r="X122" s="280"/>
      <c r="Y122" s="280"/>
      <c r="Z122" s="279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79"/>
      <c r="X123" s="280"/>
      <c r="Y123" s="280"/>
      <c r="Z123" s="279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6"/>
      <c r="X124" s="5"/>
      <c r="Y124" s="5"/>
      <c r="Z124" s="6"/>
      <c r="AA124" s="6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U5:U6"/>
    <mergeCell ref="V5:V6"/>
    <mergeCell ref="W5:W6"/>
    <mergeCell ref="Z5:Z6"/>
    <mergeCell ref="AA5:AA6"/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MT125"/>
  <sheetViews>
    <sheetView topLeftCell="A4" zoomScale="80" zoomScaleNormal="80" workbookViewId="0">
      <pane xSplit="15" ySplit="3" topLeftCell="P7" activePane="bottomRight" state="frozen"/>
      <selection activeCell="A4" sqref="A4"/>
      <selection pane="topRight" activeCell="P4" sqref="P4"/>
      <selection pane="bottomLeft" activeCell="A7" sqref="A7"/>
      <selection pane="bottomRight" activeCell="A45" sqref="A45:XFD45"/>
    </sheetView>
  </sheetViews>
  <sheetFormatPr defaultColWidth="9.08984375" defaultRowHeight="21" outlineLevelRow="1" outlineLevelCol="1"/>
  <cols>
    <col min="1" max="1" width="19" style="194" customWidth="1"/>
    <col min="2" max="2" width="24.90625" style="2" hidden="1" customWidth="1"/>
    <col min="3" max="3" width="21.36328125" style="2" hidden="1" customWidth="1"/>
    <col min="4" max="4" width="13.453125" style="1" hidden="1" customWidth="1"/>
    <col min="5" max="5" width="10.36328125" style="1" hidden="1" customWidth="1"/>
    <col min="6" max="9" width="11.08984375" style="3" hidden="1" customWidth="1"/>
    <col min="10" max="10" width="31.90625" style="4" hidden="1" customWidth="1"/>
    <col min="11" max="14" width="11.08984375" style="3" hidden="1" customWidth="1"/>
    <col min="15" max="15" width="2.453125" style="3" hidden="1" customWidth="1"/>
    <col min="16" max="21" width="9" style="3" customWidth="1"/>
    <col min="22" max="22" width="8.7265625" style="6" customWidth="1"/>
    <col min="23" max="23" width="9.36328125" style="6" customWidth="1"/>
    <col min="24" max="24" width="9" style="6" customWidth="1"/>
    <col min="25" max="26" width="26.453125" style="5" hidden="1" customWidth="1" outlineLevel="1"/>
    <col min="27" max="27" width="9" style="6" customWidth="1" collapsed="1"/>
    <col min="28" max="29" width="9" style="6" customWidth="1"/>
    <col min="30" max="33" width="9" style="6" hidden="1" customWidth="1" outlineLevel="1"/>
    <col min="34" max="34" width="9" style="153" customWidth="1" collapsed="1"/>
    <col min="35" max="35" width="10.08984375" style="7" bestFit="1" customWidth="1"/>
    <col min="36" max="358" width="9.08984375" style="7"/>
    <col min="359" max="16384" width="9.0898437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2"/>
      <c r="Z2" s="12"/>
      <c r="AA2" s="10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Y3" s="17"/>
      <c r="Z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8" t="s">
        <v>3</v>
      </c>
      <c r="F5" s="673" t="s">
        <v>4</v>
      </c>
      <c r="G5" s="673" t="s">
        <v>5</v>
      </c>
      <c r="H5" s="680" t="s">
        <v>6</v>
      </c>
      <c r="I5" s="673" t="s">
        <v>7</v>
      </c>
      <c r="J5" s="28" t="s">
        <v>2</v>
      </c>
      <c r="K5" s="673" t="s">
        <v>8</v>
      </c>
      <c r="L5" s="421" t="s">
        <v>9</v>
      </c>
      <c r="M5" s="421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673" t="s">
        <v>65</v>
      </c>
      <c r="U5" s="673" t="s">
        <v>66</v>
      </c>
      <c r="V5" s="673" t="s">
        <v>67</v>
      </c>
      <c r="W5" s="673" t="s">
        <v>224</v>
      </c>
      <c r="X5" s="673" t="s">
        <v>69</v>
      </c>
      <c r="Y5" s="29" t="s">
        <v>10</v>
      </c>
      <c r="Z5" s="30" t="s">
        <v>11</v>
      </c>
      <c r="AA5" s="673" t="s">
        <v>70</v>
      </c>
      <c r="AB5" s="673" t="s">
        <v>77</v>
      </c>
      <c r="AC5" s="697" t="s">
        <v>78</v>
      </c>
      <c r="AD5" s="699" t="s">
        <v>79</v>
      </c>
      <c r="AE5" s="688" t="s">
        <v>80</v>
      </c>
      <c r="AF5" s="688" t="s">
        <v>81</v>
      </c>
      <c r="AG5" s="695" t="s">
        <v>82</v>
      </c>
      <c r="AH5" s="685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79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674"/>
      <c r="V6" s="674"/>
      <c r="W6" s="674"/>
      <c r="X6" s="674"/>
      <c r="Y6" s="187">
        <v>42614</v>
      </c>
      <c r="Z6" s="188">
        <v>42644</v>
      </c>
      <c r="AA6" s="674"/>
      <c r="AB6" s="674"/>
      <c r="AC6" s="698"/>
      <c r="AD6" s="700"/>
      <c r="AE6" s="689"/>
      <c r="AF6" s="689"/>
      <c r="AG6" s="696"/>
      <c r="AH6" s="686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3"/>
      <c r="X7" s="24"/>
      <c r="Y7" s="22"/>
      <c r="Z7" s="22"/>
      <c r="AA7" s="24"/>
      <c r="AB7" s="24"/>
      <c r="AC7" s="24"/>
      <c r="AD7" s="302"/>
      <c r="AE7" s="24"/>
      <c r="AF7" s="24"/>
      <c r="AG7" s="303"/>
      <c r="AH7" s="238"/>
      <c r="AI7" s="423"/>
    </row>
    <row r="8" spans="1:358" ht="21.5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/>
      <c r="V8" s="39"/>
      <c r="W8" s="38"/>
      <c r="X8" s="38"/>
      <c r="Y8" s="360"/>
      <c r="Z8" s="215"/>
      <c r="AA8" s="38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81"/>
      <c r="B9" s="682"/>
      <c r="C9" s="682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08"/>
      <c r="X9" s="208"/>
      <c r="Y9" s="216"/>
      <c r="Z9" s="217"/>
      <c r="AA9" s="208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29.30263157894737</v>
      </c>
      <c r="R10" s="388">
        <v>35.141818181818174</v>
      </c>
      <c r="S10" s="388">
        <v>39.03</v>
      </c>
      <c r="T10" s="388">
        <v>44.268571428571427</v>
      </c>
      <c r="U10" s="388">
        <v>46.255909090909093</v>
      </c>
      <c r="V10" s="388">
        <v>42.464500000000008</v>
      </c>
      <c r="W10" s="388">
        <v>43.398947368421048</v>
      </c>
      <c r="X10" s="189">
        <v>45</v>
      </c>
      <c r="Y10" s="185"/>
      <c r="Z10" s="186"/>
      <c r="AA10" s="189">
        <v>45.5</v>
      </c>
      <c r="AB10" s="189">
        <v>46.5</v>
      </c>
      <c r="AC10" s="297">
        <v>46.25</v>
      </c>
      <c r="AD10" s="308">
        <f>AVERAGE(P10:R10)</f>
        <v>30.418149920255178</v>
      </c>
      <c r="AE10" s="246">
        <f>AVERAGE(S10:T10:U10)</f>
        <v>43.184826839826833</v>
      </c>
      <c r="AF10" s="246">
        <f>AVERAGE(V10:X10)</f>
        <v>43.621149122807019</v>
      </c>
      <c r="AG10" s="309">
        <f>AVERAGE(AA10:AC10)</f>
        <v>46.083333333333336</v>
      </c>
      <c r="AH10" s="241">
        <f>AVERAGE(P10:AC10)</f>
        <v>40.826864804055589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29.30263157894737</v>
      </c>
      <c r="R11" s="389">
        <v>35.141818181818174</v>
      </c>
      <c r="S11" s="388">
        <v>39.03</v>
      </c>
      <c r="T11" s="388">
        <v>44.268571428571427</v>
      </c>
      <c r="U11" s="389">
        <v>46.255909090909093</v>
      </c>
      <c r="V11" s="389">
        <v>42.464500000000008</v>
      </c>
      <c r="W11" s="389">
        <v>43.398947368421048</v>
      </c>
      <c r="X11" s="183">
        <v>45</v>
      </c>
      <c r="Y11" s="185"/>
      <c r="Z11" s="186"/>
      <c r="AA11" s="183">
        <v>46</v>
      </c>
      <c r="AB11" s="183">
        <v>46.5</v>
      </c>
      <c r="AC11" s="298">
        <v>46.5</v>
      </c>
      <c r="AD11" s="308">
        <f>AVERAGE(P11:R11)</f>
        <v>30.418149920255178</v>
      </c>
      <c r="AE11" s="246">
        <f>AVERAGE(S11:T11:U11)</f>
        <v>43.184826839826833</v>
      </c>
      <c r="AF11" s="246">
        <f>AVERAGE(V11:X11)</f>
        <v>43.621149122807019</v>
      </c>
      <c r="AG11" s="309">
        <f t="shared" ref="AG11:AG13" si="1">AVERAGE(AA11:AC11)</f>
        <v>46.333333333333336</v>
      </c>
      <c r="AH11" s="241">
        <f>AVERAGE(P11:AC11)</f>
        <v>40.889364804055589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29.30263157894737</v>
      </c>
      <c r="R12" s="388">
        <v>35.141818181818174</v>
      </c>
      <c r="S12" s="388">
        <v>39.03</v>
      </c>
      <c r="T12" s="388">
        <v>44.268571428571427</v>
      </c>
      <c r="U12" s="389">
        <v>46.255909090909093</v>
      </c>
      <c r="V12" s="389">
        <v>42.464500000000008</v>
      </c>
      <c r="W12" s="388">
        <v>43.398947368421048</v>
      </c>
      <c r="X12" s="189">
        <v>43.5</v>
      </c>
      <c r="Y12" s="185" t="s">
        <v>218</v>
      </c>
      <c r="Z12" s="186" t="s">
        <v>219</v>
      </c>
      <c r="AA12" s="189">
        <v>43.6</v>
      </c>
      <c r="AB12" s="189">
        <v>43.8</v>
      </c>
      <c r="AC12" s="297">
        <v>44</v>
      </c>
      <c r="AD12" s="308">
        <f>AVERAGE(P12:R12)</f>
        <v>30.418149920255178</v>
      </c>
      <c r="AE12" s="246">
        <f>AVERAGE(S12:T12:U12)</f>
        <v>43.184826839826833</v>
      </c>
      <c r="AF12" s="246">
        <f>AVERAGE(V12:X12)</f>
        <v>43.121149122807019</v>
      </c>
      <c r="AG12" s="309">
        <f t="shared" si="1"/>
        <v>43.800000000000004</v>
      </c>
      <c r="AH12" s="241">
        <f>AVERAGE(P12:AC12)</f>
        <v>40.131031470722256</v>
      </c>
      <c r="AI12" s="267"/>
    </row>
    <row r="13" spans="1:358" ht="58.5" hidden="1" customHeight="1" outlineLevel="1" thickBot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29.30263157894737</v>
      </c>
      <c r="R13" s="388">
        <v>35.141818181818174</v>
      </c>
      <c r="S13" s="388">
        <v>39.03</v>
      </c>
      <c r="T13" s="388">
        <v>44.268571428571427</v>
      </c>
      <c r="U13" s="388">
        <v>46.255909090909093</v>
      </c>
      <c r="V13" s="388">
        <v>42.464500000000008</v>
      </c>
      <c r="W13" s="388">
        <v>43.398947368421048</v>
      </c>
      <c r="X13" s="189">
        <v>46</v>
      </c>
      <c r="Y13" s="253" t="s">
        <v>210</v>
      </c>
      <c r="Z13" s="254"/>
      <c r="AA13" s="189">
        <v>46.5</v>
      </c>
      <c r="AB13" s="189">
        <v>48</v>
      </c>
      <c r="AC13" s="297">
        <v>49</v>
      </c>
      <c r="AD13" s="308">
        <f>AVERAGE(P13:R13)</f>
        <v>30.418149920255178</v>
      </c>
      <c r="AE13" s="246">
        <f>AVERAGE(S13:T13:U13)</f>
        <v>43.184826839826833</v>
      </c>
      <c r="AF13" s="246">
        <f>AVERAGE(V13:X13)</f>
        <v>43.954482456140347</v>
      </c>
      <c r="AG13" s="309">
        <f t="shared" si="1"/>
        <v>47.833333333333336</v>
      </c>
      <c r="AH13" s="241">
        <f>AVERAGE(P13:AC13)</f>
        <v>41.347698137388925</v>
      </c>
      <c r="AI13" s="267"/>
    </row>
    <row r="14" spans="1:358" s="62" customFormat="1" ht="19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2">AVERAGE(J10:J13)</f>
        <v>#DIV/0!</v>
      </c>
      <c r="K14" s="59">
        <f t="shared" si="2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3">AVERAGE(O10:O13)</f>
        <v>37</v>
      </c>
      <c r="P14" s="414">
        <f>AVERAGE(P10:P13)</f>
        <v>26.81</v>
      </c>
      <c r="Q14" s="414">
        <f>AVERAGE(Q10:Q13)</f>
        <v>29.30263157894737</v>
      </c>
      <c r="R14" s="414">
        <f>AVERAGE(R10:R13)</f>
        <v>35.141818181818174</v>
      </c>
      <c r="S14" s="414">
        <f>AVERAGE(S10:S13)</f>
        <v>39.03</v>
      </c>
      <c r="T14" s="414">
        <f>AVERAGE(T10:T13)</f>
        <v>44.268571428571427</v>
      </c>
      <c r="U14" s="414">
        <f t="shared" ref="U14:AC14" si="4">AVERAGE(U10:U13)</f>
        <v>46.255909090909093</v>
      </c>
      <c r="V14" s="414">
        <f t="shared" si="4"/>
        <v>42.464500000000008</v>
      </c>
      <c r="W14" s="414">
        <f t="shared" si="4"/>
        <v>43.398947368421048</v>
      </c>
      <c r="X14" s="59">
        <f t="shared" si="4"/>
        <v>44.875</v>
      </c>
      <c r="Y14" s="369"/>
      <c r="Z14" s="369"/>
      <c r="AA14" s="59">
        <f t="shared" si="4"/>
        <v>45.4</v>
      </c>
      <c r="AB14" s="59">
        <f t="shared" si="4"/>
        <v>46.2</v>
      </c>
      <c r="AC14" s="234">
        <f t="shared" si="4"/>
        <v>46.4375</v>
      </c>
      <c r="AD14" s="310">
        <f>AVERAGE(AD10:AD13)</f>
        <v>30.418149920255178</v>
      </c>
      <c r="AE14" s="59">
        <f t="shared" ref="AE14" si="5">AVERAGE(AE10:AE13)</f>
        <v>43.184826839826833</v>
      </c>
      <c r="AF14" s="59">
        <f>AVERAGE(AF10:AF13)</f>
        <v>43.579482456140347</v>
      </c>
      <c r="AG14" s="311">
        <f>AVERAGE(AG10:AG13)</f>
        <v>46.012500000000003</v>
      </c>
      <c r="AH14" s="242">
        <f>AVERAGE(AH10:AH13)</f>
        <v>40.798739804055593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414">
        <f>P14</f>
        <v>26.81</v>
      </c>
      <c r="Q15" s="414">
        <f t="shared" ref="Q15" si="6">Q14</f>
        <v>29.30263157894737</v>
      </c>
      <c r="R15" s="414">
        <f>R14</f>
        <v>35.141818181818174</v>
      </c>
      <c r="S15" s="414">
        <f>S14</f>
        <v>39.03</v>
      </c>
      <c r="T15" s="414">
        <f>T14</f>
        <v>44.268571428571427</v>
      </c>
      <c r="U15" s="414">
        <v>46.4</v>
      </c>
      <c r="V15" s="414">
        <f>V14</f>
        <v>42.464500000000008</v>
      </c>
      <c r="W15" s="414">
        <f>W14</f>
        <v>43.398947368421048</v>
      </c>
      <c r="X15" s="164">
        <v>45</v>
      </c>
      <c r="Y15" s="370"/>
      <c r="Z15" s="370"/>
      <c r="AA15" s="164">
        <v>45.5</v>
      </c>
      <c r="AB15" s="164">
        <v>46</v>
      </c>
      <c r="AC15" s="229">
        <v>46.5</v>
      </c>
      <c r="AD15" s="312">
        <f>AVERAGE(P15:R15)</f>
        <v>30.418149920255178</v>
      </c>
      <c r="AE15" s="164">
        <f>AVERAGE(S15:T15:U15)</f>
        <v>43.232857142857142</v>
      </c>
      <c r="AF15" s="164">
        <f>AVERAGE(V15:X15)</f>
        <v>43.621149122807019</v>
      </c>
      <c r="AG15" s="313">
        <f>AVERAGE(AA15:AC15)</f>
        <v>46</v>
      </c>
      <c r="AH15" s="242">
        <f>AVERAGE(P15:AC15)</f>
        <v>40.818039046479832</v>
      </c>
      <c r="AI15" s="271">
        <v>54</v>
      </c>
      <c r="AJ15" s="179"/>
      <c r="AK15" s="179"/>
    </row>
    <row r="16" spans="1:358" ht="21.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23"/>
      <c r="X16" s="23"/>
      <c r="Y16" s="371"/>
      <c r="Z16" s="371"/>
      <c r="AA16" s="23"/>
      <c r="AB16" s="23"/>
      <c r="AC16" s="24"/>
      <c r="AD16" s="314"/>
      <c r="AE16" s="23"/>
      <c r="AF16" s="23"/>
      <c r="AG16" s="303"/>
      <c r="AH16" s="238"/>
      <c r="AI16" s="272"/>
    </row>
    <row r="17" spans="1:358" ht="21.5" hidden="1" outlineLevel="1" thickBot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/>
      <c r="V17" s="39"/>
      <c r="W17" s="38"/>
      <c r="X17" s="38"/>
      <c r="Y17" s="372"/>
      <c r="Z17" s="372"/>
      <c r="AA17" s="38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5"/>
      <c r="B18" s="676"/>
      <c r="C18" s="676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44"/>
      <c r="X18" s="44"/>
      <c r="Y18" s="373"/>
      <c r="Z18" s="374"/>
      <c r="AA18" s="4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4.5752631578947387</v>
      </c>
      <c r="R19" s="388">
        <v>3.8622727272727388</v>
      </c>
      <c r="S19" s="388">
        <v>3.33</v>
      </c>
      <c r="T19" s="388">
        <v>-0.23190476190475806</v>
      </c>
      <c r="U19" s="388">
        <v>-0.89681818181818329</v>
      </c>
      <c r="V19" s="388">
        <v>-0.8335000000000008</v>
      </c>
      <c r="W19" s="388">
        <v>-3.8299999999999841</v>
      </c>
      <c r="X19" s="189">
        <v>-3</v>
      </c>
      <c r="Y19" s="185"/>
      <c r="Z19" s="186"/>
      <c r="AA19" s="189">
        <v>-1.5</v>
      </c>
      <c r="AB19" s="189">
        <v>0.5</v>
      </c>
      <c r="AC19" s="297">
        <v>1</v>
      </c>
      <c r="AD19" s="308">
        <f>AVERAGE(P19:R19)</f>
        <v>6.0758452950558253</v>
      </c>
      <c r="AE19" s="246">
        <f>AVERAGE(S19:T19:U19)</f>
        <v>0.73375901875901961</v>
      </c>
      <c r="AF19" s="246">
        <f>AVERAGE(V19:X19)</f>
        <v>-2.5544999999999951</v>
      </c>
      <c r="AG19" s="309">
        <f>AVERAGE(AA19:AC19)</f>
        <v>0</v>
      </c>
      <c r="AH19" s="241">
        <f>AVERAGE(P19:AC19)</f>
        <v>1.0637760784537125</v>
      </c>
      <c r="AI19" s="272"/>
    </row>
    <row r="20" spans="1:358" ht="58.5" hidden="1" customHeight="1" outlineLevel="1">
      <c r="A20" s="47" t="s">
        <v>24</v>
      </c>
      <c r="B20" s="48">
        <f t="shared" ref="B20" si="7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4.5752631578947387</v>
      </c>
      <c r="R20" s="389">
        <v>3.8622727272727388</v>
      </c>
      <c r="S20" s="388">
        <v>3.33</v>
      </c>
      <c r="T20" s="388">
        <v>-0.23190476190475806</v>
      </c>
      <c r="U20" s="389">
        <v>-0.89681818181818329</v>
      </c>
      <c r="V20" s="389">
        <v>-0.8335000000000008</v>
      </c>
      <c r="W20" s="389">
        <v>-3.8299999999999841</v>
      </c>
      <c r="X20" s="183">
        <v>-3</v>
      </c>
      <c r="Y20" s="185"/>
      <c r="Z20" s="186"/>
      <c r="AA20" s="183">
        <v>-1.5</v>
      </c>
      <c r="AB20" s="183">
        <v>0.3</v>
      </c>
      <c r="AC20" s="298">
        <v>0.5</v>
      </c>
      <c r="AD20" s="308">
        <f>AVERAGE(P20:R20)</f>
        <v>6.0758452950558253</v>
      </c>
      <c r="AE20" s="246">
        <f>AVERAGE(S20:T20:U20)</f>
        <v>0.73375901875901961</v>
      </c>
      <c r="AF20" s="246">
        <f>AVERAGE(V20:X20)</f>
        <v>-2.5544999999999951</v>
      </c>
      <c r="AG20" s="309">
        <f t="shared" ref="AG20:AG22" si="8">AVERAGE(AA20:AC20)</f>
        <v>-0.23333333333333331</v>
      </c>
      <c r="AH20" s="241">
        <f>AVERAGE(P20:AC20)</f>
        <v>1.0054427451203791</v>
      </c>
      <c r="AI20" s="272"/>
    </row>
    <row r="21" spans="1:358" ht="58.5" hidden="1" customHeight="1" outlineLevel="1">
      <c r="A21" s="47" t="s">
        <v>25</v>
      </c>
      <c r="B21" s="78">
        <f t="shared" ref="B21" si="9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4.5752631578947387</v>
      </c>
      <c r="R21" s="388">
        <v>3.8622727272727388</v>
      </c>
      <c r="S21" s="388">
        <v>3.33</v>
      </c>
      <c r="T21" s="388">
        <v>-0.23190476190475806</v>
      </c>
      <c r="U21" s="388">
        <v>-0.89681818181818329</v>
      </c>
      <c r="V21" s="388">
        <v>-0.8335000000000008</v>
      </c>
      <c r="W21" s="388">
        <v>-3.8299999999999841</v>
      </c>
      <c r="X21" s="189">
        <v>-3.5</v>
      </c>
      <c r="Y21" s="185" t="s">
        <v>220</v>
      </c>
      <c r="Z21" s="186" t="s">
        <v>221</v>
      </c>
      <c r="AA21" s="189">
        <v>-3</v>
      </c>
      <c r="AB21" s="189">
        <v>-2</v>
      </c>
      <c r="AC21" s="297">
        <v>-1</v>
      </c>
      <c r="AD21" s="308">
        <f>AVERAGE(P21:R21)</f>
        <v>6.0758452950558253</v>
      </c>
      <c r="AE21" s="246">
        <f>AVERAGE(S21:T21:U21)</f>
        <v>0.73375901875901961</v>
      </c>
      <c r="AF21" s="246">
        <f>AVERAGE(V21:X21)</f>
        <v>-2.7211666666666616</v>
      </c>
      <c r="AG21" s="309">
        <f t="shared" si="8"/>
        <v>-2</v>
      </c>
      <c r="AH21" s="241">
        <f>AVERAGE(P21:AC21)</f>
        <v>0.52210941178704573</v>
      </c>
      <c r="AI21" s="272"/>
    </row>
    <row r="22" spans="1:358" ht="58.5" hidden="1" customHeight="1" outlineLevel="1" thickBot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4.5752631578947387</v>
      </c>
      <c r="R22" s="388">
        <v>3.8622727272727388</v>
      </c>
      <c r="S22" s="388">
        <v>3.33</v>
      </c>
      <c r="T22" s="388">
        <v>-0.23190476190475806</v>
      </c>
      <c r="U22" s="388">
        <v>-0.89681818181818329</v>
      </c>
      <c r="V22" s="388">
        <v>-0.8335000000000008</v>
      </c>
      <c r="W22" s="388">
        <v>-3.8299999999999841</v>
      </c>
      <c r="X22" s="189">
        <v>-2.5</v>
      </c>
      <c r="Y22" s="185"/>
      <c r="Z22" s="186"/>
      <c r="AA22" s="189">
        <v>-1</v>
      </c>
      <c r="AB22" s="189">
        <v>0.3</v>
      </c>
      <c r="AC22" s="297">
        <v>1</v>
      </c>
      <c r="AD22" s="308">
        <f>AVERAGE(P22:R22)</f>
        <v>6.0758452950558253</v>
      </c>
      <c r="AE22" s="246">
        <f>AVERAGE(S22:T22:U22)</f>
        <v>0.73375901875901961</v>
      </c>
      <c r="AF22" s="246">
        <f>AVERAGE(V22:X22)</f>
        <v>-2.3878333333333281</v>
      </c>
      <c r="AG22" s="309">
        <f t="shared" si="8"/>
        <v>0.10000000000000002</v>
      </c>
      <c r="AH22" s="241">
        <f>AVERAGE(P22:AC22)</f>
        <v>1.1304427451203791</v>
      </c>
      <c r="AI22" s="272"/>
    </row>
    <row r="23" spans="1:358" ht="21.75" hidden="1" customHeight="1" outlineLevel="1" thickBot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414">
        <f>AVERAGE(P19:P22)</f>
        <v>9.7899999999999991</v>
      </c>
      <c r="Q23" s="414">
        <f>AVERAGE(Q19:Q22)</f>
        <v>4.5752631578947387</v>
      </c>
      <c r="R23" s="414">
        <f t="shared" ref="R23" si="10">AVERAGE(R19:R22)</f>
        <v>3.8622727272727388</v>
      </c>
      <c r="S23" s="414">
        <f>AVERAGE(S19:S22)</f>
        <v>3.33</v>
      </c>
      <c r="T23" s="414">
        <f>AVERAGE(T19:T22)</f>
        <v>-0.23190476190475806</v>
      </c>
      <c r="U23" s="414">
        <f t="shared" ref="U23:AC23" si="11">AVERAGE(U19:U22)</f>
        <v>-0.89681818181818329</v>
      </c>
      <c r="V23" s="414">
        <f t="shared" si="11"/>
        <v>-0.8335000000000008</v>
      </c>
      <c r="W23" s="414">
        <f t="shared" si="11"/>
        <v>-3.8299999999999841</v>
      </c>
      <c r="X23" s="59">
        <f t="shared" si="11"/>
        <v>-3</v>
      </c>
      <c r="Y23" s="375"/>
      <c r="Z23" s="375"/>
      <c r="AA23" s="59">
        <f t="shared" si="11"/>
        <v>-1.75</v>
      </c>
      <c r="AB23" s="59">
        <f t="shared" si="11"/>
        <v>-0.22499999999999998</v>
      </c>
      <c r="AC23" s="234">
        <f t="shared" si="11"/>
        <v>0.375</v>
      </c>
      <c r="AD23" s="310">
        <f>AVERAGE(AD19:AD22)</f>
        <v>6.0758452950558253</v>
      </c>
      <c r="AE23" s="59">
        <f>AVERAGE(AE19:AE22)</f>
        <v>0.73375901875901961</v>
      </c>
      <c r="AF23" s="59">
        <f t="shared" ref="AF23:AG23" si="12">AVERAGE(AF19:AF22)</f>
        <v>-2.5544999999999951</v>
      </c>
      <c r="AG23" s="311">
        <f t="shared" si="12"/>
        <v>-0.53333333333333333</v>
      </c>
      <c r="AH23" s="242">
        <f>AVERAGE(AH19:AH22)</f>
        <v>0.93044274512037917</v>
      </c>
      <c r="AI23" s="272"/>
    </row>
    <row r="24" spans="1:358" ht="19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414">
        <f>P23</f>
        <v>9.7899999999999991</v>
      </c>
      <c r="Q24" s="414">
        <f t="shared" ref="Q24" si="13">Q23</f>
        <v>4.5752631578947387</v>
      </c>
      <c r="R24" s="414">
        <f>R23</f>
        <v>3.8622727272727388</v>
      </c>
      <c r="S24" s="414">
        <f>S23</f>
        <v>3.33</v>
      </c>
      <c r="T24" s="414">
        <f>T23</f>
        <v>-0.23190476190475806</v>
      </c>
      <c r="U24" s="414">
        <v>-0.8</v>
      </c>
      <c r="V24" s="414">
        <f>V23</f>
        <v>-0.8335000000000008</v>
      </c>
      <c r="W24" s="414">
        <f>W23</f>
        <v>-3.8299999999999841</v>
      </c>
      <c r="X24" s="164">
        <v>-3.2</v>
      </c>
      <c r="Y24" s="370"/>
      <c r="Z24" s="370"/>
      <c r="AA24" s="164">
        <v>-2</v>
      </c>
      <c r="AB24" s="164">
        <v>0</v>
      </c>
      <c r="AC24" s="229">
        <v>0.5</v>
      </c>
      <c r="AD24" s="312">
        <f>AVERAGE(P24:R24)</f>
        <v>6.0758452950558253</v>
      </c>
      <c r="AE24" s="164">
        <f>AVERAGE(S24:T24:U24)</f>
        <v>0.7660317460317474</v>
      </c>
      <c r="AF24" s="164">
        <f>AVERAGE(V24:X24)</f>
        <v>-2.6211666666666615</v>
      </c>
      <c r="AG24" s="313">
        <f>AVERAGE(AA24:AC24)</f>
        <v>-0.5</v>
      </c>
      <c r="AH24" s="242">
        <f>AVERAGE(P24:AC24)</f>
        <v>0.93017759360522767</v>
      </c>
      <c r="AI24" s="271">
        <v>-1</v>
      </c>
    </row>
    <row r="25" spans="1:358" ht="21.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23"/>
      <c r="X25" s="23"/>
      <c r="Y25" s="371"/>
      <c r="Z25" s="371"/>
      <c r="AA25" s="23"/>
      <c r="AB25" s="23"/>
      <c r="AC25" s="24"/>
      <c r="AD25" s="314"/>
      <c r="AE25" s="23"/>
      <c r="AF25" s="23"/>
      <c r="AG25" s="303"/>
      <c r="AH25" s="238"/>
      <c r="AI25" s="272"/>
    </row>
    <row r="26" spans="1:358" ht="21.5" hidden="1" outlineLevel="1" thickBot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/>
      <c r="V26" s="39"/>
      <c r="W26" s="38"/>
      <c r="X26" s="38"/>
      <c r="Y26" s="372"/>
      <c r="Z26" s="372"/>
      <c r="AA26" s="38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83"/>
      <c r="B27" s="684"/>
      <c r="C27" s="684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44"/>
      <c r="X27" s="44"/>
      <c r="Y27" s="376"/>
      <c r="Z27" s="377"/>
      <c r="AA27" s="44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15.207894736842107</v>
      </c>
      <c r="R28" s="388">
        <v>17.63000000000001</v>
      </c>
      <c r="S28" s="388">
        <v>15.56</v>
      </c>
      <c r="T28" s="388">
        <v>14.896666666666668</v>
      </c>
      <c r="U28" s="388">
        <v>12.885454545454536</v>
      </c>
      <c r="V28" s="388">
        <v>9.4744999999999919</v>
      </c>
      <c r="W28" s="388">
        <v>10.126315789473693</v>
      </c>
      <c r="X28" s="189">
        <v>11</v>
      </c>
      <c r="Y28" s="185"/>
      <c r="Z28" s="186"/>
      <c r="AA28" s="189">
        <v>10.5</v>
      </c>
      <c r="AB28" s="189">
        <v>11</v>
      </c>
      <c r="AC28" s="297">
        <v>11.5</v>
      </c>
      <c r="AD28" s="308">
        <f>AVERAGE(P28:R28)</f>
        <v>18.815964912280705</v>
      </c>
      <c r="AE28" s="246">
        <f>AVERAGE(S28:T28:U28)</f>
        <v>14.447373737373736</v>
      </c>
      <c r="AF28" s="246">
        <f>AVERAGE(V28:X28)</f>
        <v>10.200271929824561</v>
      </c>
      <c r="AG28" s="309">
        <f>AVERAGE(AA28:AC28)</f>
        <v>11</v>
      </c>
      <c r="AH28" s="241">
        <f>AVERAGE(P28:AC28)</f>
        <v>13.615902644869749</v>
      </c>
      <c r="AI28" s="272"/>
    </row>
    <row r="29" spans="1:358" ht="54.75" hidden="1" customHeight="1" outlineLevel="1">
      <c r="A29" s="47" t="s">
        <v>24</v>
      </c>
      <c r="B29" s="78">
        <f t="shared" ref="B29" si="14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15.207894736842107</v>
      </c>
      <c r="R29" s="389">
        <v>17.63000000000001</v>
      </c>
      <c r="S29" s="388">
        <v>15.56</v>
      </c>
      <c r="T29" s="389">
        <v>14.896666666666668</v>
      </c>
      <c r="U29" s="389">
        <v>12.885454545454536</v>
      </c>
      <c r="V29" s="389">
        <v>9.4744999999999919</v>
      </c>
      <c r="W29" s="389">
        <v>10.126315789473693</v>
      </c>
      <c r="X29" s="183">
        <v>10</v>
      </c>
      <c r="Y29" s="185"/>
      <c r="Z29" s="186"/>
      <c r="AA29" s="183">
        <v>11</v>
      </c>
      <c r="AB29" s="183">
        <v>11.5</v>
      </c>
      <c r="AC29" s="298">
        <v>11.5</v>
      </c>
      <c r="AD29" s="308">
        <f>AVERAGE(P29:R29)</f>
        <v>18.815964912280705</v>
      </c>
      <c r="AE29" s="246">
        <f>AVERAGE(S29:T29:U29)</f>
        <v>14.447373737373736</v>
      </c>
      <c r="AF29" s="246">
        <f>AVERAGE(V29:X29)</f>
        <v>9.8669385964912291</v>
      </c>
      <c r="AG29" s="309">
        <f t="shared" ref="AG29:AG31" si="15">AVERAGE(AA29:AC29)</f>
        <v>11.333333333333334</v>
      </c>
      <c r="AH29" s="241">
        <f>AVERAGE(P29:AC29)</f>
        <v>13.615902644869749</v>
      </c>
      <c r="AI29" s="272"/>
    </row>
    <row r="30" spans="1:358" ht="54.75" hidden="1" customHeight="1" outlineLevel="1">
      <c r="A30" s="47" t="s">
        <v>25</v>
      </c>
      <c r="B30" s="48">
        <f t="shared" ref="B30" si="16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15.207894736842107</v>
      </c>
      <c r="R30" s="388">
        <v>17.63000000000001</v>
      </c>
      <c r="S30" s="388">
        <v>15.56</v>
      </c>
      <c r="T30" s="388">
        <v>14.896666666666668</v>
      </c>
      <c r="U30" s="388">
        <v>12.885454545454536</v>
      </c>
      <c r="V30" s="388">
        <v>9.4744999999999919</v>
      </c>
      <c r="W30" s="388">
        <v>10.126315789473693</v>
      </c>
      <c r="X30" s="189">
        <v>10</v>
      </c>
      <c r="Y30" s="185" t="s">
        <v>209</v>
      </c>
      <c r="Z30" s="186" t="s">
        <v>209</v>
      </c>
      <c r="AA30" s="189">
        <v>10.5</v>
      </c>
      <c r="AB30" s="189">
        <v>10.5</v>
      </c>
      <c r="AC30" s="297">
        <v>10</v>
      </c>
      <c r="AD30" s="308">
        <f>AVERAGE(P30:R30)</f>
        <v>18.815964912280705</v>
      </c>
      <c r="AE30" s="246">
        <f>AVERAGE(S30:T30:U30)</f>
        <v>14.447373737373736</v>
      </c>
      <c r="AF30" s="246">
        <f>AVERAGE(V30:X30)</f>
        <v>9.8669385964912291</v>
      </c>
      <c r="AG30" s="309">
        <f t="shared" si="15"/>
        <v>10.333333333333334</v>
      </c>
      <c r="AH30" s="241">
        <f>AVERAGE(P30:AC30)</f>
        <v>13.365902644869749</v>
      </c>
      <c r="AI30" s="272"/>
    </row>
    <row r="31" spans="1:358" ht="50.25" hidden="1" customHeight="1" outlineLevel="1" thickBot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15.207894736842107</v>
      </c>
      <c r="R31" s="388">
        <v>17.63000000000001</v>
      </c>
      <c r="S31" s="388">
        <v>15.56</v>
      </c>
      <c r="T31" s="388">
        <v>14.896666666666668</v>
      </c>
      <c r="U31" s="388">
        <v>12.885454545454536</v>
      </c>
      <c r="V31" s="388">
        <v>9.4744999999999919</v>
      </c>
      <c r="W31" s="388">
        <v>10.126315789473693</v>
      </c>
      <c r="X31" s="189">
        <v>12</v>
      </c>
      <c r="Y31" s="185" t="s">
        <v>211</v>
      </c>
      <c r="Z31" s="186"/>
      <c r="AA31" s="189">
        <v>12.2</v>
      </c>
      <c r="AB31" s="189">
        <v>11.3</v>
      </c>
      <c r="AC31" s="297">
        <v>10</v>
      </c>
      <c r="AD31" s="308">
        <f>AVERAGE(P31:R31)</f>
        <v>18.815964912280705</v>
      </c>
      <c r="AE31" s="246">
        <f>AVERAGE(S31:T31:U31)</f>
        <v>14.447373737373736</v>
      </c>
      <c r="AF31" s="246">
        <f>AVERAGE(V31:X31)</f>
        <v>10.533605263157895</v>
      </c>
      <c r="AG31" s="309">
        <f t="shared" si="15"/>
        <v>11.166666666666666</v>
      </c>
      <c r="AH31" s="241">
        <f>AVERAGE(P31:AC31)</f>
        <v>13.740902644869749</v>
      </c>
      <c r="AI31" s="272"/>
    </row>
    <row r="32" spans="1:358" s="62" customFormat="1" ht="19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17">AVERAGE(J28:J31)</f>
        <v>#DIV/0!</v>
      </c>
      <c r="K32" s="59">
        <f t="shared" si="17"/>
        <v>16.482500000000002</v>
      </c>
      <c r="L32" s="59">
        <f t="shared" si="17"/>
        <v>17.25</v>
      </c>
      <c r="M32" s="59">
        <f t="shared" si="17"/>
        <v>16.372499999999999</v>
      </c>
      <c r="N32" s="59">
        <f t="shared" si="17"/>
        <v>15.8125</v>
      </c>
      <c r="O32" s="59">
        <f t="shared" si="17"/>
        <v>18.166666666666668</v>
      </c>
      <c r="P32" s="414">
        <f t="shared" si="17"/>
        <v>23.61</v>
      </c>
      <c r="Q32" s="414">
        <f t="shared" si="17"/>
        <v>15.207894736842107</v>
      </c>
      <c r="R32" s="414">
        <f t="shared" si="17"/>
        <v>17.63000000000001</v>
      </c>
      <c r="S32" s="414">
        <f t="shared" si="17"/>
        <v>15.56</v>
      </c>
      <c r="T32" s="414">
        <f>AVERAGE(T28:T31)</f>
        <v>14.896666666666668</v>
      </c>
      <c r="U32" s="414">
        <f t="shared" si="17"/>
        <v>12.885454545454536</v>
      </c>
      <c r="V32" s="414">
        <f t="shared" si="17"/>
        <v>9.4744999999999919</v>
      </c>
      <c r="W32" s="414">
        <f>AVERAGE(W28:W31)</f>
        <v>10.126315789473693</v>
      </c>
      <c r="X32" s="59">
        <f t="shared" si="17"/>
        <v>10.75</v>
      </c>
      <c r="Y32" s="369"/>
      <c r="Z32" s="369"/>
      <c r="AA32" s="59">
        <f t="shared" si="17"/>
        <v>11.05</v>
      </c>
      <c r="AB32" s="59">
        <f t="shared" si="17"/>
        <v>11.074999999999999</v>
      </c>
      <c r="AC32" s="234">
        <f t="shared" si="17"/>
        <v>10.75</v>
      </c>
      <c r="AD32" s="310">
        <f>AVERAGE(AD28:AD31)</f>
        <v>18.815964912280705</v>
      </c>
      <c r="AE32" s="59">
        <f t="shared" ref="AE32:AG32" si="18">AVERAGE(AE28:AE31)</f>
        <v>14.447373737373736</v>
      </c>
      <c r="AF32" s="59">
        <f t="shared" si="18"/>
        <v>10.116938596491229</v>
      </c>
      <c r="AG32" s="311">
        <f t="shared" si="18"/>
        <v>10.958333333333334</v>
      </c>
      <c r="AH32" s="242">
        <f>AVERAGE(AH28:AH31)</f>
        <v>13.584652644869749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414">
        <f>P32</f>
        <v>23.61</v>
      </c>
      <c r="Q33" s="414">
        <f t="shared" ref="Q33" si="19">Q32</f>
        <v>15.207894736842107</v>
      </c>
      <c r="R33" s="414">
        <f>R32</f>
        <v>17.63000000000001</v>
      </c>
      <c r="S33" s="414">
        <f>S32</f>
        <v>15.56</v>
      </c>
      <c r="T33" s="414">
        <f>T32</f>
        <v>14.896666666666668</v>
      </c>
      <c r="U33" s="414">
        <v>13</v>
      </c>
      <c r="V33" s="414">
        <f>V32</f>
        <v>9.4744999999999919</v>
      </c>
      <c r="W33" s="414">
        <f>W32</f>
        <v>10.126315789473693</v>
      </c>
      <c r="X33" s="164">
        <v>11.3</v>
      </c>
      <c r="Y33" s="370"/>
      <c r="Z33" s="370"/>
      <c r="AA33" s="164">
        <v>11.75</v>
      </c>
      <c r="AB33" s="164">
        <v>11</v>
      </c>
      <c r="AC33" s="229">
        <v>10.5</v>
      </c>
      <c r="AD33" s="312">
        <f>AVERAGE(P33:R33)</f>
        <v>18.815964912280705</v>
      </c>
      <c r="AE33" s="164">
        <f>AVERAGE(S33:T33:U33)</f>
        <v>14.485555555555557</v>
      </c>
      <c r="AF33" s="164">
        <f>AVERAGE(V33:X33)</f>
        <v>10.300271929824563</v>
      </c>
      <c r="AG33" s="313">
        <f>AVERAGE(AA33:AC33)</f>
        <v>11.083333333333334</v>
      </c>
      <c r="AH33" s="242">
        <f>AVERAGE(P33:AC33)</f>
        <v>13.671281432748538</v>
      </c>
      <c r="AI33" s="271">
        <v>16</v>
      </c>
    </row>
    <row r="34" spans="1:358" ht="21.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23"/>
      <c r="X34" s="23"/>
      <c r="Y34" s="371"/>
      <c r="Z34" s="371"/>
      <c r="AA34" s="23"/>
      <c r="AB34" s="23"/>
      <c r="AC34" s="24"/>
      <c r="AD34" s="314"/>
      <c r="AE34" s="23"/>
      <c r="AF34" s="23"/>
      <c r="AG34" s="303"/>
      <c r="AH34" s="238"/>
      <c r="AI34" s="272"/>
    </row>
    <row r="35" spans="1:358" ht="21.5" hidden="1" outlineLevel="1" thickBot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/>
      <c r="V35" s="39"/>
      <c r="W35" s="38"/>
      <c r="X35" s="38"/>
      <c r="Y35" s="378"/>
      <c r="Z35" s="378"/>
      <c r="AA35" s="3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5"/>
      <c r="B36" s="676"/>
      <c r="C36" s="676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44"/>
      <c r="X36" s="44"/>
      <c r="Y36" s="373"/>
      <c r="Z36" s="374"/>
      <c r="AA36" s="4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11.711052631578951</v>
      </c>
      <c r="R37" s="390">
        <v>12.238181818181829</v>
      </c>
      <c r="S37" s="390">
        <v>10.5</v>
      </c>
      <c r="T37" s="390">
        <v>10.901428571428582</v>
      </c>
      <c r="U37" s="390">
        <v>12.038181818181819</v>
      </c>
      <c r="V37" s="390">
        <v>11.920499999999997</v>
      </c>
      <c r="W37" s="390">
        <v>9.7163157894736969</v>
      </c>
      <c r="X37" s="181">
        <v>10.5</v>
      </c>
      <c r="Y37" s="185"/>
      <c r="Z37" s="186"/>
      <c r="AA37" s="181">
        <v>11.25</v>
      </c>
      <c r="AB37" s="181">
        <v>11.75</v>
      </c>
      <c r="AC37" s="299">
        <v>12.5</v>
      </c>
      <c r="AD37" s="308">
        <f>AVERAGE(P37:R37)</f>
        <v>11.683078149920261</v>
      </c>
      <c r="AE37" s="246">
        <f>AVERAGE(S37:T37:U37)</f>
        <v>11.1465367965368</v>
      </c>
      <c r="AF37" s="246">
        <f>AVERAGE(V37:X37)</f>
        <v>10.712271929824565</v>
      </c>
      <c r="AG37" s="309">
        <f>AVERAGE(AA37:AC37)</f>
        <v>11.833333333333334</v>
      </c>
      <c r="AH37" s="241">
        <f>AVERAGE(P37:AC37)</f>
        <v>11.34380505240374</v>
      </c>
      <c r="AI37" s="272"/>
    </row>
    <row r="38" spans="1:358" ht="57.75" hidden="1" customHeight="1" outlineLevel="1">
      <c r="A38" s="47" t="s">
        <v>24</v>
      </c>
      <c r="B38" s="78">
        <f t="shared" ref="B38" si="20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11.711052631578951</v>
      </c>
      <c r="R38" s="391">
        <v>12.238181818181829</v>
      </c>
      <c r="S38" s="390">
        <v>10.5</v>
      </c>
      <c r="T38" s="391">
        <v>10.901428571428582</v>
      </c>
      <c r="U38" s="391">
        <v>12.038181818181819</v>
      </c>
      <c r="V38" s="391">
        <v>11.920499999999997</v>
      </c>
      <c r="W38" s="391">
        <v>9.7163157894736969</v>
      </c>
      <c r="X38" s="175">
        <v>10.7</v>
      </c>
      <c r="Y38" s="185"/>
      <c r="Z38" s="186"/>
      <c r="AA38" s="175">
        <v>12</v>
      </c>
      <c r="AB38" s="175">
        <v>12.7</v>
      </c>
      <c r="AC38" s="300">
        <v>13</v>
      </c>
      <c r="AD38" s="308">
        <f>AVERAGE(P38:R38)</f>
        <v>11.683078149920261</v>
      </c>
      <c r="AE38" s="246">
        <f>AVERAGE(S38:T38:U38)</f>
        <v>11.1465367965368</v>
      </c>
      <c r="AF38" s="246">
        <f>AVERAGE(V38:X38)</f>
        <v>10.77893859649123</v>
      </c>
      <c r="AG38" s="309">
        <f t="shared" ref="AG38:AG40" si="21">AVERAGE(AA38:AC38)</f>
        <v>12.566666666666668</v>
      </c>
      <c r="AH38" s="241">
        <f>AVERAGE(P38:AC38)</f>
        <v>11.543805052403741</v>
      </c>
      <c r="AI38" s="272"/>
    </row>
    <row r="39" spans="1:358" ht="57.75" hidden="1" customHeight="1" outlineLevel="1">
      <c r="A39" s="47" t="s">
        <v>25</v>
      </c>
      <c r="B39" s="78">
        <f t="shared" ref="B39" si="22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11.711052631578951</v>
      </c>
      <c r="R39" s="388">
        <v>12.238181818181829</v>
      </c>
      <c r="S39" s="390">
        <v>10.5</v>
      </c>
      <c r="T39" s="390">
        <v>10.901428571428582</v>
      </c>
      <c r="U39" s="390">
        <v>12.038181818181819</v>
      </c>
      <c r="V39" s="390">
        <v>11.920499999999997</v>
      </c>
      <c r="W39" s="390">
        <v>9.7163157894736969</v>
      </c>
      <c r="X39" s="181">
        <v>9.6999999999999993</v>
      </c>
      <c r="Y39" s="185" t="s">
        <v>36</v>
      </c>
      <c r="Z39" s="186" t="s">
        <v>222</v>
      </c>
      <c r="AA39" s="181">
        <v>10</v>
      </c>
      <c r="AB39" s="181">
        <v>10.9</v>
      </c>
      <c r="AC39" s="299">
        <v>11</v>
      </c>
      <c r="AD39" s="308">
        <f>AVERAGE(P39:R39)</f>
        <v>11.683078149920261</v>
      </c>
      <c r="AE39" s="246">
        <f>AVERAGE(S39:T39:U39)</f>
        <v>11.1465367965368</v>
      </c>
      <c r="AF39" s="246">
        <f>AVERAGE(V39:X39)</f>
        <v>10.445605263157898</v>
      </c>
      <c r="AG39" s="309">
        <f t="shared" si="21"/>
        <v>10.633333333333333</v>
      </c>
      <c r="AH39" s="241">
        <f>AVERAGE(P39:AC39)</f>
        <v>10.977138385737073</v>
      </c>
      <c r="AI39" s="272"/>
    </row>
    <row r="40" spans="1:358" ht="57.75" hidden="1" customHeight="1" outlineLevel="1" thickBot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11.711052631578951</v>
      </c>
      <c r="R40" s="390">
        <v>12.238181818181829</v>
      </c>
      <c r="S40" s="390">
        <v>10.5</v>
      </c>
      <c r="T40" s="390">
        <v>10.901428571428582</v>
      </c>
      <c r="U40" s="390">
        <v>12.038181818181819</v>
      </c>
      <c r="V40" s="390">
        <v>11.920499999999997</v>
      </c>
      <c r="W40" s="390">
        <v>9.7163157894736969</v>
      </c>
      <c r="X40" s="181">
        <v>11.2</v>
      </c>
      <c r="Y40" s="185" t="s">
        <v>212</v>
      </c>
      <c r="Z40" s="186" t="s">
        <v>213</v>
      </c>
      <c r="AA40" s="181">
        <v>11.9</v>
      </c>
      <c r="AB40" s="181">
        <v>12.9</v>
      </c>
      <c r="AC40" s="299">
        <v>13.8</v>
      </c>
      <c r="AD40" s="308">
        <f>AVERAGE(P40:R40)</f>
        <v>11.683078149920261</v>
      </c>
      <c r="AE40" s="246">
        <f>AVERAGE(S40:T40:U40)</f>
        <v>11.1465367965368</v>
      </c>
      <c r="AF40" s="246">
        <f>AVERAGE(V40:X40)</f>
        <v>10.945605263157896</v>
      </c>
      <c r="AG40" s="309">
        <f t="shared" si="21"/>
        <v>12.866666666666667</v>
      </c>
      <c r="AH40" s="241">
        <f>AVERAGE(P40:AC40)</f>
        <v>11.660471719070408</v>
      </c>
      <c r="AI40" s="272"/>
    </row>
    <row r="41" spans="1:358" s="62" customFormat="1" ht="19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3">AVERAGE(J37:J40)</f>
        <v>#DIV/0!</v>
      </c>
      <c r="K41" s="157">
        <f t="shared" si="23"/>
        <v>13.11</v>
      </c>
      <c r="L41" s="157">
        <f t="shared" si="23"/>
        <v>13.435000000000002</v>
      </c>
      <c r="M41" s="157">
        <f t="shared" si="23"/>
        <v>13.345000000000001</v>
      </c>
      <c r="N41" s="157">
        <f t="shared" si="23"/>
        <v>14.229999999999999</v>
      </c>
      <c r="O41" s="157">
        <f t="shared" si="23"/>
        <v>14.25</v>
      </c>
      <c r="P41" s="415">
        <f t="shared" si="23"/>
        <v>11.1</v>
      </c>
      <c r="Q41" s="415">
        <f t="shared" si="23"/>
        <v>11.711052631578951</v>
      </c>
      <c r="R41" s="415">
        <f t="shared" si="23"/>
        <v>12.238181818181829</v>
      </c>
      <c r="S41" s="414">
        <f t="shared" si="23"/>
        <v>10.5</v>
      </c>
      <c r="T41" s="414">
        <f>AVERAGE(T37:T40)</f>
        <v>10.901428571428582</v>
      </c>
      <c r="U41" s="414">
        <f t="shared" si="23"/>
        <v>12.038181818181819</v>
      </c>
      <c r="V41" s="414">
        <f t="shared" si="23"/>
        <v>11.920499999999997</v>
      </c>
      <c r="W41" s="414">
        <f t="shared" si="23"/>
        <v>9.7163157894736969</v>
      </c>
      <c r="X41" s="59">
        <f t="shared" si="23"/>
        <v>10.524999999999999</v>
      </c>
      <c r="Y41" s="379"/>
      <c r="Z41" s="379"/>
      <c r="AA41" s="59">
        <f t="shared" si="23"/>
        <v>11.2875</v>
      </c>
      <c r="AB41" s="59">
        <f t="shared" si="23"/>
        <v>12.0625</v>
      </c>
      <c r="AC41" s="234">
        <f t="shared" si="23"/>
        <v>12.574999999999999</v>
      </c>
      <c r="AD41" s="310">
        <f t="shared" si="23"/>
        <v>11.683078149920261</v>
      </c>
      <c r="AE41" s="59">
        <f t="shared" si="23"/>
        <v>11.1465367965368</v>
      </c>
      <c r="AF41" s="59">
        <f t="shared" si="23"/>
        <v>10.720605263157898</v>
      </c>
      <c r="AG41" s="311">
        <f t="shared" si="23"/>
        <v>11.975</v>
      </c>
      <c r="AH41" s="242">
        <f>AVERAGE(AH37:AH40)</f>
        <v>11.381305052403739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414">
        <f>P41</f>
        <v>11.1</v>
      </c>
      <c r="Q42" s="414">
        <f t="shared" ref="Q42:R42" si="24">Q41</f>
        <v>11.711052631578951</v>
      </c>
      <c r="R42" s="414">
        <f t="shared" si="24"/>
        <v>12.238181818181829</v>
      </c>
      <c r="S42" s="414">
        <f>S41</f>
        <v>10.5</v>
      </c>
      <c r="T42" s="414">
        <f>T41</f>
        <v>10.901428571428582</v>
      </c>
      <c r="U42" s="414">
        <v>11.9</v>
      </c>
      <c r="V42" s="414">
        <f>V41</f>
        <v>11.920499999999997</v>
      </c>
      <c r="W42" s="414">
        <f>W41</f>
        <v>9.7163157894736969</v>
      </c>
      <c r="X42" s="164">
        <v>10.5</v>
      </c>
      <c r="Y42" s="370"/>
      <c r="Z42" s="370"/>
      <c r="AA42" s="164">
        <v>11.3</v>
      </c>
      <c r="AB42" s="164">
        <v>12.2</v>
      </c>
      <c r="AC42" s="164">
        <v>12.75</v>
      </c>
      <c r="AD42" s="312">
        <f>AVERAGE(P42:R42)</f>
        <v>11.683078149920261</v>
      </c>
      <c r="AE42" s="164">
        <f>AVERAGE(S42:T42:U42)</f>
        <v>11.100476190476193</v>
      </c>
      <c r="AF42" s="164">
        <f>AVERAGE(V42:X42)</f>
        <v>10.712271929824565</v>
      </c>
      <c r="AG42" s="313">
        <f>AVERAGE(AA42:AC42)</f>
        <v>12.083333333333334</v>
      </c>
      <c r="AH42" s="242">
        <f>AVERAGE(P42:AC42)</f>
        <v>11.394789900888588</v>
      </c>
      <c r="AI42" s="271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X44" si="25">M41-M53</f>
        <v>0.27500000000000036</v>
      </c>
      <c r="N43" s="157">
        <f t="shared" si="25"/>
        <v>0.19999999999999929</v>
      </c>
      <c r="O43" s="157">
        <f t="shared" si="25"/>
        <v>9.9999999999999645E-2</v>
      </c>
      <c r="P43" s="415">
        <f t="shared" si="25"/>
        <v>1.7599999999999998</v>
      </c>
      <c r="Q43" s="415">
        <f t="shared" si="25"/>
        <v>2.5510526315789512</v>
      </c>
      <c r="R43" s="415">
        <f t="shared" si="25"/>
        <v>1.8622727272727317</v>
      </c>
      <c r="S43" s="415">
        <f t="shared" si="25"/>
        <v>1.4499999999999993</v>
      </c>
      <c r="T43" s="415">
        <f t="shared" si="25"/>
        <v>0.31809523809523199</v>
      </c>
      <c r="U43" s="415">
        <f t="shared" si="25"/>
        <v>0.15363636363637312</v>
      </c>
      <c r="V43" s="415">
        <f t="shared" si="25"/>
        <v>0.10500000000001819</v>
      </c>
      <c r="W43" s="415">
        <f t="shared" si="25"/>
        <v>7.3684210526394622E-3</v>
      </c>
      <c r="X43" s="157">
        <f t="shared" si="25"/>
        <v>0.18749999999999822</v>
      </c>
      <c r="Y43" s="159"/>
      <c r="Z43" s="159"/>
      <c r="AA43" s="157">
        <f t="shared" ref="AA43:AH43" si="26">AA41-AA53</f>
        <v>0.42499999999999893</v>
      </c>
      <c r="AB43" s="157">
        <f t="shared" si="26"/>
        <v>0.67500000000000071</v>
      </c>
      <c r="AC43" s="236">
        <f t="shared" si="26"/>
        <v>0.92499999999999893</v>
      </c>
      <c r="AD43" s="317">
        <f t="shared" si="26"/>
        <v>2.0577751196172294</v>
      </c>
      <c r="AE43" s="157">
        <f t="shared" si="26"/>
        <v>0.64057720057720147</v>
      </c>
      <c r="AF43" s="157">
        <f t="shared" si="26"/>
        <v>9.9956140350885292E-2</v>
      </c>
      <c r="AG43" s="318">
        <f t="shared" si="26"/>
        <v>0.67499999999999893</v>
      </c>
      <c r="AH43" s="242">
        <f t="shared" si="26"/>
        <v>0.86832711513632788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5"/>
        <v>0.19999999999999929</v>
      </c>
      <c r="O44" s="164">
        <f t="shared" si="25"/>
        <v>1.4499999999999993</v>
      </c>
      <c r="P44" s="414">
        <f t="shared" si="25"/>
        <v>1.7599999999999998</v>
      </c>
      <c r="Q44" s="414">
        <f t="shared" si="25"/>
        <v>2.5510526315789512</v>
      </c>
      <c r="R44" s="414">
        <f t="shared" si="25"/>
        <v>1.8622727272727317</v>
      </c>
      <c r="S44" s="414">
        <f t="shared" si="25"/>
        <v>1.4499999999999993</v>
      </c>
      <c r="T44" s="414">
        <f t="shared" si="25"/>
        <v>0.31809523809523199</v>
      </c>
      <c r="U44" s="414">
        <f t="shared" si="25"/>
        <v>0.20000000000000107</v>
      </c>
      <c r="V44" s="414">
        <f t="shared" si="25"/>
        <v>0.10500000000001819</v>
      </c>
      <c r="W44" s="414">
        <f t="shared" si="25"/>
        <v>7.3684210526394622E-3</v>
      </c>
      <c r="X44" s="164">
        <f t="shared" si="25"/>
        <v>0</v>
      </c>
      <c r="Y44" s="370"/>
      <c r="Z44" s="370"/>
      <c r="AA44" s="164">
        <f>AA42-AA54</f>
        <v>0.30000000000000071</v>
      </c>
      <c r="AB44" s="164">
        <f>AB42-AB54</f>
        <v>0.69999999999999929</v>
      </c>
      <c r="AC44" s="229">
        <f>AC42-AC54</f>
        <v>1</v>
      </c>
      <c r="AD44" s="312">
        <f>AVERAGE(P44:R44)</f>
        <v>2.0577751196172276</v>
      </c>
      <c r="AE44" s="164">
        <f>AE42-AE54</f>
        <v>0.65603174603174352</v>
      </c>
      <c r="AF44" s="164">
        <f>AF42-AF54</f>
        <v>3.7456140350887068E-2</v>
      </c>
      <c r="AG44" s="313">
        <f>AG42-AG54</f>
        <v>0.66666666666666785</v>
      </c>
      <c r="AH44" s="243">
        <f>AH42-AH54</f>
        <v>0.85448241816663106</v>
      </c>
      <c r="AI44" s="274">
        <f>AI42-AI53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s="62" customFormat="1" ht="19" thickBot="1">
      <c r="A45" s="416"/>
      <c r="B45" s="157"/>
      <c r="C45" s="157"/>
      <c r="D45" s="157"/>
      <c r="E45" s="157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236"/>
      <c r="T45" s="236"/>
      <c r="U45" s="236"/>
      <c r="V45" s="236"/>
      <c r="W45" s="157"/>
      <c r="X45" s="157"/>
      <c r="Y45" s="157">
        <f t="shared" ref="Y45:Z45" si="27">Y54-Y41</f>
        <v>0</v>
      </c>
      <c r="Z45" s="157">
        <f t="shared" si="27"/>
        <v>0</v>
      </c>
      <c r="AA45" s="157"/>
      <c r="AB45" s="157"/>
      <c r="AC45" s="157"/>
      <c r="AD45" s="317"/>
      <c r="AE45" s="157"/>
      <c r="AF45" s="157"/>
      <c r="AG45" s="318"/>
      <c r="AH45" s="417"/>
      <c r="AI45" s="274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  <c r="ED45" s="61"/>
      <c r="EE45" s="61"/>
      <c r="EF45" s="61"/>
      <c r="EG45" s="61"/>
      <c r="EH45" s="61"/>
      <c r="EI45" s="61"/>
      <c r="EJ45" s="61"/>
      <c r="EK45" s="61"/>
      <c r="EL45" s="61"/>
      <c r="EM45" s="61"/>
      <c r="EN45" s="61"/>
      <c r="EO45" s="61"/>
      <c r="EP45" s="61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1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1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1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1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1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1"/>
      <c r="HE45" s="61"/>
      <c r="HF45" s="61"/>
      <c r="HG45" s="61"/>
      <c r="HH45" s="61"/>
      <c r="HI45" s="61"/>
      <c r="HJ45" s="61"/>
      <c r="HK45" s="61"/>
      <c r="HL45" s="61"/>
      <c r="HM45" s="61"/>
      <c r="HN45" s="61"/>
      <c r="HO45" s="61"/>
      <c r="HP45" s="61"/>
      <c r="HQ45" s="61"/>
      <c r="HR45" s="61"/>
      <c r="HS45" s="61"/>
      <c r="HT45" s="61"/>
      <c r="HU45" s="61"/>
      <c r="HV45" s="61"/>
      <c r="HW45" s="61"/>
      <c r="HX45" s="61"/>
      <c r="HY45" s="61"/>
      <c r="HZ45" s="61"/>
      <c r="IA45" s="61"/>
      <c r="IB45" s="61"/>
      <c r="IC45" s="61"/>
      <c r="ID45" s="61"/>
      <c r="IE45" s="61"/>
      <c r="IF45" s="61"/>
      <c r="IG45" s="61"/>
      <c r="IH45" s="61"/>
      <c r="II45" s="61"/>
      <c r="IJ45" s="61"/>
      <c r="IK45" s="61"/>
      <c r="IL45" s="61"/>
      <c r="IM45" s="61"/>
      <c r="IN45" s="61"/>
      <c r="IO45" s="61"/>
      <c r="IP45" s="61"/>
      <c r="IQ45" s="61"/>
      <c r="IR45" s="61"/>
      <c r="IS45" s="61"/>
      <c r="IT45" s="61"/>
      <c r="IU45" s="61"/>
      <c r="IV45" s="61"/>
      <c r="IW45" s="61"/>
      <c r="IX45" s="61"/>
      <c r="IY45" s="61"/>
      <c r="IZ45" s="61"/>
      <c r="JA45" s="61"/>
      <c r="JB45" s="61"/>
      <c r="JC45" s="61"/>
      <c r="JD45" s="61"/>
      <c r="JE45" s="61"/>
      <c r="JF45" s="61"/>
      <c r="JG45" s="61"/>
      <c r="JH45" s="61"/>
      <c r="JI45" s="61"/>
      <c r="JJ45" s="61"/>
      <c r="JK45" s="61"/>
      <c r="JL45" s="61"/>
      <c r="JM45" s="61"/>
      <c r="JN45" s="61"/>
      <c r="JO45" s="61"/>
      <c r="JP45" s="61"/>
      <c r="JQ45" s="61"/>
      <c r="JR45" s="61"/>
      <c r="JS45" s="61"/>
      <c r="JT45" s="61"/>
      <c r="JU45" s="61"/>
      <c r="JV45" s="61"/>
      <c r="JW45" s="61"/>
      <c r="JX45" s="61"/>
      <c r="JY45" s="61"/>
      <c r="JZ45" s="61"/>
      <c r="KA45" s="61"/>
      <c r="KB45" s="61"/>
      <c r="KC45" s="61"/>
      <c r="KD45" s="61"/>
      <c r="KE45" s="61"/>
      <c r="KF45" s="61"/>
      <c r="KG45" s="61"/>
      <c r="KH45" s="61"/>
      <c r="KI45" s="61"/>
      <c r="KJ45" s="61"/>
      <c r="KK45" s="61"/>
      <c r="KL45" s="61"/>
      <c r="KM45" s="61"/>
      <c r="KN45" s="61"/>
      <c r="KO45" s="61"/>
      <c r="KP45" s="61"/>
      <c r="KQ45" s="61"/>
      <c r="KR45" s="61"/>
      <c r="KS45" s="61"/>
      <c r="KT45" s="61"/>
      <c r="KU45" s="61"/>
      <c r="KV45" s="61"/>
      <c r="KW45" s="61"/>
      <c r="KX45" s="61"/>
      <c r="KY45" s="61"/>
      <c r="KZ45" s="61"/>
      <c r="LA45" s="61"/>
      <c r="LB45" s="61"/>
      <c r="LC45" s="61"/>
      <c r="LD45" s="61"/>
      <c r="LE45" s="61"/>
      <c r="LF45" s="61"/>
      <c r="LG45" s="61"/>
      <c r="LH45" s="61"/>
      <c r="LI45" s="61"/>
      <c r="LJ45" s="61"/>
      <c r="LK45" s="61"/>
      <c r="LL45" s="61"/>
      <c r="LM45" s="61"/>
      <c r="LN45" s="61"/>
      <c r="LO45" s="61"/>
      <c r="LP45" s="61"/>
      <c r="LQ45" s="61"/>
      <c r="LR45" s="61"/>
      <c r="LS45" s="61"/>
      <c r="LT45" s="61"/>
      <c r="LU45" s="61"/>
      <c r="LV45" s="61"/>
      <c r="LW45" s="61"/>
      <c r="LX45" s="61"/>
      <c r="LY45" s="61"/>
      <c r="LZ45" s="61"/>
      <c r="MA45" s="61"/>
      <c r="MB45" s="61"/>
      <c r="MC45" s="61"/>
      <c r="MD45" s="61"/>
      <c r="ME45" s="61"/>
      <c r="MF45" s="61"/>
      <c r="MG45" s="61"/>
      <c r="MH45" s="61"/>
      <c r="MI45" s="61"/>
      <c r="MJ45" s="61"/>
      <c r="MK45" s="61"/>
      <c r="ML45" s="61"/>
      <c r="MM45" s="61"/>
      <c r="MN45" s="61"/>
      <c r="MO45" s="61"/>
      <c r="MP45" s="61"/>
      <c r="MQ45" s="61"/>
      <c r="MR45" s="61"/>
      <c r="MS45" s="61"/>
      <c r="MT45" s="61"/>
    </row>
    <row r="46" spans="1:358" ht="21.5" thickBot="1">
      <c r="A46" s="196" t="s">
        <v>38</v>
      </c>
      <c r="B46" s="88"/>
      <c r="C46" s="88"/>
      <c r="D46" s="65"/>
      <c r="E46" s="65"/>
      <c r="F46" s="20"/>
      <c r="G46" s="20"/>
      <c r="H46" s="20"/>
      <c r="I46" s="20"/>
      <c r="J46" s="66"/>
      <c r="K46" s="20"/>
      <c r="L46" s="20"/>
      <c r="M46" s="20"/>
      <c r="N46" s="20"/>
      <c r="O46" s="20"/>
      <c r="P46" s="20"/>
      <c r="Q46" s="20"/>
      <c r="R46" s="23"/>
      <c r="S46" s="24"/>
      <c r="T46" s="24"/>
      <c r="U46" s="24"/>
      <c r="V46" s="24"/>
      <c r="W46" s="408"/>
      <c r="X46" s="408"/>
      <c r="Y46" s="409"/>
      <c r="Z46" s="409"/>
      <c r="AA46" s="408"/>
      <c r="AB46" s="408"/>
      <c r="AC46" s="410"/>
      <c r="AD46" s="314"/>
      <c r="AE46" s="23"/>
      <c r="AF46" s="23"/>
      <c r="AG46" s="303"/>
      <c r="AH46" s="238"/>
      <c r="AI46" s="275">
        <f>AH42-AH54</f>
        <v>0.85448241816663106</v>
      </c>
    </row>
    <row r="47" spans="1:358" ht="17.25" hidden="1" customHeight="1" outlineLevel="1">
      <c r="A47" s="89" t="s">
        <v>39</v>
      </c>
      <c r="B47" s="105">
        <v>14.19</v>
      </c>
      <c r="C47" s="106" t="str">
        <f>C35</f>
        <v>Previous WK</v>
      </c>
      <c r="D47" s="98"/>
      <c r="E47" s="99">
        <v>13.82</v>
      </c>
      <c r="F47" s="35"/>
      <c r="G47" s="35"/>
      <c r="H47" s="35"/>
      <c r="I47" s="35"/>
      <c r="J47" s="72"/>
      <c r="K47" s="35"/>
      <c r="L47" s="37"/>
      <c r="M47" s="37"/>
      <c r="N47" s="35"/>
      <c r="O47" s="35"/>
      <c r="P47" s="35"/>
      <c r="Q47" s="35"/>
      <c r="R47" s="38"/>
      <c r="S47" s="39"/>
      <c r="T47" s="39"/>
      <c r="U47" s="395"/>
      <c r="V47" s="39"/>
      <c r="W47" s="38"/>
      <c r="X47" s="38"/>
      <c r="Y47" s="381"/>
      <c r="Z47" s="381"/>
      <c r="AA47" s="38"/>
      <c r="AB47" s="38"/>
      <c r="AC47" s="39"/>
      <c r="AD47" s="304"/>
      <c r="AE47" s="248"/>
      <c r="AF47" s="248"/>
      <c r="AG47" s="305"/>
      <c r="AH47" s="239"/>
      <c r="AI47" s="267"/>
    </row>
    <row r="48" spans="1:358" s="77" customFormat="1" ht="16.5" hidden="1" customHeight="1" outlineLevel="1">
      <c r="A48" s="675"/>
      <c r="B48" s="676"/>
      <c r="C48" s="676"/>
      <c r="D48" s="41"/>
      <c r="E48" s="41"/>
      <c r="F48" s="76"/>
      <c r="G48" s="76"/>
      <c r="H48" s="76"/>
      <c r="I48" s="76"/>
      <c r="J48" s="43"/>
      <c r="K48" s="76"/>
      <c r="L48" s="76"/>
      <c r="M48" s="76"/>
      <c r="N48" s="76"/>
      <c r="O48" s="76"/>
      <c r="P48" s="222"/>
      <c r="Q48" s="76"/>
      <c r="R48" s="44"/>
      <c r="S48" s="44"/>
      <c r="T48" s="44"/>
      <c r="U48" s="44"/>
      <c r="V48" s="44"/>
      <c r="W48" s="44"/>
      <c r="X48" s="44"/>
      <c r="Y48" s="382"/>
      <c r="Z48" s="383"/>
      <c r="AA48" s="44"/>
      <c r="AB48" s="44"/>
      <c r="AC48" s="235"/>
      <c r="AD48" s="315"/>
      <c r="AE48" s="44"/>
      <c r="AF48" s="44"/>
      <c r="AG48" s="316"/>
      <c r="AH48" s="240"/>
      <c r="AI48" s="268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  <c r="EK48" s="45"/>
      <c r="EL48" s="45"/>
      <c r="EM48" s="45"/>
      <c r="EN48" s="45"/>
      <c r="EO48" s="45"/>
      <c r="EP48" s="45"/>
      <c r="EQ48" s="45"/>
      <c r="ER48" s="45"/>
      <c r="ES48" s="45"/>
      <c r="ET48" s="45"/>
      <c r="EU48" s="45"/>
      <c r="EV48" s="45"/>
      <c r="EW48" s="45"/>
      <c r="EX48" s="45"/>
      <c r="EY48" s="45"/>
      <c r="EZ48" s="45"/>
      <c r="FA48" s="45"/>
      <c r="FB48" s="45"/>
      <c r="FC48" s="45"/>
      <c r="FD48" s="45"/>
      <c r="FE48" s="45"/>
      <c r="FF48" s="45"/>
      <c r="FG48" s="45"/>
      <c r="FH48" s="45"/>
      <c r="FI48" s="45"/>
      <c r="FJ48" s="45"/>
      <c r="FK48" s="45"/>
      <c r="FL48" s="45"/>
      <c r="FM48" s="45"/>
      <c r="FN48" s="45"/>
      <c r="FO48" s="45"/>
      <c r="FP48" s="45"/>
      <c r="FQ48" s="45"/>
      <c r="FR48" s="45"/>
      <c r="FS48" s="45"/>
      <c r="FT48" s="45"/>
      <c r="FU48" s="45"/>
      <c r="FV48" s="45"/>
      <c r="FW48" s="45"/>
      <c r="FX48" s="45"/>
      <c r="FY48" s="45"/>
      <c r="FZ48" s="45"/>
      <c r="GA48" s="45"/>
      <c r="GB48" s="45"/>
      <c r="GC48" s="45"/>
      <c r="GD48" s="45"/>
      <c r="GE48" s="45"/>
      <c r="GF48" s="45"/>
      <c r="GG48" s="45"/>
      <c r="GH48" s="45"/>
      <c r="GI48" s="45"/>
      <c r="GJ48" s="45"/>
      <c r="GK48" s="45"/>
      <c r="GL48" s="45"/>
      <c r="GM48" s="45"/>
      <c r="GN48" s="45"/>
      <c r="GO48" s="45"/>
      <c r="GP48" s="45"/>
      <c r="GQ48" s="45"/>
      <c r="GR48" s="45"/>
      <c r="GS48" s="45"/>
      <c r="GT48" s="45"/>
      <c r="GU48" s="45"/>
      <c r="GV48" s="45"/>
      <c r="GW48" s="45"/>
      <c r="GX48" s="45"/>
      <c r="GY48" s="45"/>
      <c r="GZ48" s="45"/>
      <c r="HA48" s="45"/>
      <c r="HB48" s="45"/>
      <c r="HC48" s="45"/>
      <c r="HD48" s="45"/>
      <c r="HE48" s="45"/>
      <c r="HF48" s="45"/>
      <c r="HG48" s="45"/>
      <c r="HH48" s="45"/>
      <c r="HI48" s="45"/>
      <c r="HJ48" s="45"/>
      <c r="HK48" s="45"/>
      <c r="HL48" s="45"/>
      <c r="HM48" s="45"/>
      <c r="HN48" s="45"/>
      <c r="HO48" s="45"/>
      <c r="HP48" s="45"/>
      <c r="HQ48" s="45"/>
      <c r="HR48" s="45"/>
      <c r="HS48" s="45"/>
      <c r="HT48" s="45"/>
      <c r="HU48" s="45"/>
      <c r="HV48" s="45"/>
      <c r="HW48" s="45"/>
      <c r="HX48" s="45"/>
      <c r="HY48" s="45"/>
      <c r="HZ48" s="45"/>
      <c r="IA48" s="45"/>
      <c r="IB48" s="45"/>
      <c r="IC48" s="45"/>
      <c r="ID48" s="45"/>
      <c r="IE48" s="45"/>
      <c r="IF48" s="45"/>
      <c r="IG48" s="45"/>
      <c r="IH48" s="45"/>
      <c r="II48" s="45"/>
      <c r="IJ48" s="45"/>
      <c r="IK48" s="45"/>
      <c r="IL48" s="45"/>
      <c r="IM48" s="45"/>
      <c r="IN48" s="45"/>
      <c r="IO48" s="45"/>
      <c r="IP48" s="45"/>
      <c r="IQ48" s="45"/>
      <c r="IR48" s="45"/>
      <c r="IS48" s="45"/>
      <c r="IT48" s="45"/>
      <c r="IU48" s="45"/>
      <c r="IV48" s="45"/>
      <c r="IW48" s="45"/>
      <c r="IX48" s="45"/>
      <c r="IY48" s="45"/>
      <c r="IZ48" s="45"/>
      <c r="JA48" s="45"/>
      <c r="JB48" s="45"/>
      <c r="JC48" s="45"/>
      <c r="JD48" s="45"/>
      <c r="JE48" s="45"/>
      <c r="JF48" s="45"/>
      <c r="JG48" s="45"/>
      <c r="JH48" s="45"/>
      <c r="JI48" s="45"/>
      <c r="JJ48" s="45"/>
      <c r="JK48" s="45"/>
      <c r="JL48" s="45"/>
      <c r="JM48" s="45"/>
      <c r="JN48" s="45"/>
      <c r="JO48" s="45"/>
      <c r="JP48" s="45"/>
      <c r="JQ48" s="45"/>
      <c r="JR48" s="45"/>
      <c r="JS48" s="45"/>
      <c r="JT48" s="45"/>
      <c r="JU48" s="45"/>
      <c r="JV48" s="45"/>
      <c r="JW48" s="45"/>
      <c r="JX48" s="45"/>
      <c r="JY48" s="45"/>
      <c r="JZ48" s="45"/>
      <c r="KA48" s="45"/>
      <c r="KB48" s="45"/>
      <c r="KC48" s="45"/>
      <c r="KD48" s="45"/>
      <c r="KE48" s="45"/>
      <c r="KF48" s="45"/>
      <c r="KG48" s="45"/>
      <c r="KH48" s="45"/>
      <c r="KI48" s="45"/>
      <c r="KJ48" s="45"/>
      <c r="KK48" s="45"/>
      <c r="KL48" s="45"/>
      <c r="KM48" s="45"/>
      <c r="KN48" s="45"/>
      <c r="KO48" s="45"/>
      <c r="KP48" s="45"/>
      <c r="KQ48" s="45"/>
      <c r="KR48" s="45"/>
      <c r="KS48" s="45"/>
      <c r="KT48" s="45"/>
      <c r="KU48" s="45"/>
      <c r="KV48" s="45"/>
      <c r="KW48" s="45"/>
      <c r="KX48" s="45"/>
      <c r="KY48" s="45"/>
      <c r="KZ48" s="45"/>
      <c r="LA48" s="45"/>
      <c r="LB48" s="45"/>
      <c r="LC48" s="45"/>
      <c r="LD48" s="45"/>
      <c r="LE48" s="45"/>
      <c r="LF48" s="45"/>
      <c r="LG48" s="45"/>
      <c r="LH48" s="45"/>
      <c r="LI48" s="45"/>
      <c r="LJ48" s="45"/>
      <c r="LK48" s="45"/>
      <c r="LL48" s="45"/>
      <c r="LM48" s="45"/>
      <c r="LN48" s="45"/>
      <c r="LO48" s="45"/>
      <c r="LP48" s="45"/>
      <c r="LQ48" s="45"/>
      <c r="LR48" s="45"/>
      <c r="LS48" s="45"/>
      <c r="LT48" s="45"/>
      <c r="LU48" s="45"/>
      <c r="LV48" s="45"/>
      <c r="LW48" s="45"/>
      <c r="LX48" s="45"/>
      <c r="LY48" s="45"/>
      <c r="LZ48" s="45"/>
      <c r="MA48" s="45"/>
      <c r="MB48" s="45"/>
      <c r="MC48" s="45"/>
      <c r="MD48" s="45"/>
      <c r="ME48" s="45"/>
      <c r="MF48" s="45"/>
      <c r="MG48" s="45"/>
      <c r="MH48" s="45"/>
      <c r="MI48" s="45"/>
      <c r="MJ48" s="45"/>
      <c r="MK48" s="45"/>
      <c r="ML48" s="45"/>
      <c r="MM48" s="45"/>
      <c r="MN48" s="45"/>
      <c r="MO48" s="45"/>
      <c r="MP48" s="45"/>
      <c r="MQ48" s="45"/>
      <c r="MR48" s="45"/>
      <c r="MS48" s="45"/>
      <c r="MT48" s="45"/>
    </row>
    <row r="49" spans="1:358" ht="50.25" hidden="1" customHeight="1" outlineLevel="1">
      <c r="A49" s="47" t="s">
        <v>23</v>
      </c>
      <c r="B49" s="78">
        <f>C49-$B$47</f>
        <v>6.0000000000000497E-2</v>
      </c>
      <c r="C49" s="55">
        <v>14.25</v>
      </c>
      <c r="D49" s="49"/>
      <c r="E49" s="49"/>
      <c r="F49" s="51"/>
      <c r="G49" s="57"/>
      <c r="H49" s="56"/>
      <c r="I49" s="56"/>
      <c r="J49" s="55"/>
      <c r="K49" s="189">
        <v>13.5</v>
      </c>
      <c r="L49" s="191">
        <v>14.2</v>
      </c>
      <c r="M49" s="154">
        <v>13.1</v>
      </c>
      <c r="N49" s="191">
        <v>14.2</v>
      </c>
      <c r="O49" s="191">
        <v>13.7</v>
      </c>
      <c r="P49" s="388">
        <v>9.34</v>
      </c>
      <c r="Q49" s="388">
        <v>9.16</v>
      </c>
      <c r="R49" s="388">
        <v>10.375909090909097</v>
      </c>
      <c r="S49" s="388">
        <v>9.0500000000000007</v>
      </c>
      <c r="T49" s="388">
        <v>10.58333333333335</v>
      </c>
      <c r="U49" s="388">
        <v>11.884545454545446</v>
      </c>
      <c r="V49" s="388">
        <v>11.815499999999979</v>
      </c>
      <c r="W49" s="388">
        <v>9.7089473684210574</v>
      </c>
      <c r="X49" s="189">
        <v>10.25</v>
      </c>
      <c r="Y49" s="185"/>
      <c r="Z49" s="186"/>
      <c r="AA49" s="189">
        <v>10.75</v>
      </c>
      <c r="AB49" s="189">
        <v>11.25</v>
      </c>
      <c r="AC49" s="297">
        <v>11.5</v>
      </c>
      <c r="AD49" s="308">
        <f>AVERAGE(P49:R49)</f>
        <v>9.6253030303030318</v>
      </c>
      <c r="AE49" s="246">
        <f>AVERAGE(S49:T49:U49)</f>
        <v>10.505959595959599</v>
      </c>
      <c r="AF49" s="246">
        <f>AVERAGE(V49:X49)</f>
        <v>10.591482456140346</v>
      </c>
      <c r="AG49" s="309">
        <f>AVERAGE(AA49:AC49)</f>
        <v>11.166666666666666</v>
      </c>
      <c r="AH49" s="241">
        <f>AVERAGE(P49:AC49)</f>
        <v>10.472352937267411</v>
      </c>
      <c r="AI49" s="267"/>
    </row>
    <row r="50" spans="1:358" ht="50.25" hidden="1" customHeight="1" outlineLevel="1">
      <c r="A50" s="47" t="s">
        <v>24</v>
      </c>
      <c r="B50" s="78" t="e">
        <f>C50-#REF!</f>
        <v>#REF!</v>
      </c>
      <c r="C50" s="55">
        <v>14.3</v>
      </c>
      <c r="D50" s="49"/>
      <c r="E50" s="49"/>
      <c r="F50" s="57"/>
      <c r="G50" s="57"/>
      <c r="H50" s="56"/>
      <c r="I50" s="56"/>
      <c r="J50" s="55"/>
      <c r="K50" s="189">
        <v>13.5</v>
      </c>
      <c r="L50" s="191">
        <v>13.6</v>
      </c>
      <c r="M50" s="154">
        <v>12.9</v>
      </c>
      <c r="N50" s="191">
        <v>14</v>
      </c>
      <c r="O50" s="184"/>
      <c r="P50" s="388">
        <v>9.34</v>
      </c>
      <c r="Q50" s="388">
        <v>9.16</v>
      </c>
      <c r="R50" s="389">
        <v>10.375909090909097</v>
      </c>
      <c r="S50" s="388">
        <v>9.0500000000000007</v>
      </c>
      <c r="T50" s="389">
        <v>10.58333333333335</v>
      </c>
      <c r="U50" s="389">
        <v>11.884545454545446</v>
      </c>
      <c r="V50" s="389">
        <v>11.815499999999979</v>
      </c>
      <c r="W50" s="389">
        <v>9.7089473684210574</v>
      </c>
      <c r="X50" s="183">
        <v>10.6</v>
      </c>
      <c r="Y50" s="185"/>
      <c r="Z50" s="186"/>
      <c r="AA50" s="183">
        <v>11.5</v>
      </c>
      <c r="AB50" s="183">
        <v>11.799999999999999</v>
      </c>
      <c r="AC50" s="298">
        <v>12.1</v>
      </c>
      <c r="AD50" s="308">
        <f>AVERAGE(P50:R50)</f>
        <v>9.6253030303030318</v>
      </c>
      <c r="AE50" s="246">
        <f>AVERAGE(S50:T50:U50)</f>
        <v>10.505959595959599</v>
      </c>
      <c r="AF50" s="246">
        <f>AVERAGE(V50:X50)</f>
        <v>10.708149122807013</v>
      </c>
      <c r="AG50" s="309">
        <f t="shared" ref="AG50:AG52" si="28">AVERAGE(AA50:AC50)</f>
        <v>11.799999999999999</v>
      </c>
      <c r="AH50" s="241">
        <f>AVERAGE(P50:AC50)</f>
        <v>10.659852937267411</v>
      </c>
      <c r="AI50" s="267"/>
    </row>
    <row r="51" spans="1:358" ht="50.25" hidden="1" customHeight="1" outlineLevel="1">
      <c r="A51" s="47" t="s">
        <v>25</v>
      </c>
      <c r="B51" s="78">
        <f t="shared" ref="B51" si="29">C51-$B$47</f>
        <v>-8.9999999999999858E-2</v>
      </c>
      <c r="C51" s="55">
        <v>14.1</v>
      </c>
      <c r="D51" s="49"/>
      <c r="E51" s="49"/>
      <c r="F51" s="57"/>
      <c r="G51" s="57"/>
      <c r="H51" s="56"/>
      <c r="I51" s="56"/>
      <c r="J51" s="55"/>
      <c r="K51" s="189">
        <v>13</v>
      </c>
      <c r="L51" s="191">
        <v>13</v>
      </c>
      <c r="M51" s="189">
        <v>13</v>
      </c>
      <c r="N51" s="189">
        <v>14.3</v>
      </c>
      <c r="O51" s="189">
        <v>14.75</v>
      </c>
      <c r="P51" s="388">
        <v>9.34</v>
      </c>
      <c r="Q51" s="388">
        <v>9.16</v>
      </c>
      <c r="R51" s="388">
        <v>10.375909090909097</v>
      </c>
      <c r="S51" s="388">
        <v>9.0500000000000007</v>
      </c>
      <c r="T51" s="388">
        <v>10.58333333333335</v>
      </c>
      <c r="U51" s="388">
        <v>11.884545454545446</v>
      </c>
      <c r="V51" s="388">
        <v>11.815499999999979</v>
      </c>
      <c r="W51" s="388">
        <v>9.7089473684210574</v>
      </c>
      <c r="X51" s="189">
        <v>9.5</v>
      </c>
      <c r="Y51" s="185" t="s">
        <v>36</v>
      </c>
      <c r="Z51" s="186" t="s">
        <v>222</v>
      </c>
      <c r="AA51" s="189">
        <v>9.6999999999999993</v>
      </c>
      <c r="AB51" s="189">
        <v>10.4</v>
      </c>
      <c r="AC51" s="297">
        <v>10</v>
      </c>
      <c r="AD51" s="308">
        <f>AVERAGE(P51:R51)</f>
        <v>9.6253030303030318</v>
      </c>
      <c r="AE51" s="246">
        <f>AVERAGE(S51:T51:U51)</f>
        <v>10.505959595959599</v>
      </c>
      <c r="AF51" s="246">
        <f>AVERAGE(V51:X51)</f>
        <v>10.341482456140346</v>
      </c>
      <c r="AG51" s="309">
        <f t="shared" si="28"/>
        <v>10.033333333333333</v>
      </c>
      <c r="AH51" s="241">
        <f>AVERAGE(P51:AC51)</f>
        <v>10.12651960393408</v>
      </c>
      <c r="AI51" s="267"/>
    </row>
    <row r="52" spans="1:358" ht="50.25" hidden="1" customHeight="1" outlineLevel="1" thickBot="1">
      <c r="A52" s="47" t="s">
        <v>26</v>
      </c>
      <c r="B52" s="78" t="e">
        <f>C52-#REF!</f>
        <v>#REF!</v>
      </c>
      <c r="C52" s="55">
        <v>14.5</v>
      </c>
      <c r="D52" s="49"/>
      <c r="E52" s="49"/>
      <c r="F52" s="51"/>
      <c r="G52" s="51"/>
      <c r="H52" s="52"/>
      <c r="I52" s="52"/>
      <c r="J52" s="55"/>
      <c r="K52" s="181">
        <v>13.4</v>
      </c>
      <c r="L52" s="101">
        <v>13.4</v>
      </c>
      <c r="M52" s="101">
        <v>13.28</v>
      </c>
      <c r="N52" s="176">
        <v>13.62</v>
      </c>
      <c r="O52" s="176">
        <v>14</v>
      </c>
      <c r="P52" s="388">
        <v>9.34</v>
      </c>
      <c r="Q52" s="388">
        <v>9.16</v>
      </c>
      <c r="R52" s="389">
        <v>10.375909090909097</v>
      </c>
      <c r="S52" s="388">
        <v>9.0500000000000007</v>
      </c>
      <c r="T52" s="389">
        <v>10.58333333333335</v>
      </c>
      <c r="U52" s="388">
        <v>11.884545454545446</v>
      </c>
      <c r="V52" s="388">
        <v>11.815499999999979</v>
      </c>
      <c r="W52" s="389">
        <v>9.7089473684210574</v>
      </c>
      <c r="X52" s="183">
        <v>11</v>
      </c>
      <c r="Y52" s="224" t="s">
        <v>212</v>
      </c>
      <c r="Z52" s="186" t="s">
        <v>213</v>
      </c>
      <c r="AA52" s="183">
        <v>11.5</v>
      </c>
      <c r="AB52" s="183">
        <v>12.1</v>
      </c>
      <c r="AC52" s="298">
        <v>13</v>
      </c>
      <c r="AD52" s="308">
        <f>AVERAGE(P52:R52)</f>
        <v>9.6253030303030318</v>
      </c>
      <c r="AE52" s="246">
        <f>AVERAGE(S52:T52:U52)</f>
        <v>10.505959595959599</v>
      </c>
      <c r="AF52" s="246">
        <f>AVERAGE(V52:X52)</f>
        <v>10.841482456140346</v>
      </c>
      <c r="AG52" s="309">
        <f t="shared" si="28"/>
        <v>12.200000000000001</v>
      </c>
      <c r="AH52" s="241">
        <f>AVERAGE(P52:AC52)</f>
        <v>10.793186270600744</v>
      </c>
      <c r="AI52" s="267"/>
    </row>
    <row r="53" spans="1:358" s="62" customFormat="1" ht="19" hidden="1" outlineLevel="1" thickBot="1">
      <c r="A53" s="245" t="s">
        <v>75</v>
      </c>
      <c r="B53" s="155" t="s">
        <v>27</v>
      </c>
      <c r="C53" s="155" t="s">
        <v>27</v>
      </c>
      <c r="D53" s="155"/>
      <c r="E53" s="156"/>
      <c r="F53" s="157" t="e">
        <f>AVERAGE(F49:F52)</f>
        <v>#DIV/0!</v>
      </c>
      <c r="G53" s="157"/>
      <c r="H53" s="157"/>
      <c r="I53" s="157"/>
      <c r="J53" s="157" t="e">
        <f t="shared" ref="J53:K53" si="30">AVERAGE(J49:J52)</f>
        <v>#DIV/0!</v>
      </c>
      <c r="K53" s="157">
        <f t="shared" si="30"/>
        <v>13.35</v>
      </c>
      <c r="L53" s="157">
        <v>13.75</v>
      </c>
      <c r="M53" s="157">
        <f>AVERAGE(M49:M52)</f>
        <v>13.07</v>
      </c>
      <c r="N53" s="157">
        <f>AVERAGE(N49:N52)</f>
        <v>14.03</v>
      </c>
      <c r="O53" s="157">
        <f>AVERAGE(O49:O52)</f>
        <v>14.15</v>
      </c>
      <c r="P53" s="415">
        <f>AVERAGE(P49:P52)</f>
        <v>9.34</v>
      </c>
      <c r="Q53" s="415">
        <f>AVERAGE(Q49:Q52)</f>
        <v>9.16</v>
      </c>
      <c r="R53" s="415">
        <f t="shared" ref="R53:AG53" si="31">AVERAGE(R49:R52)</f>
        <v>10.375909090909097</v>
      </c>
      <c r="S53" s="414">
        <f t="shared" si="31"/>
        <v>9.0500000000000007</v>
      </c>
      <c r="T53" s="414">
        <f>AVERAGE(T49:T52)</f>
        <v>10.58333333333335</v>
      </c>
      <c r="U53" s="414">
        <f t="shared" si="31"/>
        <v>11.884545454545446</v>
      </c>
      <c r="V53" s="414">
        <f t="shared" si="31"/>
        <v>11.815499999999979</v>
      </c>
      <c r="W53" s="414">
        <f t="shared" si="31"/>
        <v>9.7089473684210574</v>
      </c>
      <c r="X53" s="59">
        <f t="shared" si="31"/>
        <v>10.3375</v>
      </c>
      <c r="Y53" s="379"/>
      <c r="Z53" s="379"/>
      <c r="AA53" s="59">
        <f t="shared" si="31"/>
        <v>10.862500000000001</v>
      </c>
      <c r="AB53" s="59">
        <f t="shared" si="31"/>
        <v>11.387499999999999</v>
      </c>
      <c r="AC53" s="234">
        <f t="shared" si="31"/>
        <v>11.65</v>
      </c>
      <c r="AD53" s="310">
        <f t="shared" si="31"/>
        <v>9.6253030303030318</v>
      </c>
      <c r="AE53" s="59">
        <f t="shared" si="31"/>
        <v>10.505959595959599</v>
      </c>
      <c r="AF53" s="59">
        <f t="shared" si="31"/>
        <v>10.620649122807013</v>
      </c>
      <c r="AG53" s="311">
        <f t="shared" si="31"/>
        <v>11.3</v>
      </c>
      <c r="AH53" s="242">
        <f>AVERAGE(AH49:AH52)</f>
        <v>10.512977937267411</v>
      </c>
      <c r="AI53" s="270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  <c r="ED53" s="61"/>
      <c r="EE53" s="61"/>
      <c r="EF53" s="61"/>
      <c r="EG53" s="61"/>
      <c r="EH53" s="61"/>
      <c r="EI53" s="61"/>
      <c r="EJ53" s="61"/>
      <c r="EK53" s="61"/>
      <c r="EL53" s="61"/>
      <c r="EM53" s="61"/>
      <c r="EN53" s="61"/>
      <c r="EO53" s="61"/>
      <c r="EP53" s="61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1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1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1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1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1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1"/>
      <c r="HE53" s="61"/>
      <c r="HF53" s="61"/>
      <c r="HG53" s="61"/>
      <c r="HH53" s="61"/>
      <c r="HI53" s="61"/>
      <c r="HJ53" s="61"/>
      <c r="HK53" s="61"/>
      <c r="HL53" s="61"/>
      <c r="HM53" s="61"/>
      <c r="HN53" s="61"/>
      <c r="HO53" s="61"/>
      <c r="HP53" s="61"/>
      <c r="HQ53" s="61"/>
      <c r="HR53" s="61"/>
      <c r="HS53" s="61"/>
      <c r="HT53" s="61"/>
      <c r="HU53" s="61"/>
      <c r="HV53" s="61"/>
      <c r="HW53" s="61"/>
      <c r="HX53" s="61"/>
      <c r="HY53" s="61"/>
      <c r="HZ53" s="61"/>
      <c r="IA53" s="61"/>
      <c r="IB53" s="61"/>
      <c r="IC53" s="61"/>
      <c r="ID53" s="61"/>
      <c r="IE53" s="61"/>
      <c r="IF53" s="61"/>
      <c r="IG53" s="61"/>
      <c r="IH53" s="61"/>
      <c r="II53" s="61"/>
      <c r="IJ53" s="61"/>
      <c r="IK53" s="61"/>
      <c r="IL53" s="61"/>
      <c r="IM53" s="61"/>
      <c r="IN53" s="61"/>
      <c r="IO53" s="61"/>
      <c r="IP53" s="61"/>
      <c r="IQ53" s="61"/>
      <c r="IR53" s="61"/>
      <c r="IS53" s="61"/>
      <c r="IT53" s="61"/>
      <c r="IU53" s="61"/>
      <c r="IV53" s="61"/>
      <c r="IW53" s="61"/>
      <c r="IX53" s="61"/>
      <c r="IY53" s="61"/>
      <c r="IZ53" s="61"/>
      <c r="JA53" s="61"/>
      <c r="JB53" s="61"/>
      <c r="JC53" s="61"/>
      <c r="JD53" s="61"/>
      <c r="JE53" s="61"/>
      <c r="JF53" s="61"/>
      <c r="JG53" s="61"/>
      <c r="JH53" s="61"/>
      <c r="JI53" s="61"/>
      <c r="JJ53" s="61"/>
      <c r="JK53" s="61"/>
      <c r="JL53" s="61"/>
      <c r="JM53" s="61"/>
      <c r="JN53" s="61"/>
      <c r="JO53" s="61"/>
      <c r="JP53" s="61"/>
      <c r="JQ53" s="61"/>
      <c r="JR53" s="61"/>
      <c r="JS53" s="61"/>
      <c r="JT53" s="61"/>
      <c r="JU53" s="61"/>
      <c r="JV53" s="61"/>
      <c r="JW53" s="61"/>
      <c r="JX53" s="61"/>
      <c r="JY53" s="61"/>
      <c r="JZ53" s="61"/>
      <c r="KA53" s="61"/>
      <c r="KB53" s="61"/>
      <c r="KC53" s="61"/>
      <c r="KD53" s="61"/>
      <c r="KE53" s="61"/>
      <c r="KF53" s="61"/>
      <c r="KG53" s="61"/>
      <c r="KH53" s="61"/>
      <c r="KI53" s="61"/>
      <c r="KJ53" s="61"/>
      <c r="KK53" s="61"/>
      <c r="KL53" s="61"/>
      <c r="KM53" s="61"/>
      <c r="KN53" s="61"/>
      <c r="KO53" s="61"/>
      <c r="KP53" s="61"/>
      <c r="KQ53" s="61"/>
      <c r="KR53" s="61"/>
      <c r="KS53" s="61"/>
      <c r="KT53" s="61"/>
      <c r="KU53" s="61"/>
      <c r="KV53" s="61"/>
      <c r="KW53" s="61"/>
      <c r="KX53" s="61"/>
      <c r="KY53" s="61"/>
      <c r="KZ53" s="61"/>
      <c r="LA53" s="61"/>
      <c r="LB53" s="61"/>
      <c r="LC53" s="61"/>
      <c r="LD53" s="61"/>
      <c r="LE53" s="61"/>
      <c r="LF53" s="61"/>
      <c r="LG53" s="61"/>
      <c r="LH53" s="61"/>
      <c r="LI53" s="61"/>
      <c r="LJ53" s="61"/>
      <c r="LK53" s="61"/>
      <c r="LL53" s="61"/>
      <c r="LM53" s="61"/>
      <c r="LN53" s="61"/>
      <c r="LO53" s="61"/>
      <c r="LP53" s="61"/>
      <c r="LQ53" s="61"/>
      <c r="LR53" s="61"/>
      <c r="LS53" s="61"/>
      <c r="LT53" s="61"/>
      <c r="LU53" s="61"/>
      <c r="LV53" s="61"/>
      <c r="LW53" s="61"/>
      <c r="LX53" s="61"/>
      <c r="LY53" s="61"/>
      <c r="LZ53" s="61"/>
      <c r="MA53" s="61"/>
      <c r="MB53" s="61"/>
      <c r="MC53" s="61"/>
      <c r="MD53" s="61"/>
      <c r="ME53" s="61"/>
      <c r="MF53" s="61"/>
      <c r="MG53" s="61"/>
      <c r="MH53" s="61"/>
      <c r="MI53" s="61"/>
      <c r="MJ53" s="61"/>
      <c r="MK53" s="61"/>
      <c r="ML53" s="61"/>
      <c r="MM53" s="61"/>
      <c r="MN53" s="61"/>
      <c r="MO53" s="61"/>
      <c r="MP53" s="61"/>
      <c r="MQ53" s="61"/>
      <c r="MR53" s="61"/>
      <c r="MS53" s="61"/>
      <c r="MT53" s="61"/>
    </row>
    <row r="54" spans="1:358" ht="19" collapsed="1" thickBot="1">
      <c r="A54" s="227" t="s">
        <v>74</v>
      </c>
      <c r="B54" s="165"/>
      <c r="C54" s="165"/>
      <c r="D54" s="166"/>
      <c r="E54" s="166"/>
      <c r="F54" s="167"/>
      <c r="G54" s="167"/>
      <c r="H54" s="167"/>
      <c r="I54" s="167"/>
      <c r="J54" s="168"/>
      <c r="K54" s="167">
        <f>K53+K14</f>
        <v>61.65</v>
      </c>
      <c r="L54" s="167">
        <f>L53+L14</f>
        <v>60.6</v>
      </c>
      <c r="M54" s="167"/>
      <c r="N54" s="164">
        <f>N53</f>
        <v>14.03</v>
      </c>
      <c r="O54" s="164">
        <f t="shared" ref="O54" si="32">O53</f>
        <v>14.15</v>
      </c>
      <c r="P54" s="414">
        <f>P53</f>
        <v>9.34</v>
      </c>
      <c r="Q54" s="414">
        <f t="shared" ref="Q54" si="33">Q53</f>
        <v>9.16</v>
      </c>
      <c r="R54" s="414">
        <f>R53</f>
        <v>10.375909090909097</v>
      </c>
      <c r="S54" s="414">
        <f>S53</f>
        <v>9.0500000000000007</v>
      </c>
      <c r="T54" s="414">
        <f>T53</f>
        <v>10.58333333333335</v>
      </c>
      <c r="U54" s="414">
        <v>11.7</v>
      </c>
      <c r="V54" s="414">
        <f>V53</f>
        <v>11.815499999999979</v>
      </c>
      <c r="W54" s="414">
        <f>W53</f>
        <v>9.7089473684210574</v>
      </c>
      <c r="X54" s="164">
        <v>10.5</v>
      </c>
      <c r="Y54" s="370"/>
      <c r="Z54" s="370"/>
      <c r="AA54" s="164">
        <v>11</v>
      </c>
      <c r="AB54" s="164">
        <v>11.5</v>
      </c>
      <c r="AC54" s="164">
        <v>11.75</v>
      </c>
      <c r="AD54" s="312">
        <f>AVERAGE(P54:R54)</f>
        <v>9.6253030303030318</v>
      </c>
      <c r="AE54" s="164">
        <f>AVERAGE(S54:T54:U54)</f>
        <v>10.44444444444445</v>
      </c>
      <c r="AF54" s="164">
        <f>AVERAGE(V54:X54)</f>
        <v>10.674815789473678</v>
      </c>
      <c r="AG54" s="313">
        <f>AVERAGE(AA54:AC54)</f>
        <v>11.416666666666666</v>
      </c>
      <c r="AH54" s="242">
        <f>AVERAGE(P54:AC54)</f>
        <v>10.540307482721957</v>
      </c>
      <c r="AI54" s="275">
        <v>12.8</v>
      </c>
    </row>
    <row r="55" spans="1:358" ht="21.5" thickBot="1">
      <c r="A55" s="196" t="s">
        <v>41</v>
      </c>
      <c r="B55" s="88"/>
      <c r="C55" s="88"/>
      <c r="D55" s="65"/>
      <c r="E55" s="65"/>
      <c r="F55" s="20"/>
      <c r="G55" s="20"/>
      <c r="H55" s="20"/>
      <c r="I55" s="20"/>
      <c r="J55" s="109"/>
      <c r="K55" s="20"/>
      <c r="L55" s="20"/>
      <c r="M55" s="20"/>
      <c r="N55" s="20"/>
      <c r="O55" s="20"/>
      <c r="P55" s="20"/>
      <c r="Q55" s="20"/>
      <c r="R55" s="23"/>
      <c r="S55" s="24"/>
      <c r="T55" s="24"/>
      <c r="U55" s="24"/>
      <c r="V55" s="24"/>
      <c r="W55" s="23"/>
      <c r="X55" s="23"/>
      <c r="Y55" s="371"/>
      <c r="Z55" s="371"/>
      <c r="AA55" s="23"/>
      <c r="AB55" s="23"/>
      <c r="AC55" s="24"/>
      <c r="AD55" s="314"/>
      <c r="AE55" s="23"/>
      <c r="AF55" s="23"/>
      <c r="AG55" s="303"/>
      <c r="AH55" s="238"/>
      <c r="AI55" s="267"/>
    </row>
    <row r="56" spans="1:358" ht="21.5" hidden="1" outlineLevel="1" thickBot="1">
      <c r="A56" s="89" t="s">
        <v>42</v>
      </c>
      <c r="B56" s="110">
        <v>-1.1100000000000001</v>
      </c>
      <c r="C56" s="110" t="str">
        <f>C47</f>
        <v>Previous WK</v>
      </c>
      <c r="D56" s="98"/>
      <c r="E56" s="99">
        <v>-3.67</v>
      </c>
      <c r="F56" s="35"/>
      <c r="G56" s="35"/>
      <c r="H56" s="35"/>
      <c r="I56" s="35"/>
      <c r="J56" s="72"/>
      <c r="K56" s="35"/>
      <c r="L56" s="37"/>
      <c r="M56" s="37"/>
      <c r="N56" s="35"/>
      <c r="O56" s="35"/>
      <c r="P56" s="35"/>
      <c r="Q56" s="35"/>
      <c r="R56" s="38"/>
      <c r="S56" s="39"/>
      <c r="T56" s="39"/>
      <c r="U56" s="396"/>
      <c r="V56" s="39"/>
      <c r="W56" s="38"/>
      <c r="X56" s="38"/>
      <c r="Y56" s="372"/>
      <c r="Z56" s="372"/>
      <c r="AA56" s="38"/>
      <c r="AB56" s="38"/>
      <c r="AC56" s="39"/>
      <c r="AD56" s="304"/>
      <c r="AE56" s="248"/>
      <c r="AF56" s="248"/>
      <c r="AG56" s="305"/>
      <c r="AH56" s="239"/>
      <c r="AI56" s="267"/>
    </row>
    <row r="57" spans="1:358" s="77" customFormat="1" ht="19" hidden="1" outlineLevel="1" thickBot="1">
      <c r="A57" s="675"/>
      <c r="B57" s="676"/>
      <c r="C57" s="676"/>
      <c r="D57" s="41"/>
      <c r="E57" s="41"/>
      <c r="F57" s="76"/>
      <c r="G57" s="76"/>
      <c r="H57" s="76"/>
      <c r="I57" s="76"/>
      <c r="J57" s="43"/>
      <c r="K57" s="76"/>
      <c r="L57" s="76"/>
      <c r="M57" s="76"/>
      <c r="N57" s="76"/>
      <c r="O57" s="76"/>
      <c r="P57" s="222"/>
      <c r="Q57" s="76"/>
      <c r="R57" s="44"/>
      <c r="S57" s="44"/>
      <c r="T57" s="44"/>
      <c r="U57" s="44"/>
      <c r="V57" s="44"/>
      <c r="W57" s="44"/>
      <c r="X57" s="44"/>
      <c r="Y57" s="376"/>
      <c r="Z57" s="377"/>
      <c r="AA57" s="44"/>
      <c r="AB57" s="44"/>
      <c r="AC57" s="235"/>
      <c r="AD57" s="315"/>
      <c r="AE57" s="44"/>
      <c r="AF57" s="44"/>
      <c r="AG57" s="316"/>
      <c r="AH57" s="240"/>
      <c r="AI57" s="268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  <c r="EK57" s="45"/>
      <c r="EL57" s="45"/>
      <c r="EM57" s="45"/>
      <c r="EN57" s="45"/>
      <c r="EO57" s="45"/>
      <c r="EP57" s="45"/>
      <c r="EQ57" s="45"/>
      <c r="ER57" s="45"/>
      <c r="ES57" s="45"/>
      <c r="ET57" s="45"/>
      <c r="EU57" s="45"/>
      <c r="EV57" s="45"/>
      <c r="EW57" s="45"/>
      <c r="EX57" s="45"/>
      <c r="EY57" s="45"/>
      <c r="EZ57" s="45"/>
      <c r="FA57" s="45"/>
      <c r="FB57" s="45"/>
      <c r="FC57" s="45"/>
      <c r="FD57" s="45"/>
      <c r="FE57" s="45"/>
      <c r="FF57" s="45"/>
      <c r="FG57" s="45"/>
      <c r="FH57" s="45"/>
      <c r="FI57" s="45"/>
      <c r="FJ57" s="45"/>
      <c r="FK57" s="45"/>
      <c r="FL57" s="45"/>
      <c r="FM57" s="45"/>
      <c r="FN57" s="45"/>
      <c r="FO57" s="45"/>
      <c r="FP57" s="45"/>
      <c r="FQ57" s="45"/>
      <c r="FR57" s="45"/>
      <c r="FS57" s="45"/>
      <c r="FT57" s="45"/>
      <c r="FU57" s="45"/>
      <c r="FV57" s="45"/>
      <c r="FW57" s="45"/>
      <c r="FX57" s="45"/>
      <c r="FY57" s="45"/>
      <c r="FZ57" s="45"/>
      <c r="GA57" s="45"/>
      <c r="GB57" s="45"/>
      <c r="GC57" s="45"/>
      <c r="GD57" s="45"/>
      <c r="GE57" s="45"/>
      <c r="GF57" s="45"/>
      <c r="GG57" s="45"/>
      <c r="GH57" s="45"/>
      <c r="GI57" s="45"/>
      <c r="GJ57" s="45"/>
      <c r="GK57" s="45"/>
      <c r="GL57" s="45"/>
      <c r="GM57" s="45"/>
      <c r="GN57" s="45"/>
      <c r="GO57" s="45"/>
      <c r="GP57" s="45"/>
      <c r="GQ57" s="45"/>
      <c r="GR57" s="45"/>
      <c r="GS57" s="45"/>
      <c r="GT57" s="45"/>
      <c r="GU57" s="45"/>
      <c r="GV57" s="45"/>
      <c r="GW57" s="45"/>
      <c r="GX57" s="45"/>
      <c r="GY57" s="45"/>
      <c r="GZ57" s="45"/>
      <c r="HA57" s="45"/>
      <c r="HB57" s="45"/>
      <c r="HC57" s="45"/>
      <c r="HD57" s="45"/>
      <c r="HE57" s="45"/>
      <c r="HF57" s="45"/>
      <c r="HG57" s="45"/>
      <c r="HH57" s="45"/>
      <c r="HI57" s="45"/>
      <c r="HJ57" s="45"/>
      <c r="HK57" s="45"/>
      <c r="HL57" s="45"/>
      <c r="HM57" s="45"/>
      <c r="HN57" s="45"/>
      <c r="HO57" s="45"/>
      <c r="HP57" s="45"/>
      <c r="HQ57" s="45"/>
      <c r="HR57" s="45"/>
      <c r="HS57" s="45"/>
      <c r="HT57" s="45"/>
      <c r="HU57" s="45"/>
      <c r="HV57" s="45"/>
      <c r="HW57" s="45"/>
      <c r="HX57" s="45"/>
      <c r="HY57" s="45"/>
      <c r="HZ57" s="45"/>
      <c r="IA57" s="45"/>
      <c r="IB57" s="45"/>
      <c r="IC57" s="45"/>
      <c r="ID57" s="45"/>
      <c r="IE57" s="45"/>
      <c r="IF57" s="45"/>
      <c r="IG57" s="45"/>
      <c r="IH57" s="45"/>
      <c r="II57" s="45"/>
      <c r="IJ57" s="45"/>
      <c r="IK57" s="45"/>
      <c r="IL57" s="45"/>
      <c r="IM57" s="45"/>
      <c r="IN57" s="45"/>
      <c r="IO57" s="45"/>
      <c r="IP57" s="45"/>
      <c r="IQ57" s="45"/>
      <c r="IR57" s="45"/>
      <c r="IS57" s="45"/>
      <c r="IT57" s="45"/>
      <c r="IU57" s="45"/>
      <c r="IV57" s="45"/>
      <c r="IW57" s="45"/>
      <c r="IX57" s="45"/>
      <c r="IY57" s="45"/>
      <c r="IZ57" s="45"/>
      <c r="JA57" s="45"/>
      <c r="JB57" s="45"/>
      <c r="JC57" s="45"/>
      <c r="JD57" s="45"/>
      <c r="JE57" s="45"/>
      <c r="JF57" s="45"/>
      <c r="JG57" s="45"/>
      <c r="JH57" s="45"/>
      <c r="JI57" s="45"/>
      <c r="JJ57" s="45"/>
      <c r="JK57" s="45"/>
      <c r="JL57" s="45"/>
      <c r="JM57" s="45"/>
      <c r="JN57" s="45"/>
      <c r="JO57" s="45"/>
      <c r="JP57" s="45"/>
      <c r="JQ57" s="45"/>
      <c r="JR57" s="45"/>
      <c r="JS57" s="45"/>
      <c r="JT57" s="45"/>
      <c r="JU57" s="45"/>
      <c r="JV57" s="45"/>
      <c r="JW57" s="45"/>
      <c r="JX57" s="45"/>
      <c r="JY57" s="45"/>
      <c r="JZ57" s="45"/>
      <c r="KA57" s="45"/>
      <c r="KB57" s="45"/>
      <c r="KC57" s="45"/>
      <c r="KD57" s="45"/>
      <c r="KE57" s="45"/>
      <c r="KF57" s="45"/>
      <c r="KG57" s="45"/>
      <c r="KH57" s="45"/>
      <c r="KI57" s="45"/>
      <c r="KJ57" s="45"/>
      <c r="KK57" s="45"/>
      <c r="KL57" s="45"/>
      <c r="KM57" s="45"/>
      <c r="KN57" s="45"/>
      <c r="KO57" s="45"/>
      <c r="KP57" s="45"/>
      <c r="KQ57" s="45"/>
      <c r="KR57" s="45"/>
      <c r="KS57" s="45"/>
      <c r="KT57" s="45"/>
      <c r="KU57" s="45"/>
      <c r="KV57" s="45"/>
      <c r="KW57" s="45"/>
      <c r="KX57" s="45"/>
      <c r="KY57" s="45"/>
      <c r="KZ57" s="45"/>
      <c r="LA57" s="45"/>
      <c r="LB57" s="45"/>
      <c r="LC57" s="45"/>
      <c r="LD57" s="45"/>
      <c r="LE57" s="45"/>
      <c r="LF57" s="45"/>
      <c r="LG57" s="45"/>
      <c r="LH57" s="45"/>
      <c r="LI57" s="45"/>
      <c r="LJ57" s="45"/>
      <c r="LK57" s="45"/>
      <c r="LL57" s="45"/>
      <c r="LM57" s="45"/>
      <c r="LN57" s="45"/>
      <c r="LO57" s="45"/>
      <c r="LP57" s="45"/>
      <c r="LQ57" s="45"/>
      <c r="LR57" s="45"/>
      <c r="LS57" s="45"/>
      <c r="LT57" s="45"/>
      <c r="LU57" s="45"/>
      <c r="LV57" s="45"/>
      <c r="LW57" s="45"/>
      <c r="LX57" s="45"/>
      <c r="LY57" s="45"/>
      <c r="LZ57" s="45"/>
      <c r="MA57" s="45"/>
      <c r="MB57" s="45"/>
      <c r="MC57" s="45"/>
      <c r="MD57" s="45"/>
      <c r="ME57" s="45"/>
      <c r="MF57" s="45"/>
      <c r="MG57" s="45"/>
      <c r="MH57" s="45"/>
      <c r="MI57" s="45"/>
      <c r="MJ57" s="45"/>
      <c r="MK57" s="45"/>
      <c r="ML57" s="45"/>
      <c r="MM57" s="45"/>
      <c r="MN57" s="45"/>
      <c r="MO57" s="45"/>
      <c r="MP57" s="45"/>
      <c r="MQ57" s="45"/>
      <c r="MR57" s="45"/>
      <c r="MS57" s="45"/>
      <c r="MT57" s="45"/>
    </row>
    <row r="58" spans="1:358" ht="51" hidden="1" customHeight="1" outlineLevel="1">
      <c r="A58" s="47" t="s">
        <v>23</v>
      </c>
      <c r="B58" s="78">
        <f>C58-$B$56</f>
        <v>-0.8899999999999999</v>
      </c>
      <c r="C58" s="55">
        <v>-2</v>
      </c>
      <c r="D58" s="49"/>
      <c r="E58" s="49"/>
      <c r="F58" s="52"/>
      <c r="G58" s="57"/>
      <c r="H58" s="56"/>
      <c r="I58" s="56"/>
      <c r="J58" s="55"/>
      <c r="K58" s="189">
        <v>-7.5</v>
      </c>
      <c r="L58" s="191">
        <v>-7.5</v>
      </c>
      <c r="M58" s="154">
        <v>-8</v>
      </c>
      <c r="N58" s="176">
        <v>-7</v>
      </c>
      <c r="O58" s="176">
        <v>-7</v>
      </c>
      <c r="P58" s="389">
        <v>-3.13</v>
      </c>
      <c r="Q58" s="389">
        <v>-5.08</v>
      </c>
      <c r="R58" s="389">
        <v>-7.3010164638511021</v>
      </c>
      <c r="S58" s="389">
        <v>-8.77</v>
      </c>
      <c r="T58" s="388">
        <v>-9.0720209973753256</v>
      </c>
      <c r="U58" s="388">
        <v>-8.3847566213314266</v>
      </c>
      <c r="V58" s="388">
        <v>-4.3456023622047368</v>
      </c>
      <c r="W58" s="388">
        <v>-5.6621052631578834</v>
      </c>
      <c r="X58" s="189">
        <v>-6.5</v>
      </c>
      <c r="Y58" s="185"/>
      <c r="Z58" s="186"/>
      <c r="AA58" s="189">
        <v>-7.1</v>
      </c>
      <c r="AB58" s="189">
        <v>-7</v>
      </c>
      <c r="AC58" s="297">
        <v>-6.7</v>
      </c>
      <c r="AD58" s="308">
        <f>AVERAGE(P58:R58)</f>
        <v>-5.1703388212837007</v>
      </c>
      <c r="AE58" s="246">
        <f>AVERAGE(S58:T58:U58)</f>
        <v>-8.7422592062355839</v>
      </c>
      <c r="AF58" s="246">
        <f>AVERAGE(V58:X58)</f>
        <v>-5.5025692084542071</v>
      </c>
      <c r="AG58" s="309">
        <f>AVERAGE(AA58:AC58)</f>
        <v>-6.9333333333333336</v>
      </c>
      <c r="AH58" s="241">
        <f>AVERAGE(P58:AC58)</f>
        <v>-6.5871251423267063</v>
      </c>
      <c r="AI58" s="267"/>
    </row>
    <row r="59" spans="1:358" ht="51" hidden="1" customHeight="1" outlineLevel="1">
      <c r="A59" s="47" t="s">
        <v>24</v>
      </c>
      <c r="B59" s="78">
        <f t="shared" ref="B59" si="34">C59-$B$43</f>
        <v>-1.2</v>
      </c>
      <c r="C59" s="111">
        <v>-1.2</v>
      </c>
      <c r="D59" s="49"/>
      <c r="E59" s="49"/>
      <c r="F59" s="56"/>
      <c r="G59" s="57"/>
      <c r="H59" s="56"/>
      <c r="I59" s="56"/>
      <c r="J59" s="111"/>
      <c r="K59" s="189">
        <v>-8.1</v>
      </c>
      <c r="L59" s="191">
        <v>-8.1</v>
      </c>
      <c r="M59" s="154">
        <v>-8.3000000000000007</v>
      </c>
      <c r="N59" s="176">
        <v>-7</v>
      </c>
      <c r="O59" s="191"/>
      <c r="P59" s="389">
        <v>-3.13</v>
      </c>
      <c r="Q59" s="389">
        <v>-5.08</v>
      </c>
      <c r="R59" s="388">
        <v>-7.3010164638511021</v>
      </c>
      <c r="S59" s="388">
        <v>-8.77</v>
      </c>
      <c r="T59" s="388">
        <v>-9.0720209973753256</v>
      </c>
      <c r="U59" s="388">
        <v>-8.3847566213314266</v>
      </c>
      <c r="V59" s="388">
        <v>-4.3456023622047368</v>
      </c>
      <c r="W59" s="388">
        <v>-5.6621052631578834</v>
      </c>
      <c r="X59" s="189">
        <v>-6.5</v>
      </c>
      <c r="Y59" s="185"/>
      <c r="Z59" s="186"/>
      <c r="AA59" s="189">
        <v>-6.8</v>
      </c>
      <c r="AB59" s="189">
        <v>-7</v>
      </c>
      <c r="AC59" s="297">
        <v>-6.5</v>
      </c>
      <c r="AD59" s="308">
        <f>AVERAGE(P59:R59)</f>
        <v>-5.1703388212837007</v>
      </c>
      <c r="AE59" s="246">
        <f>AVERAGE(S59:T59:U59)</f>
        <v>-8.7422592062355839</v>
      </c>
      <c r="AF59" s="246">
        <f>AVERAGE(V59:X59)</f>
        <v>-5.5025692084542071</v>
      </c>
      <c r="AG59" s="309">
        <f t="shared" ref="AG59:AG61" si="35">AVERAGE(AA59:AC59)</f>
        <v>-6.7666666666666666</v>
      </c>
      <c r="AH59" s="241">
        <f>AVERAGE(P59:AC59)</f>
        <v>-6.5454584756600402</v>
      </c>
      <c r="AI59" s="267"/>
    </row>
    <row r="60" spans="1:358" ht="51" hidden="1" customHeight="1" outlineLevel="1">
      <c r="A60" s="47" t="s">
        <v>25</v>
      </c>
      <c r="B60" s="78">
        <f t="shared" ref="B60" si="36">C60-$B$56</f>
        <v>-0.3899999999999999</v>
      </c>
      <c r="C60" s="55">
        <v>-1.5</v>
      </c>
      <c r="D60" s="49"/>
      <c r="E60" s="49"/>
      <c r="F60" s="52"/>
      <c r="G60" s="57"/>
      <c r="H60" s="56"/>
      <c r="I60" s="56"/>
      <c r="J60" s="55"/>
      <c r="K60" s="189">
        <v>-8</v>
      </c>
      <c r="L60" s="191">
        <v>-8</v>
      </c>
      <c r="M60" s="189">
        <v>-8</v>
      </c>
      <c r="N60" s="176">
        <v>-7</v>
      </c>
      <c r="O60" s="176">
        <v>-6.5</v>
      </c>
      <c r="P60" s="389">
        <v>-3.13</v>
      </c>
      <c r="Q60" s="389">
        <v>-5.08</v>
      </c>
      <c r="R60" s="389">
        <v>-7.3010164638511021</v>
      </c>
      <c r="S60" s="389">
        <v>-8.77</v>
      </c>
      <c r="T60" s="388">
        <v>-9.0720209973753256</v>
      </c>
      <c r="U60" s="388">
        <v>-8.3847566213314266</v>
      </c>
      <c r="V60" s="388">
        <v>-4.3456023622047368</v>
      </c>
      <c r="W60" s="388">
        <v>-5.6621052631578834</v>
      </c>
      <c r="X60" s="189">
        <v>-6</v>
      </c>
      <c r="Y60" s="185" t="s">
        <v>214</v>
      </c>
      <c r="Z60" s="186" t="s">
        <v>214</v>
      </c>
      <c r="AA60" s="189">
        <v>-6</v>
      </c>
      <c r="AB60" s="189">
        <v>-6.5</v>
      </c>
      <c r="AC60" s="297">
        <v>-6.5</v>
      </c>
      <c r="AD60" s="308">
        <f>AVERAGE(P60:R60)</f>
        <v>-5.1703388212837007</v>
      </c>
      <c r="AE60" s="246">
        <f>AVERAGE(S60:T60:U60)</f>
        <v>-8.7422592062355839</v>
      </c>
      <c r="AF60" s="246">
        <f>AVERAGE(V60:X60)</f>
        <v>-5.3359025417875401</v>
      </c>
      <c r="AG60" s="309">
        <f t="shared" si="35"/>
        <v>-6.333333333333333</v>
      </c>
      <c r="AH60" s="241">
        <f>AVERAGE(P60:AC60)</f>
        <v>-6.3954584756600399</v>
      </c>
      <c r="AI60" s="267"/>
    </row>
    <row r="61" spans="1:358" ht="51" hidden="1" customHeight="1" outlineLevel="1" thickBot="1">
      <c r="A61" s="47" t="s">
        <v>26</v>
      </c>
      <c r="B61" s="78">
        <f>C61-$B$25</f>
        <v>-1.98</v>
      </c>
      <c r="C61" s="55">
        <v>-1.98</v>
      </c>
      <c r="D61" s="49"/>
      <c r="E61" s="49"/>
      <c r="F61" s="52"/>
      <c r="G61" s="51"/>
      <c r="H61" s="52"/>
      <c r="I61" s="52"/>
      <c r="J61" s="55"/>
      <c r="K61" s="181">
        <v>-9.02</v>
      </c>
      <c r="L61" s="101">
        <v>-9.02</v>
      </c>
      <c r="M61" s="101">
        <v>-9.02</v>
      </c>
      <c r="N61" s="182">
        <v>-6.67</v>
      </c>
      <c r="O61" s="182">
        <v>-6.7</v>
      </c>
      <c r="P61" s="389">
        <v>-3.13</v>
      </c>
      <c r="Q61" s="389">
        <v>-5.08</v>
      </c>
      <c r="R61" s="388">
        <v>-7.3010164638511021</v>
      </c>
      <c r="S61" s="388">
        <v>-8.77</v>
      </c>
      <c r="T61" s="388">
        <v>-9.0720209973753256</v>
      </c>
      <c r="U61" s="388">
        <v>-8.3847566213314266</v>
      </c>
      <c r="V61" s="388">
        <v>-4.3456023622047368</v>
      </c>
      <c r="W61" s="388">
        <v>-5.6621052631578834</v>
      </c>
      <c r="X61" s="189">
        <v>-5.9</v>
      </c>
      <c r="Y61" s="185" t="s">
        <v>205</v>
      </c>
      <c r="Z61" s="186"/>
      <c r="AA61" s="189">
        <v>-7.8</v>
      </c>
      <c r="AB61" s="189">
        <v>-7.8</v>
      </c>
      <c r="AC61" s="297">
        <v>-7.6</v>
      </c>
      <c r="AD61" s="308">
        <f>AVERAGE(P61:R61)</f>
        <v>-5.1703388212837007</v>
      </c>
      <c r="AE61" s="246">
        <f>AVERAGE(S61:T61:U61)</f>
        <v>-8.7422592062355839</v>
      </c>
      <c r="AF61" s="246">
        <f>AVERAGE(V61:X61)</f>
        <v>-5.3025692084542069</v>
      </c>
      <c r="AG61" s="309">
        <f t="shared" si="35"/>
        <v>-7.7333333333333334</v>
      </c>
      <c r="AH61" s="241">
        <f>AVERAGE(P61:AC61)</f>
        <v>-6.7371251423267049</v>
      </c>
      <c r="AI61" s="267"/>
    </row>
    <row r="62" spans="1:358" s="62" customFormat="1" ht="19" hidden="1" outlineLevel="1" thickBot="1">
      <c r="A62" s="245" t="s">
        <v>75</v>
      </c>
      <c r="B62" s="58" t="s">
        <v>27</v>
      </c>
      <c r="C62" s="58" t="s">
        <v>27</v>
      </c>
      <c r="D62" s="87"/>
      <c r="E62" s="58"/>
      <c r="F62" s="59"/>
      <c r="G62" s="59"/>
      <c r="H62" s="59"/>
      <c r="I62" s="59"/>
      <c r="J62" s="59"/>
      <c r="K62" s="59">
        <f t="shared" ref="K62:AG62" si="37">AVERAGE(K58:K61)</f>
        <v>-8.1550000000000011</v>
      </c>
      <c r="L62" s="59">
        <f t="shared" si="37"/>
        <v>-8.1550000000000011</v>
      </c>
      <c r="M62" s="59">
        <f t="shared" si="37"/>
        <v>-8.33</v>
      </c>
      <c r="N62" s="59">
        <f t="shared" si="37"/>
        <v>-6.9175000000000004</v>
      </c>
      <c r="O62" s="59">
        <f t="shared" si="37"/>
        <v>-6.7333333333333334</v>
      </c>
      <c r="P62" s="414">
        <f>AVERAGE(P58:P61)</f>
        <v>-3.13</v>
      </c>
      <c r="Q62" s="414">
        <f t="shared" si="37"/>
        <v>-5.08</v>
      </c>
      <c r="R62" s="414">
        <f t="shared" si="37"/>
        <v>-7.3010164638511021</v>
      </c>
      <c r="S62" s="414">
        <f t="shared" si="37"/>
        <v>-8.77</v>
      </c>
      <c r="T62" s="414">
        <f>AVERAGE(T58:T61)</f>
        <v>-9.0720209973753256</v>
      </c>
      <c r="U62" s="414">
        <f t="shared" si="37"/>
        <v>-8.3847566213314266</v>
      </c>
      <c r="V62" s="414">
        <f t="shared" si="37"/>
        <v>-4.3456023622047368</v>
      </c>
      <c r="W62" s="414">
        <f t="shared" si="37"/>
        <v>-5.6621052631578834</v>
      </c>
      <c r="X62" s="59">
        <f t="shared" si="37"/>
        <v>-6.2249999999999996</v>
      </c>
      <c r="Y62" s="369"/>
      <c r="Z62" s="369"/>
      <c r="AA62" s="59">
        <f t="shared" si="37"/>
        <v>-6.9249999999999998</v>
      </c>
      <c r="AB62" s="59">
        <f t="shared" si="37"/>
        <v>-7.0750000000000002</v>
      </c>
      <c r="AC62" s="234">
        <f t="shared" si="37"/>
        <v>-6.8249999999999993</v>
      </c>
      <c r="AD62" s="310">
        <f t="shared" si="37"/>
        <v>-5.1703388212837007</v>
      </c>
      <c r="AE62" s="59">
        <f t="shared" si="37"/>
        <v>-8.7422592062355839</v>
      </c>
      <c r="AF62" s="59">
        <f t="shared" si="37"/>
        <v>-5.4109025417875412</v>
      </c>
      <c r="AG62" s="311">
        <f t="shared" si="37"/>
        <v>-6.9416666666666664</v>
      </c>
      <c r="AH62" s="242">
        <f>AVERAGE(AH58:AH61)</f>
        <v>-6.5662918089933724</v>
      </c>
      <c r="AI62" s="269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  <c r="CY62" s="61"/>
      <c r="CZ62" s="61"/>
      <c r="DA62" s="61"/>
      <c r="DB62" s="61"/>
      <c r="DC62" s="61"/>
      <c r="DD62" s="61"/>
      <c r="DE62" s="61"/>
      <c r="DF62" s="61"/>
      <c r="DG62" s="61"/>
      <c r="DH62" s="61"/>
      <c r="DI62" s="61"/>
      <c r="DJ62" s="61"/>
      <c r="DK62" s="61"/>
      <c r="DL62" s="61"/>
      <c r="DM62" s="61"/>
      <c r="DN62" s="61"/>
      <c r="DO62" s="61"/>
      <c r="DP62" s="61"/>
      <c r="DQ62" s="61"/>
      <c r="DR62" s="61"/>
      <c r="DS62" s="61"/>
      <c r="DT62" s="61"/>
      <c r="DU62" s="61"/>
      <c r="DV62" s="61"/>
      <c r="DW62" s="61"/>
      <c r="DX62" s="61"/>
      <c r="DY62" s="61"/>
      <c r="DZ62" s="61"/>
      <c r="EA62" s="61"/>
      <c r="EB62" s="61"/>
      <c r="EC62" s="61"/>
      <c r="ED62" s="61"/>
      <c r="EE62" s="61"/>
      <c r="EF62" s="61"/>
      <c r="EG62" s="61"/>
      <c r="EH62" s="61"/>
      <c r="EI62" s="61"/>
      <c r="EJ62" s="61"/>
      <c r="EK62" s="61"/>
      <c r="EL62" s="61"/>
      <c r="EM62" s="61"/>
      <c r="EN62" s="61"/>
      <c r="EO62" s="61"/>
      <c r="EP62" s="61"/>
      <c r="EQ62" s="61"/>
      <c r="ER62" s="61"/>
      <c r="ES62" s="61"/>
      <c r="ET62" s="61"/>
      <c r="EU62" s="61"/>
      <c r="EV62" s="61"/>
      <c r="EW62" s="61"/>
      <c r="EX62" s="61"/>
      <c r="EY62" s="61"/>
      <c r="EZ62" s="61"/>
      <c r="FA62" s="61"/>
      <c r="FB62" s="61"/>
      <c r="FC62" s="61"/>
      <c r="FD62" s="61"/>
      <c r="FE62" s="61"/>
      <c r="FF62" s="61"/>
      <c r="FG62" s="61"/>
      <c r="FH62" s="61"/>
      <c r="FI62" s="61"/>
      <c r="FJ62" s="61"/>
      <c r="FK62" s="61"/>
      <c r="FL62" s="61"/>
      <c r="FM62" s="61"/>
      <c r="FN62" s="61"/>
      <c r="FO62" s="61"/>
      <c r="FP62" s="61"/>
      <c r="FQ62" s="61"/>
      <c r="FR62" s="61"/>
      <c r="FS62" s="61"/>
      <c r="FT62" s="61"/>
      <c r="FU62" s="61"/>
      <c r="FV62" s="61"/>
      <c r="FW62" s="61"/>
      <c r="FX62" s="61"/>
      <c r="FY62" s="61"/>
      <c r="FZ62" s="61"/>
      <c r="GA62" s="61"/>
      <c r="GB62" s="61"/>
      <c r="GC62" s="61"/>
      <c r="GD62" s="61"/>
      <c r="GE62" s="61"/>
      <c r="GF62" s="61"/>
      <c r="GG62" s="61"/>
      <c r="GH62" s="61"/>
      <c r="GI62" s="61"/>
      <c r="GJ62" s="61"/>
      <c r="GK62" s="61"/>
      <c r="GL62" s="61"/>
      <c r="GM62" s="61"/>
      <c r="GN62" s="61"/>
      <c r="GO62" s="61"/>
      <c r="GP62" s="61"/>
      <c r="GQ62" s="61"/>
      <c r="GR62" s="61"/>
      <c r="GS62" s="61"/>
      <c r="GT62" s="61"/>
      <c r="GU62" s="61"/>
      <c r="GV62" s="61"/>
      <c r="GW62" s="61"/>
      <c r="GX62" s="61"/>
      <c r="GY62" s="61"/>
      <c r="GZ62" s="61"/>
      <c r="HA62" s="61"/>
      <c r="HB62" s="61"/>
      <c r="HC62" s="61"/>
      <c r="HD62" s="61"/>
      <c r="HE62" s="61"/>
      <c r="HF62" s="61"/>
      <c r="HG62" s="61"/>
      <c r="HH62" s="61"/>
      <c r="HI62" s="61"/>
      <c r="HJ62" s="61"/>
      <c r="HK62" s="61"/>
      <c r="HL62" s="61"/>
      <c r="HM62" s="61"/>
      <c r="HN62" s="61"/>
      <c r="HO62" s="61"/>
      <c r="HP62" s="61"/>
      <c r="HQ62" s="61"/>
      <c r="HR62" s="61"/>
      <c r="HS62" s="61"/>
      <c r="HT62" s="61"/>
      <c r="HU62" s="61"/>
      <c r="HV62" s="61"/>
      <c r="HW62" s="61"/>
      <c r="HX62" s="61"/>
      <c r="HY62" s="61"/>
      <c r="HZ62" s="61"/>
      <c r="IA62" s="61"/>
      <c r="IB62" s="61"/>
      <c r="IC62" s="61"/>
      <c r="ID62" s="61"/>
      <c r="IE62" s="61"/>
      <c r="IF62" s="61"/>
      <c r="IG62" s="61"/>
      <c r="IH62" s="61"/>
      <c r="II62" s="61"/>
      <c r="IJ62" s="61"/>
      <c r="IK62" s="61"/>
      <c r="IL62" s="61"/>
      <c r="IM62" s="61"/>
      <c r="IN62" s="61"/>
      <c r="IO62" s="61"/>
      <c r="IP62" s="61"/>
      <c r="IQ62" s="61"/>
      <c r="IR62" s="61"/>
      <c r="IS62" s="61"/>
      <c r="IT62" s="61"/>
      <c r="IU62" s="61"/>
      <c r="IV62" s="61"/>
      <c r="IW62" s="61"/>
      <c r="IX62" s="61"/>
      <c r="IY62" s="61"/>
      <c r="IZ62" s="61"/>
      <c r="JA62" s="61"/>
      <c r="JB62" s="61"/>
      <c r="JC62" s="61"/>
      <c r="JD62" s="61"/>
      <c r="JE62" s="61"/>
      <c r="JF62" s="61"/>
      <c r="JG62" s="61"/>
      <c r="JH62" s="61"/>
      <c r="JI62" s="61"/>
      <c r="JJ62" s="61"/>
      <c r="JK62" s="61"/>
      <c r="JL62" s="61"/>
      <c r="JM62" s="61"/>
      <c r="JN62" s="61"/>
      <c r="JO62" s="61"/>
      <c r="JP62" s="61"/>
      <c r="JQ62" s="61"/>
      <c r="JR62" s="61"/>
      <c r="JS62" s="61"/>
      <c r="JT62" s="61"/>
      <c r="JU62" s="61"/>
      <c r="JV62" s="61"/>
      <c r="JW62" s="61"/>
      <c r="JX62" s="61"/>
      <c r="JY62" s="61"/>
      <c r="JZ62" s="61"/>
      <c r="KA62" s="61"/>
      <c r="KB62" s="61"/>
      <c r="KC62" s="61"/>
      <c r="KD62" s="61"/>
      <c r="KE62" s="61"/>
      <c r="KF62" s="61"/>
      <c r="KG62" s="61"/>
      <c r="KH62" s="61"/>
      <c r="KI62" s="61"/>
      <c r="KJ62" s="61"/>
      <c r="KK62" s="61"/>
      <c r="KL62" s="61"/>
      <c r="KM62" s="61"/>
      <c r="KN62" s="61"/>
      <c r="KO62" s="61"/>
      <c r="KP62" s="61"/>
      <c r="KQ62" s="61"/>
      <c r="KR62" s="61"/>
      <c r="KS62" s="61"/>
      <c r="KT62" s="61"/>
      <c r="KU62" s="61"/>
      <c r="KV62" s="61"/>
      <c r="KW62" s="61"/>
      <c r="KX62" s="61"/>
      <c r="KY62" s="61"/>
      <c r="KZ62" s="61"/>
      <c r="LA62" s="61"/>
      <c r="LB62" s="61"/>
      <c r="LC62" s="61"/>
      <c r="LD62" s="61"/>
      <c r="LE62" s="61"/>
      <c r="LF62" s="61"/>
      <c r="LG62" s="61"/>
      <c r="LH62" s="61"/>
      <c r="LI62" s="61"/>
      <c r="LJ62" s="61"/>
      <c r="LK62" s="61"/>
      <c r="LL62" s="61"/>
      <c r="LM62" s="61"/>
      <c r="LN62" s="61"/>
      <c r="LO62" s="61"/>
      <c r="LP62" s="61"/>
      <c r="LQ62" s="61"/>
      <c r="LR62" s="61"/>
      <c r="LS62" s="61"/>
      <c r="LT62" s="61"/>
      <c r="LU62" s="61"/>
      <c r="LV62" s="61"/>
      <c r="LW62" s="61"/>
      <c r="LX62" s="61"/>
      <c r="LY62" s="61"/>
      <c r="LZ62" s="61"/>
      <c r="MA62" s="61"/>
      <c r="MB62" s="61"/>
      <c r="MC62" s="61"/>
      <c r="MD62" s="61"/>
      <c r="ME62" s="61"/>
      <c r="MF62" s="61"/>
      <c r="MG62" s="61"/>
      <c r="MH62" s="61"/>
      <c r="MI62" s="61"/>
      <c r="MJ62" s="61"/>
      <c r="MK62" s="61"/>
      <c r="ML62" s="61"/>
      <c r="MM62" s="61"/>
      <c r="MN62" s="61"/>
      <c r="MO62" s="61"/>
      <c r="MP62" s="61"/>
      <c r="MQ62" s="61"/>
      <c r="MR62" s="61"/>
      <c r="MS62" s="61"/>
      <c r="MT62" s="61"/>
    </row>
    <row r="63" spans="1:358" ht="19" collapsed="1" thickBot="1">
      <c r="A63" s="227" t="s">
        <v>74</v>
      </c>
      <c r="B63" s="160"/>
      <c r="C63" s="160"/>
      <c r="D63" s="161"/>
      <c r="E63" s="161"/>
      <c r="F63" s="162"/>
      <c r="G63" s="162"/>
      <c r="H63" s="162"/>
      <c r="I63" s="162"/>
      <c r="J63" s="163"/>
      <c r="K63" s="162">
        <f>K14+K62</f>
        <v>40.144999999999996</v>
      </c>
      <c r="L63" s="162">
        <f>L14+L62</f>
        <v>38.695</v>
      </c>
      <c r="M63" s="162"/>
      <c r="N63" s="164">
        <f>N62</f>
        <v>-6.9175000000000004</v>
      </c>
      <c r="O63" s="164">
        <f>O62</f>
        <v>-6.7333333333333334</v>
      </c>
      <c r="P63" s="414">
        <f>P62</f>
        <v>-3.13</v>
      </c>
      <c r="Q63" s="414">
        <f t="shared" ref="Q63" si="38">Q62</f>
        <v>-5.08</v>
      </c>
      <c r="R63" s="414">
        <f>R62</f>
        <v>-7.3010164638511021</v>
      </c>
      <c r="S63" s="414">
        <f>S62</f>
        <v>-8.77</v>
      </c>
      <c r="T63" s="414">
        <f>T62</f>
        <v>-9.0720209973753256</v>
      </c>
      <c r="U63" s="414">
        <v>-8.8000000000000007</v>
      </c>
      <c r="V63" s="414">
        <f>V62</f>
        <v>-4.3456023622047368</v>
      </c>
      <c r="W63" s="414">
        <f>W62</f>
        <v>-5.6621052631578834</v>
      </c>
      <c r="X63" s="164">
        <v>-6</v>
      </c>
      <c r="Y63" s="370"/>
      <c r="Z63" s="370"/>
      <c r="AA63" s="164">
        <v>-6.5</v>
      </c>
      <c r="AB63" s="164">
        <v>-7</v>
      </c>
      <c r="AC63" s="229">
        <v>-6.7</v>
      </c>
      <c r="AD63" s="312">
        <f>AVERAGE(P63:R63)</f>
        <v>-5.1703388212837007</v>
      </c>
      <c r="AE63" s="164">
        <f>AVERAGE(S63:T63:U63)</f>
        <v>-8.8806736657917753</v>
      </c>
      <c r="AF63" s="164">
        <f>AVERAGE(V63:X63)</f>
        <v>-5.3359025417875401</v>
      </c>
      <c r="AG63" s="313">
        <f>AVERAGE(AA63:AC63)</f>
        <v>-6.7333333333333334</v>
      </c>
      <c r="AH63" s="242">
        <f>AVERAGE(P63:AC63)</f>
        <v>-6.5300620905490883</v>
      </c>
      <c r="AI63" s="275">
        <v>-6.5</v>
      </c>
    </row>
    <row r="64" spans="1:358" ht="21.5" thickBot="1">
      <c r="A64" s="196" t="s">
        <v>45</v>
      </c>
      <c r="B64" s="112"/>
      <c r="C64" s="112"/>
      <c r="D64" s="113"/>
      <c r="E64" s="113"/>
      <c r="F64" s="20"/>
      <c r="G64" s="20"/>
      <c r="H64" s="20"/>
      <c r="I64" s="20"/>
      <c r="J64" s="114"/>
      <c r="K64" s="20"/>
      <c r="L64" s="115"/>
      <c r="M64" s="115"/>
      <c r="N64" s="20"/>
      <c r="O64" s="20"/>
      <c r="P64" s="20"/>
      <c r="Q64" s="20"/>
      <c r="R64" s="23"/>
      <c r="S64" s="24"/>
      <c r="T64" s="24"/>
      <c r="U64" s="24"/>
      <c r="V64" s="24"/>
      <c r="W64" s="23"/>
      <c r="X64" s="23"/>
      <c r="Y64" s="371"/>
      <c r="Z64" s="371"/>
      <c r="AA64" s="23"/>
      <c r="AB64" s="23"/>
      <c r="AC64" s="24"/>
      <c r="AD64" s="314"/>
      <c r="AE64" s="23"/>
      <c r="AF64" s="23"/>
      <c r="AG64" s="303"/>
      <c r="AH64" s="238"/>
      <c r="AI64" s="267"/>
    </row>
    <row r="65" spans="1:358" ht="21.5" hidden="1" outlineLevel="1" thickBot="1">
      <c r="A65" s="117" t="s">
        <v>46</v>
      </c>
      <c r="B65" s="118">
        <v>0.28000000000000003</v>
      </c>
      <c r="C65" s="118" t="str">
        <f>C56</f>
        <v>Previous WK</v>
      </c>
      <c r="D65" s="119"/>
      <c r="E65" s="120">
        <v>1.02</v>
      </c>
      <c r="F65" s="35"/>
      <c r="G65" s="35"/>
      <c r="H65" s="35"/>
      <c r="I65" s="35"/>
      <c r="J65" s="69"/>
      <c r="K65" s="35"/>
      <c r="L65" s="121"/>
      <c r="M65" s="121"/>
      <c r="N65" s="35"/>
      <c r="O65" s="35"/>
      <c r="P65" s="35"/>
      <c r="Q65" s="35"/>
      <c r="R65" s="38"/>
      <c r="S65" s="39"/>
      <c r="T65" s="39"/>
      <c r="U65" s="395"/>
      <c r="V65" s="39"/>
      <c r="W65" s="38"/>
      <c r="X65" s="38"/>
      <c r="Y65" s="384"/>
      <c r="Z65" s="384"/>
      <c r="AA65" s="38"/>
      <c r="AB65" s="38"/>
      <c r="AC65" s="39"/>
      <c r="AD65" s="304"/>
      <c r="AE65" s="248"/>
      <c r="AF65" s="248"/>
      <c r="AG65" s="305"/>
      <c r="AH65" s="239"/>
      <c r="AI65" s="267"/>
    </row>
    <row r="66" spans="1:358" s="77" customFormat="1" ht="21" hidden="1" customHeight="1" outlineLevel="1">
      <c r="A66" s="675"/>
      <c r="B66" s="676"/>
      <c r="C66" s="676"/>
      <c r="D66" s="41"/>
      <c r="E66" s="41"/>
      <c r="F66" s="76"/>
      <c r="G66" s="76"/>
      <c r="H66" s="76"/>
      <c r="I66" s="76"/>
      <c r="J66" s="43"/>
      <c r="K66" s="76"/>
      <c r="L66" s="76"/>
      <c r="M66" s="76"/>
      <c r="N66" s="76"/>
      <c r="O66" s="76"/>
      <c r="P66" s="222"/>
      <c r="Q66" s="76"/>
      <c r="R66" s="44"/>
      <c r="S66" s="44"/>
      <c r="T66" s="44"/>
      <c r="U66" s="44"/>
      <c r="V66" s="44"/>
      <c r="W66" s="44"/>
      <c r="X66" s="44"/>
      <c r="Y66" s="373"/>
      <c r="Z66" s="374"/>
      <c r="AA66" s="44"/>
      <c r="AB66" s="44"/>
      <c r="AC66" s="235"/>
      <c r="AD66" s="315"/>
      <c r="AE66" s="44"/>
      <c r="AF66" s="44"/>
      <c r="AG66" s="316"/>
      <c r="AH66" s="240"/>
      <c r="AI66" s="268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  <c r="KE66" s="45"/>
      <c r="KF66" s="45"/>
      <c r="KG66" s="45"/>
      <c r="KH66" s="45"/>
      <c r="KI66" s="45"/>
      <c r="KJ66" s="45"/>
      <c r="KK66" s="45"/>
      <c r="KL66" s="45"/>
      <c r="KM66" s="45"/>
      <c r="KN66" s="45"/>
      <c r="KO66" s="45"/>
      <c r="KP66" s="45"/>
      <c r="KQ66" s="45"/>
      <c r="KR66" s="45"/>
      <c r="KS66" s="45"/>
      <c r="KT66" s="45"/>
      <c r="KU66" s="45"/>
      <c r="KV66" s="45"/>
      <c r="KW66" s="45"/>
      <c r="KX66" s="45"/>
      <c r="KY66" s="45"/>
      <c r="KZ66" s="45"/>
      <c r="LA66" s="45"/>
      <c r="LB66" s="45"/>
      <c r="LC66" s="45"/>
      <c r="LD66" s="45"/>
      <c r="LE66" s="45"/>
      <c r="LF66" s="45"/>
      <c r="LG66" s="45"/>
      <c r="LH66" s="45"/>
      <c r="LI66" s="45"/>
      <c r="LJ66" s="45"/>
      <c r="LK66" s="45"/>
      <c r="LL66" s="45"/>
      <c r="LM66" s="45"/>
      <c r="LN66" s="45"/>
      <c r="LO66" s="45"/>
      <c r="LP66" s="45"/>
      <c r="LQ66" s="45"/>
      <c r="LR66" s="45"/>
      <c r="LS66" s="45"/>
      <c r="LT66" s="45"/>
      <c r="LU66" s="45"/>
      <c r="LV66" s="45"/>
      <c r="LW66" s="45"/>
      <c r="LX66" s="45"/>
      <c r="LY66" s="45"/>
      <c r="LZ66" s="45"/>
      <c r="MA66" s="45"/>
      <c r="MB66" s="45"/>
      <c r="MC66" s="45"/>
      <c r="MD66" s="45"/>
      <c r="ME66" s="45"/>
      <c r="MF66" s="45"/>
      <c r="MG66" s="45"/>
      <c r="MH66" s="45"/>
      <c r="MI66" s="45"/>
      <c r="MJ66" s="45"/>
      <c r="MK66" s="45"/>
      <c r="ML66" s="45"/>
      <c r="MM66" s="45"/>
      <c r="MN66" s="45"/>
      <c r="MO66" s="45"/>
      <c r="MP66" s="45"/>
      <c r="MQ66" s="45"/>
      <c r="MR66" s="45"/>
      <c r="MS66" s="45"/>
      <c r="MT66" s="45"/>
    </row>
    <row r="67" spans="1:358" ht="48.75" hidden="1" customHeight="1" outlineLevel="1">
      <c r="A67" s="47" t="s">
        <v>23</v>
      </c>
      <c r="B67" s="78">
        <f>C67-$B$65</f>
        <v>0.21999999999999997</v>
      </c>
      <c r="C67" s="123">
        <v>0.5</v>
      </c>
      <c r="D67" s="49"/>
      <c r="E67" s="49"/>
      <c r="F67" s="52"/>
      <c r="G67" s="57"/>
      <c r="H67" s="56"/>
      <c r="I67" s="56"/>
      <c r="J67" s="123"/>
      <c r="K67" s="189">
        <v>1.8</v>
      </c>
      <c r="L67" s="191">
        <v>1.8</v>
      </c>
      <c r="M67" s="191">
        <v>1.9</v>
      </c>
      <c r="N67" s="191">
        <v>2</v>
      </c>
      <c r="O67" s="191">
        <v>2</v>
      </c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388">
        <v>2.0834090909090861</v>
      </c>
      <c r="V67" s="388">
        <v>2.6369285714285553</v>
      </c>
      <c r="W67" s="388">
        <v>2.2523026315789423</v>
      </c>
      <c r="X67" s="189">
        <v>2.6346428571428704</v>
      </c>
      <c r="Y67" s="255"/>
      <c r="Z67" s="255"/>
      <c r="AA67" s="189">
        <v>2.63</v>
      </c>
      <c r="AB67" s="189">
        <v>2.7550974025974058</v>
      </c>
      <c r="AC67" s="297">
        <v>3.010714285714299</v>
      </c>
      <c r="AD67" s="308">
        <f>AVERAGE(P67:R67)</f>
        <v>3.3432575757575762</v>
      </c>
      <c r="AE67" s="246">
        <f>AVERAGE(S67:T67:U67)</f>
        <v>2.380029220779218</v>
      </c>
      <c r="AF67" s="246">
        <f>AVERAGE(V67:X67)</f>
        <v>2.5079580200501224</v>
      </c>
      <c r="AG67" s="309">
        <f>AVERAGE(AA67:AC67)</f>
        <v>2.7986038961039017</v>
      </c>
      <c r="AH67" s="241">
        <f>AVERAGE(P67:AC67)</f>
        <v>2.7574621781727049</v>
      </c>
      <c r="AI67" s="267"/>
    </row>
    <row r="68" spans="1:358" ht="48.75" hidden="1" customHeight="1" outlineLevel="1">
      <c r="A68" s="47" t="s">
        <v>24</v>
      </c>
      <c r="B68" s="78">
        <f t="shared" ref="B68" si="39">C68-$B$51</f>
        <v>0.68999999999999984</v>
      </c>
      <c r="C68" s="123">
        <v>0.6</v>
      </c>
      <c r="D68" s="49"/>
      <c r="E68" s="49"/>
      <c r="F68" s="56"/>
      <c r="G68" s="57"/>
      <c r="H68" s="56"/>
      <c r="I68" s="56"/>
      <c r="J68" s="55"/>
      <c r="K68" s="189">
        <v>1.3</v>
      </c>
      <c r="L68" s="191">
        <v>1.3</v>
      </c>
      <c r="M68" s="191">
        <v>1.7</v>
      </c>
      <c r="N68" s="191">
        <v>2</v>
      </c>
      <c r="O68" s="191"/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388">
        <v>2.0834090909090861</v>
      </c>
      <c r="V68" s="388">
        <v>2.6369285714285553</v>
      </c>
      <c r="W68" s="388">
        <v>2.2523026315789423</v>
      </c>
      <c r="X68" s="189">
        <v>2.7</v>
      </c>
      <c r="Y68" s="255"/>
      <c r="Z68" s="255"/>
      <c r="AA68" s="189">
        <v>2.6</v>
      </c>
      <c r="AB68" s="189">
        <v>2.6</v>
      </c>
      <c r="AC68" s="297">
        <v>2.8</v>
      </c>
      <c r="AD68" s="308">
        <f>AVERAGE(P68:R68)</f>
        <v>3.3432575757575762</v>
      </c>
      <c r="AE68" s="246">
        <f>AVERAGE(S68:T68:U68)</f>
        <v>2.380029220779218</v>
      </c>
      <c r="AF68" s="246">
        <f>AVERAGE(V68:X68)</f>
        <v>2.5297437343358324</v>
      </c>
      <c r="AG68" s="309">
        <f t="shared" ref="AG68:AG70" si="40">AVERAGE(AA68:AC68)</f>
        <v>2.6666666666666665</v>
      </c>
      <c r="AH68" s="241">
        <f>AVERAGE(P68:AC68)</f>
        <v>2.7299242993848232</v>
      </c>
      <c r="AI68" s="267"/>
    </row>
    <row r="69" spans="1:358" ht="48.75" hidden="1" customHeight="1" outlineLevel="1">
      <c r="A69" s="47" t="s">
        <v>25</v>
      </c>
      <c r="B69" s="78">
        <f t="shared" ref="B69" si="41">C69-$B$65</f>
        <v>0.82000000000000006</v>
      </c>
      <c r="C69" s="123">
        <v>1.1000000000000001</v>
      </c>
      <c r="D69" s="49"/>
      <c r="E69" s="49"/>
      <c r="F69" s="52"/>
      <c r="G69" s="57"/>
      <c r="H69" s="56"/>
      <c r="I69" s="56"/>
      <c r="J69" s="123"/>
      <c r="K69" s="189">
        <v>0.5</v>
      </c>
      <c r="L69" s="191">
        <v>1.7</v>
      </c>
      <c r="M69" s="189">
        <v>1.7</v>
      </c>
      <c r="N69" s="191">
        <v>1.7</v>
      </c>
      <c r="O69" s="191">
        <v>1.7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388">
        <v>2.0834090909090861</v>
      </c>
      <c r="V69" s="388">
        <v>2.6369285714285553</v>
      </c>
      <c r="W69" s="388">
        <v>2.2523026315789423</v>
      </c>
      <c r="X69" s="189">
        <v>2.2999999999999998</v>
      </c>
      <c r="Y69" s="185" t="s">
        <v>223</v>
      </c>
      <c r="Z69" s="186" t="s">
        <v>223</v>
      </c>
      <c r="AA69" s="189">
        <v>2.6</v>
      </c>
      <c r="AB69" s="189">
        <v>2.8</v>
      </c>
      <c r="AC69" s="297">
        <v>2.9</v>
      </c>
      <c r="AD69" s="308">
        <f>AVERAGE(P69:R69)</f>
        <v>3.3432575757575762</v>
      </c>
      <c r="AE69" s="246">
        <f>AVERAGE(S69:T69:U69)</f>
        <v>2.380029220779218</v>
      </c>
      <c r="AF69" s="246">
        <f>AVERAGE(V69:X69)</f>
        <v>2.3964104010024991</v>
      </c>
      <c r="AG69" s="309">
        <f t="shared" si="40"/>
        <v>2.7666666666666671</v>
      </c>
      <c r="AH69" s="241">
        <f>AVERAGE(P69:AC69)</f>
        <v>2.7215909660514903</v>
      </c>
      <c r="AI69" s="267"/>
    </row>
    <row r="70" spans="1:358" ht="48.75" hidden="1" customHeight="1" outlineLevel="1" thickBot="1">
      <c r="A70" s="47" t="s">
        <v>26</v>
      </c>
      <c r="B70" s="78" t="e">
        <f>C70-#REF!</f>
        <v>#REF!</v>
      </c>
      <c r="C70" s="123">
        <v>1.5</v>
      </c>
      <c r="D70" s="49"/>
      <c r="E70" s="49"/>
      <c r="F70" s="52"/>
      <c r="G70" s="57"/>
      <c r="H70" s="52"/>
      <c r="I70" s="52"/>
      <c r="J70" s="123"/>
      <c r="K70" s="181">
        <v>1.2</v>
      </c>
      <c r="L70" s="182">
        <v>1.2</v>
      </c>
      <c r="M70" s="182">
        <v>1.2</v>
      </c>
      <c r="N70" s="182">
        <v>2</v>
      </c>
      <c r="O70" s="182">
        <v>2.5</v>
      </c>
      <c r="P70" s="388">
        <v>3.5</v>
      </c>
      <c r="Q70" s="388">
        <v>3.18</v>
      </c>
      <c r="R70" s="388">
        <v>3.3497727272727289</v>
      </c>
      <c r="S70" s="388">
        <v>2.4500000000000002</v>
      </c>
      <c r="T70" s="388">
        <v>2.6066785714285672</v>
      </c>
      <c r="U70" s="388">
        <v>2.0834090909090861</v>
      </c>
      <c r="V70" s="388">
        <v>2.6369285714285553</v>
      </c>
      <c r="W70" s="388">
        <v>2.2523026315789423</v>
      </c>
      <c r="X70" s="189">
        <v>2.7</v>
      </c>
      <c r="Y70" s="256"/>
      <c r="Z70" s="256"/>
      <c r="AA70" s="189">
        <v>2.7</v>
      </c>
      <c r="AB70" s="189">
        <v>2.7</v>
      </c>
      <c r="AC70" s="297">
        <v>2.7</v>
      </c>
      <c r="AD70" s="308">
        <f>AVERAGE(P70:R70)</f>
        <v>3.3432575757575762</v>
      </c>
      <c r="AE70" s="246">
        <f>AVERAGE(S70:T70:U70)</f>
        <v>2.380029220779218</v>
      </c>
      <c r="AF70" s="246">
        <f>AVERAGE(V70:X70)</f>
        <v>2.5297437343358324</v>
      </c>
      <c r="AG70" s="309">
        <f t="shared" si="40"/>
        <v>2.7000000000000006</v>
      </c>
      <c r="AH70" s="241">
        <f>AVERAGE(P70:AC70)</f>
        <v>2.7382576327181565</v>
      </c>
      <c r="AI70" s="267"/>
    </row>
    <row r="71" spans="1:358" s="62" customFormat="1" ht="19.5" hidden="1" customHeight="1" outlineLevel="1" thickBot="1">
      <c r="A71" s="245" t="s">
        <v>75</v>
      </c>
      <c r="B71" s="58" t="s">
        <v>27</v>
      </c>
      <c r="C71" s="58" t="s">
        <v>27</v>
      </c>
      <c r="D71" s="87"/>
      <c r="E71" s="58"/>
      <c r="F71" s="59"/>
      <c r="G71" s="59"/>
      <c r="H71" s="59"/>
      <c r="I71" s="59"/>
      <c r="J71" s="59" t="e">
        <f t="shared" ref="J71" si="42">AVERAGE(J67:J70)</f>
        <v>#DIV/0!</v>
      </c>
      <c r="K71" s="59">
        <f>AVERAGE(K67:K70)</f>
        <v>1.2</v>
      </c>
      <c r="L71" s="59">
        <f>AVERAGE(L67:L70)</f>
        <v>1.5</v>
      </c>
      <c r="M71" s="59">
        <f>AVERAGE(M67:M70)</f>
        <v>1.625</v>
      </c>
      <c r="N71" s="59">
        <v>1.6</v>
      </c>
      <c r="O71" s="59">
        <f>AVERAGE(O67:O70)</f>
        <v>2.0666666666666669</v>
      </c>
      <c r="P71" s="414">
        <f>AVERAGE(P67:P70)</f>
        <v>3.5</v>
      </c>
      <c r="Q71" s="414">
        <f>AVERAGE(Q67:Q70)</f>
        <v>3.18</v>
      </c>
      <c r="R71" s="414">
        <f>AVERAGE(R67:R70)</f>
        <v>3.3497727272727289</v>
      </c>
      <c r="S71" s="414">
        <f t="shared" ref="S71:AD71" si="43">AVERAGE(S67:S70)</f>
        <v>2.4500000000000002</v>
      </c>
      <c r="T71" s="414">
        <f>AVERAGE(T67:T70)</f>
        <v>2.6066785714285672</v>
      </c>
      <c r="U71" s="414">
        <f t="shared" si="43"/>
        <v>2.0834090909090861</v>
      </c>
      <c r="V71" s="414">
        <f t="shared" si="43"/>
        <v>2.6369285714285553</v>
      </c>
      <c r="W71" s="414">
        <f t="shared" si="43"/>
        <v>2.2523026315789423</v>
      </c>
      <c r="X71" s="59">
        <f t="shared" si="43"/>
        <v>2.5836607142857178</v>
      </c>
      <c r="Y71" s="60"/>
      <c r="Z71" s="60"/>
      <c r="AA71" s="59">
        <f t="shared" si="43"/>
        <v>2.6325000000000003</v>
      </c>
      <c r="AB71" s="59">
        <f t="shared" si="43"/>
        <v>2.7137743506493512</v>
      </c>
      <c r="AC71" s="234">
        <f t="shared" si="43"/>
        <v>2.8526785714285747</v>
      </c>
      <c r="AD71" s="310">
        <f t="shared" si="43"/>
        <v>3.3432575757575762</v>
      </c>
      <c r="AE71" s="59">
        <f>AVERAGE(AE67:AE70)</f>
        <v>2.380029220779218</v>
      </c>
      <c r="AF71" s="59">
        <f t="shared" ref="AF71:AG71" si="44">AVERAGE(AF67:AF70)</f>
        <v>2.4909639724310715</v>
      </c>
      <c r="AG71" s="311">
        <f t="shared" si="44"/>
        <v>2.7329843073593092</v>
      </c>
      <c r="AH71" s="242">
        <f>AVERAGE(AH67:AH70)</f>
        <v>2.7368087690817937</v>
      </c>
      <c r="AI71" s="269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s="62" customFormat="1" ht="20.25" customHeight="1" collapsed="1" thickBot="1">
      <c r="A72" s="227" t="s">
        <v>74</v>
      </c>
      <c r="B72" s="160"/>
      <c r="C72" s="160"/>
      <c r="D72" s="161"/>
      <c r="E72" s="161"/>
      <c r="F72" s="162"/>
      <c r="G72" s="162"/>
      <c r="H72" s="162"/>
      <c r="I72" s="162"/>
      <c r="J72" s="163"/>
      <c r="K72" s="162"/>
      <c r="L72" s="162"/>
      <c r="M72" s="162"/>
      <c r="N72" s="164">
        <f>N71</f>
        <v>1.6</v>
      </c>
      <c r="O72" s="164">
        <f>O71</f>
        <v>2.0666666666666669</v>
      </c>
      <c r="P72" s="414">
        <f>P71</f>
        <v>3.5</v>
      </c>
      <c r="Q72" s="414">
        <f t="shared" ref="Q72" si="45">Q71</f>
        <v>3.18</v>
      </c>
      <c r="R72" s="414">
        <f>R71</f>
        <v>3.3497727272727289</v>
      </c>
      <c r="S72" s="414">
        <f>S71</f>
        <v>2.4500000000000002</v>
      </c>
      <c r="T72" s="414">
        <f>T71</f>
        <v>2.6066785714285672</v>
      </c>
      <c r="U72" s="414">
        <v>2.1</v>
      </c>
      <c r="V72" s="414">
        <f>V71</f>
        <v>2.6369285714285553</v>
      </c>
      <c r="W72" s="414">
        <f>W71</f>
        <v>2.2523026315789423</v>
      </c>
      <c r="X72" s="164">
        <v>2.7</v>
      </c>
      <c r="Y72" s="164"/>
      <c r="Z72" s="164"/>
      <c r="AA72" s="164">
        <v>2.7</v>
      </c>
      <c r="AB72" s="164">
        <v>3</v>
      </c>
      <c r="AC72" s="229">
        <v>3</v>
      </c>
      <c r="AD72" s="312">
        <f>AVERAGE(P72:R72)</f>
        <v>3.3432575757575762</v>
      </c>
      <c r="AE72" s="164">
        <f>AVERAGE(S72:T72:U72)</f>
        <v>2.3855595238095226</v>
      </c>
      <c r="AF72" s="164">
        <f>AVERAGE(V72:X72)</f>
        <v>2.5297437343358324</v>
      </c>
      <c r="AG72" s="313">
        <f>AVERAGE(AA72:AC72)</f>
        <v>2.9</v>
      </c>
      <c r="AH72" s="242">
        <f>AVERAGE(P72:AC72)</f>
        <v>2.7896402084757326</v>
      </c>
      <c r="AI72" s="270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1"/>
      <c r="CW72" s="61"/>
      <c r="CX72" s="61"/>
      <c r="CY72" s="61"/>
      <c r="CZ72" s="61"/>
      <c r="DA72" s="61"/>
      <c r="DB72" s="61"/>
      <c r="DC72" s="61"/>
      <c r="DD72" s="61"/>
      <c r="DE72" s="61"/>
      <c r="DF72" s="61"/>
      <c r="DG72" s="61"/>
      <c r="DH72" s="61"/>
      <c r="DI72" s="61"/>
      <c r="DJ72" s="61"/>
      <c r="DK72" s="61"/>
      <c r="DL72" s="61"/>
      <c r="DM72" s="61"/>
      <c r="DN72" s="61"/>
      <c r="DO72" s="61"/>
      <c r="DP72" s="61"/>
      <c r="DQ72" s="61"/>
      <c r="DR72" s="61"/>
      <c r="DS72" s="61"/>
      <c r="DT72" s="61"/>
      <c r="DU72" s="61"/>
      <c r="DV72" s="61"/>
      <c r="DW72" s="61"/>
      <c r="DX72" s="61"/>
      <c r="DY72" s="61"/>
      <c r="DZ72" s="61"/>
      <c r="EA72" s="61"/>
      <c r="EB72" s="61"/>
      <c r="EC72" s="61"/>
      <c r="ED72" s="61"/>
      <c r="EE72" s="61"/>
      <c r="EF72" s="61"/>
      <c r="EG72" s="61"/>
      <c r="EH72" s="61"/>
      <c r="EI72" s="61"/>
      <c r="EJ72" s="61"/>
      <c r="EK72" s="61"/>
      <c r="EL72" s="61"/>
      <c r="EM72" s="61"/>
      <c r="EN72" s="61"/>
      <c r="EO72" s="61"/>
      <c r="EP72" s="61"/>
      <c r="EQ72" s="61"/>
      <c r="ER72" s="61"/>
      <c r="ES72" s="61"/>
      <c r="ET72" s="61"/>
      <c r="EU72" s="61"/>
      <c r="EV72" s="61"/>
      <c r="EW72" s="61"/>
      <c r="EX72" s="61"/>
      <c r="EY72" s="61"/>
      <c r="EZ72" s="61"/>
      <c r="FA72" s="61"/>
      <c r="FB72" s="61"/>
      <c r="FC72" s="61"/>
      <c r="FD72" s="61"/>
      <c r="FE72" s="61"/>
      <c r="FF72" s="61"/>
      <c r="FG72" s="61"/>
      <c r="FH72" s="61"/>
      <c r="FI72" s="61"/>
      <c r="FJ72" s="61"/>
      <c r="FK72" s="61"/>
      <c r="FL72" s="61"/>
      <c r="FM72" s="61"/>
      <c r="FN72" s="61"/>
      <c r="FO72" s="61"/>
      <c r="FP72" s="61"/>
      <c r="FQ72" s="61"/>
      <c r="FR72" s="61"/>
      <c r="FS72" s="61"/>
      <c r="FT72" s="61"/>
      <c r="FU72" s="61"/>
      <c r="FV72" s="61"/>
      <c r="FW72" s="61"/>
      <c r="FX72" s="61"/>
      <c r="FY72" s="61"/>
      <c r="FZ72" s="61"/>
      <c r="GA72" s="61"/>
      <c r="GB72" s="61"/>
      <c r="GC72" s="61"/>
      <c r="GD72" s="61"/>
      <c r="GE72" s="61"/>
      <c r="GF72" s="61"/>
      <c r="GG72" s="61"/>
      <c r="GH72" s="61"/>
      <c r="GI72" s="61"/>
      <c r="GJ72" s="61"/>
      <c r="GK72" s="61"/>
      <c r="GL72" s="61"/>
      <c r="GM72" s="61"/>
      <c r="GN72" s="61"/>
      <c r="GO72" s="61"/>
      <c r="GP72" s="61"/>
      <c r="GQ72" s="61"/>
      <c r="GR72" s="61"/>
      <c r="GS72" s="61"/>
      <c r="GT72" s="61"/>
      <c r="GU72" s="61"/>
      <c r="GV72" s="61"/>
      <c r="GW72" s="61"/>
      <c r="GX72" s="61"/>
      <c r="GY72" s="61"/>
      <c r="GZ72" s="61"/>
      <c r="HA72" s="61"/>
      <c r="HB72" s="61"/>
      <c r="HC72" s="61"/>
      <c r="HD72" s="61"/>
      <c r="HE72" s="61"/>
      <c r="HF72" s="61"/>
      <c r="HG72" s="61"/>
      <c r="HH72" s="61"/>
      <c r="HI72" s="61"/>
      <c r="HJ72" s="61"/>
      <c r="HK72" s="61"/>
      <c r="HL72" s="61"/>
      <c r="HM72" s="61"/>
      <c r="HN72" s="61"/>
      <c r="HO72" s="61"/>
      <c r="HP72" s="61"/>
      <c r="HQ72" s="61"/>
      <c r="HR72" s="61"/>
      <c r="HS72" s="61"/>
      <c r="HT72" s="61"/>
      <c r="HU72" s="61"/>
      <c r="HV72" s="61"/>
      <c r="HW72" s="61"/>
      <c r="HX72" s="61"/>
      <c r="HY72" s="61"/>
      <c r="HZ72" s="61"/>
      <c r="IA72" s="61"/>
      <c r="IB72" s="61"/>
      <c r="IC72" s="61"/>
      <c r="ID72" s="61"/>
      <c r="IE72" s="61"/>
      <c r="IF72" s="61"/>
      <c r="IG72" s="61"/>
      <c r="IH72" s="61"/>
      <c r="II72" s="61"/>
      <c r="IJ72" s="61"/>
      <c r="IK72" s="61"/>
      <c r="IL72" s="61"/>
      <c r="IM72" s="61"/>
      <c r="IN72" s="61"/>
      <c r="IO72" s="61"/>
      <c r="IP72" s="61"/>
      <c r="IQ72" s="61"/>
      <c r="IR72" s="61"/>
      <c r="IS72" s="61"/>
      <c r="IT72" s="61"/>
      <c r="IU72" s="61"/>
      <c r="IV72" s="61"/>
      <c r="IW72" s="61"/>
      <c r="IX72" s="61"/>
      <c r="IY72" s="61"/>
      <c r="IZ72" s="61"/>
      <c r="JA72" s="61"/>
      <c r="JB72" s="61"/>
      <c r="JC72" s="61"/>
      <c r="JD72" s="61"/>
      <c r="JE72" s="61"/>
      <c r="JF72" s="61"/>
      <c r="JG72" s="61"/>
      <c r="JH72" s="61"/>
      <c r="JI72" s="61"/>
      <c r="JJ72" s="61"/>
      <c r="JK72" s="61"/>
      <c r="JL72" s="61"/>
      <c r="JM72" s="61"/>
      <c r="JN72" s="61"/>
      <c r="JO72" s="61"/>
      <c r="JP72" s="61"/>
      <c r="JQ72" s="61"/>
      <c r="JR72" s="61"/>
      <c r="JS72" s="61"/>
      <c r="JT72" s="61"/>
      <c r="JU72" s="61"/>
      <c r="JV72" s="61"/>
      <c r="JW72" s="61"/>
      <c r="JX72" s="61"/>
      <c r="JY72" s="61"/>
      <c r="JZ72" s="61"/>
      <c r="KA72" s="61"/>
      <c r="KB72" s="61"/>
      <c r="KC72" s="61"/>
      <c r="KD72" s="61"/>
      <c r="KE72" s="61"/>
      <c r="KF72" s="61"/>
      <c r="KG72" s="61"/>
      <c r="KH72" s="61"/>
      <c r="KI72" s="61"/>
      <c r="KJ72" s="61"/>
      <c r="KK72" s="61"/>
      <c r="KL72" s="61"/>
      <c r="KM72" s="61"/>
      <c r="KN72" s="61"/>
      <c r="KO72" s="61"/>
      <c r="KP72" s="61"/>
      <c r="KQ72" s="61"/>
      <c r="KR72" s="61"/>
      <c r="KS72" s="61"/>
      <c r="KT72" s="61"/>
      <c r="KU72" s="61"/>
      <c r="KV72" s="61"/>
      <c r="KW72" s="61"/>
      <c r="KX72" s="61"/>
      <c r="KY72" s="61"/>
      <c r="KZ72" s="61"/>
      <c r="LA72" s="61"/>
      <c r="LB72" s="61"/>
      <c r="LC72" s="61"/>
      <c r="LD72" s="61"/>
      <c r="LE72" s="61"/>
      <c r="LF72" s="61"/>
      <c r="LG72" s="61"/>
      <c r="LH72" s="61"/>
      <c r="LI72" s="61"/>
      <c r="LJ72" s="61"/>
      <c r="LK72" s="61"/>
      <c r="LL72" s="61"/>
      <c r="LM72" s="61"/>
      <c r="LN72" s="61"/>
      <c r="LO72" s="61"/>
      <c r="LP72" s="61"/>
      <c r="LQ72" s="61"/>
      <c r="LR72" s="61"/>
      <c r="LS72" s="61"/>
      <c r="LT72" s="61"/>
      <c r="LU72" s="61"/>
      <c r="LV72" s="61"/>
      <c r="LW72" s="61"/>
      <c r="LX72" s="61"/>
      <c r="LY72" s="61"/>
      <c r="LZ72" s="61"/>
      <c r="MA72" s="61"/>
      <c r="MB72" s="61"/>
      <c r="MC72" s="61"/>
      <c r="MD72" s="61"/>
      <c r="ME72" s="61"/>
      <c r="MF72" s="61"/>
      <c r="MG72" s="61"/>
      <c r="MH72" s="61"/>
      <c r="MI72" s="61"/>
      <c r="MJ72" s="61"/>
      <c r="MK72" s="61"/>
      <c r="ML72" s="61"/>
      <c r="MM72" s="61"/>
      <c r="MN72" s="61"/>
      <c r="MO72" s="61"/>
      <c r="MP72" s="61"/>
      <c r="MQ72" s="61"/>
      <c r="MR72" s="61"/>
      <c r="MS72" s="61"/>
      <c r="MT72" s="61"/>
    </row>
    <row r="73" spans="1:358" ht="21.5" thickBot="1">
      <c r="A73" s="252"/>
      <c r="F73" s="1"/>
      <c r="G73" s="1"/>
      <c r="H73" s="1"/>
      <c r="I73" s="125"/>
      <c r="K73" s="125">
        <f>K14+K71</f>
        <v>49.5</v>
      </c>
      <c r="L73" s="125">
        <f>L14+L71</f>
        <v>48.35</v>
      </c>
      <c r="M73" s="125">
        <f>M14+M71</f>
        <v>50.26</v>
      </c>
      <c r="N73" s="125"/>
      <c r="O73" s="125"/>
      <c r="P73" s="152"/>
      <c r="Q73" s="152"/>
      <c r="R73" s="406"/>
      <c r="S73" s="406"/>
      <c r="T73" s="406"/>
      <c r="U73" s="406"/>
      <c r="V73" s="406"/>
      <c r="W73" s="406"/>
      <c r="X73" s="406"/>
      <c r="Y73" s="407"/>
      <c r="Z73" s="407"/>
      <c r="AA73" s="406"/>
      <c r="AB73" s="406"/>
      <c r="AC73" s="406"/>
      <c r="AD73" s="406"/>
      <c r="AE73" s="406"/>
      <c r="AF73" s="406"/>
      <c r="AG73" s="406"/>
      <c r="AH73" s="7"/>
    </row>
    <row r="74" spans="1:358" ht="21" customHeight="1" thickBot="1">
      <c r="A74" s="364"/>
      <c r="B74" s="325"/>
      <c r="C74" s="325"/>
      <c r="D74" s="326"/>
      <c r="E74" s="326"/>
      <c r="F74" s="327" t="s">
        <v>4</v>
      </c>
      <c r="G74" s="327" t="s">
        <v>5</v>
      </c>
      <c r="H74" s="327" t="s">
        <v>6</v>
      </c>
      <c r="I74" s="327" t="s">
        <v>7</v>
      </c>
      <c r="J74" s="328" t="s">
        <v>2</v>
      </c>
      <c r="K74" s="327" t="s">
        <v>71</v>
      </c>
      <c r="L74" s="327" t="s">
        <v>72</v>
      </c>
      <c r="M74" s="327" t="s">
        <v>73</v>
      </c>
      <c r="N74" s="327" t="s">
        <v>12</v>
      </c>
      <c r="O74" s="327" t="s">
        <v>13</v>
      </c>
      <c r="P74" s="329" t="s">
        <v>14</v>
      </c>
      <c r="Q74" s="329" t="s">
        <v>15</v>
      </c>
      <c r="R74" s="329" t="s">
        <v>16</v>
      </c>
      <c r="S74" s="329" t="s">
        <v>64</v>
      </c>
      <c r="T74" s="329" t="s">
        <v>65</v>
      </c>
      <c r="U74" s="329" t="s">
        <v>66</v>
      </c>
      <c r="V74" s="329" t="s">
        <v>67</v>
      </c>
      <c r="W74" s="329" t="s">
        <v>68</v>
      </c>
      <c r="X74" s="329" t="s">
        <v>69</v>
      </c>
      <c r="Y74" s="330"/>
      <c r="Z74" s="330"/>
      <c r="AA74" s="329" t="s">
        <v>70</v>
      </c>
      <c r="AB74" s="329" t="s">
        <v>77</v>
      </c>
      <c r="AC74" s="331" t="s">
        <v>78</v>
      </c>
      <c r="AD74" s="332" t="s">
        <v>79</v>
      </c>
      <c r="AE74" s="329" t="s">
        <v>80</v>
      </c>
      <c r="AF74" s="329" t="s">
        <v>81</v>
      </c>
      <c r="AG74" s="329" t="s">
        <v>82</v>
      </c>
      <c r="AH74" s="331">
        <v>2016</v>
      </c>
    </row>
    <row r="75" spans="1:358" ht="17.25" customHeight="1">
      <c r="A75" s="418" t="s">
        <v>225</v>
      </c>
      <c r="B75" s="129" t="s">
        <v>48</v>
      </c>
      <c r="C75" s="129" t="s">
        <v>48</v>
      </c>
      <c r="D75" s="130"/>
      <c r="E75" s="130"/>
      <c r="F75" s="36"/>
      <c r="G75" s="36">
        <v>56.18</v>
      </c>
      <c r="H75" s="36">
        <v>47.690789473684205</v>
      </c>
      <c r="I75" s="36">
        <v>45.375000000000007</v>
      </c>
      <c r="J75" s="36" t="e">
        <f>J14</f>
        <v>#DIV/0!</v>
      </c>
      <c r="K75" s="36">
        <f>K14</f>
        <v>48.3</v>
      </c>
      <c r="L75" s="36">
        <f>L14</f>
        <v>46.85</v>
      </c>
      <c r="M75" s="36">
        <f>M14</f>
        <v>48.634999999999998</v>
      </c>
      <c r="N75" s="36">
        <f>N14</f>
        <v>46.25</v>
      </c>
      <c r="O75" s="36">
        <f t="shared" ref="O75:X75" si="46">O15</f>
        <v>0</v>
      </c>
      <c r="P75" s="36">
        <f t="shared" si="46"/>
        <v>26.81</v>
      </c>
      <c r="Q75" s="36">
        <f t="shared" si="46"/>
        <v>29.30263157894737</v>
      </c>
      <c r="R75" s="36">
        <f t="shared" si="46"/>
        <v>35.141818181818174</v>
      </c>
      <c r="S75" s="36">
        <f t="shared" si="46"/>
        <v>39.03</v>
      </c>
      <c r="T75" s="36">
        <f t="shared" si="46"/>
        <v>44.268571428571427</v>
      </c>
      <c r="U75" s="36">
        <f t="shared" si="46"/>
        <v>46.4</v>
      </c>
      <c r="V75" s="36">
        <f t="shared" si="46"/>
        <v>42.464500000000008</v>
      </c>
      <c r="W75" s="36">
        <f t="shared" si="46"/>
        <v>43.398947368421048</v>
      </c>
      <c r="X75" s="36">
        <f t="shared" si="46"/>
        <v>45</v>
      </c>
      <c r="Y75" s="36"/>
      <c r="Z75" s="36"/>
      <c r="AA75" s="36">
        <f t="shared" ref="AA75:AG75" si="47">AA15</f>
        <v>45.5</v>
      </c>
      <c r="AB75" s="36">
        <f t="shared" si="47"/>
        <v>46</v>
      </c>
      <c r="AC75" s="322">
        <f t="shared" si="47"/>
        <v>46.5</v>
      </c>
      <c r="AD75" s="319">
        <f t="shared" si="47"/>
        <v>30.418149920255178</v>
      </c>
      <c r="AE75" s="258">
        <f t="shared" si="47"/>
        <v>43.232857142857142</v>
      </c>
      <c r="AF75" s="258">
        <f t="shared" si="47"/>
        <v>43.621149122807019</v>
      </c>
      <c r="AG75" s="258">
        <f t="shared" si="47"/>
        <v>46</v>
      </c>
      <c r="AH75" s="334">
        <f t="shared" ref="AH75:AH81" si="48">AVERAGE(P75:AC75)</f>
        <v>40.818039046479832</v>
      </c>
    </row>
    <row r="76" spans="1:358" ht="18.5">
      <c r="A76" s="419" t="s">
        <v>226</v>
      </c>
      <c r="B76" s="129" t="s">
        <v>49</v>
      </c>
      <c r="C76" s="129" t="s">
        <v>49</v>
      </c>
      <c r="D76" s="130"/>
      <c r="E76" s="130"/>
      <c r="F76" s="36"/>
      <c r="G76" s="36">
        <v>53.145899999999997</v>
      </c>
      <c r="H76" s="36">
        <v>45.764210526315786</v>
      </c>
      <c r="I76" s="36">
        <v>46.804999999999993</v>
      </c>
      <c r="J76" s="36" t="e">
        <f>J14+#REF!</f>
        <v>#DIV/0!</v>
      </c>
      <c r="K76" s="36" t="e">
        <f>K14+#REF!</f>
        <v>#REF!</v>
      </c>
      <c r="L76" s="36" t="e">
        <f>L14+#REF!</f>
        <v>#REF!</v>
      </c>
      <c r="M76" s="36">
        <f>M14+M23</f>
        <v>50.059999999999995</v>
      </c>
      <c r="N76" s="36">
        <f>N14+N24</f>
        <v>50.125</v>
      </c>
      <c r="O76" s="36">
        <f t="shared" ref="O76:X76" si="49">O15+O24</f>
        <v>6</v>
      </c>
      <c r="P76" s="36">
        <f t="shared" si="49"/>
        <v>36.599999999999994</v>
      </c>
      <c r="Q76" s="36">
        <f t="shared" si="49"/>
        <v>33.877894736842109</v>
      </c>
      <c r="R76" s="36">
        <f t="shared" si="49"/>
        <v>39.004090909090912</v>
      </c>
      <c r="S76" s="36">
        <f t="shared" si="49"/>
        <v>42.36</v>
      </c>
      <c r="T76" s="36">
        <f t="shared" si="49"/>
        <v>44.036666666666669</v>
      </c>
      <c r="U76" s="36">
        <f t="shared" si="49"/>
        <v>45.6</v>
      </c>
      <c r="V76" s="36">
        <f t="shared" si="49"/>
        <v>41.631000000000007</v>
      </c>
      <c r="W76" s="36">
        <f t="shared" si="49"/>
        <v>39.568947368421064</v>
      </c>
      <c r="X76" s="36">
        <f t="shared" si="49"/>
        <v>41.8</v>
      </c>
      <c r="Y76" s="36"/>
      <c r="Z76" s="36"/>
      <c r="AA76" s="36">
        <f t="shared" ref="AA76:AG76" si="50">AA15+AA24</f>
        <v>43.5</v>
      </c>
      <c r="AB76" s="36">
        <f t="shared" si="50"/>
        <v>46</v>
      </c>
      <c r="AC76" s="322">
        <f t="shared" si="50"/>
        <v>47</v>
      </c>
      <c r="AD76" s="319">
        <f t="shared" si="50"/>
        <v>36.493995215311003</v>
      </c>
      <c r="AE76" s="258">
        <f t="shared" si="50"/>
        <v>43.998888888888892</v>
      </c>
      <c r="AF76" s="258">
        <f t="shared" si="50"/>
        <v>40.999982456140359</v>
      </c>
      <c r="AG76" s="258">
        <f t="shared" si="50"/>
        <v>45.5</v>
      </c>
      <c r="AH76" s="334">
        <f t="shared" si="48"/>
        <v>41.748216640085062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5">
      <c r="A77" s="419" t="s">
        <v>227</v>
      </c>
      <c r="B77" s="129">
        <v>95</v>
      </c>
      <c r="C77" s="129">
        <v>95</v>
      </c>
      <c r="D77" s="130"/>
      <c r="E77" s="130"/>
      <c r="F77" s="36"/>
      <c r="G77" s="36">
        <v>75.946299999999994</v>
      </c>
      <c r="H77" s="36">
        <v>66.004736842105288</v>
      </c>
      <c r="I77" s="36">
        <v>65.236000000000004</v>
      </c>
      <c r="J77" s="36" t="e">
        <f>J32+J14</f>
        <v>#DIV/0!</v>
      </c>
      <c r="K77" s="36">
        <f>K32+K14</f>
        <v>64.782499999999999</v>
      </c>
      <c r="L77" s="36">
        <f>L32+L14</f>
        <v>64.099999999999994</v>
      </c>
      <c r="M77" s="36">
        <f>M32+M14</f>
        <v>65.007499999999993</v>
      </c>
      <c r="N77" s="36">
        <f>N33+N14</f>
        <v>62.0625</v>
      </c>
      <c r="O77" s="36">
        <f t="shared" ref="O77:X77" si="51">O33+O15</f>
        <v>17.5</v>
      </c>
      <c r="P77" s="36">
        <f t="shared" si="51"/>
        <v>50.42</v>
      </c>
      <c r="Q77" s="36">
        <f t="shared" si="51"/>
        <v>44.510526315789477</v>
      </c>
      <c r="R77" s="36">
        <f t="shared" si="51"/>
        <v>52.771818181818183</v>
      </c>
      <c r="S77" s="36">
        <f t="shared" si="51"/>
        <v>54.59</v>
      </c>
      <c r="T77" s="36">
        <f t="shared" si="51"/>
        <v>59.165238095238095</v>
      </c>
      <c r="U77" s="36">
        <f t="shared" si="51"/>
        <v>59.4</v>
      </c>
      <c r="V77" s="36">
        <f t="shared" si="51"/>
        <v>51.939</v>
      </c>
      <c r="W77" s="36">
        <f t="shared" si="51"/>
        <v>53.525263157894742</v>
      </c>
      <c r="X77" s="36">
        <f t="shared" si="51"/>
        <v>56.3</v>
      </c>
      <c r="Y77" s="36"/>
      <c r="Z77" s="36"/>
      <c r="AA77" s="36">
        <f t="shared" ref="AA77:AG77" si="52">AA33+AA15</f>
        <v>57.25</v>
      </c>
      <c r="AB77" s="36">
        <f t="shared" si="52"/>
        <v>57</v>
      </c>
      <c r="AC77" s="322">
        <f t="shared" si="52"/>
        <v>57</v>
      </c>
      <c r="AD77" s="319">
        <f t="shared" si="52"/>
        <v>49.23411483253588</v>
      </c>
      <c r="AE77" s="258">
        <f t="shared" si="52"/>
        <v>57.718412698412699</v>
      </c>
      <c r="AF77" s="258">
        <f t="shared" si="52"/>
        <v>53.92142105263158</v>
      </c>
      <c r="AG77" s="258">
        <f t="shared" si="52"/>
        <v>57.083333333333336</v>
      </c>
      <c r="AH77" s="334">
        <f t="shared" si="48"/>
        <v>54.489320479228375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5">
      <c r="A78" s="419" t="s">
        <v>228</v>
      </c>
      <c r="B78" s="129" t="s">
        <v>50</v>
      </c>
      <c r="C78" s="129" t="s">
        <v>50</v>
      </c>
      <c r="D78" s="133"/>
      <c r="E78" s="133"/>
      <c r="F78" s="36"/>
      <c r="G78" s="36">
        <v>65.808999999999997</v>
      </c>
      <c r="H78" s="36">
        <v>57.075789473684203</v>
      </c>
      <c r="I78" s="36">
        <v>58.993499999999997</v>
      </c>
      <c r="J78" s="36" t="e">
        <f>J41+J14</f>
        <v>#DIV/0!</v>
      </c>
      <c r="K78" s="36">
        <f>K41+K14</f>
        <v>61.41</v>
      </c>
      <c r="L78" s="36">
        <f>L41+L14</f>
        <v>60.285000000000004</v>
      </c>
      <c r="M78" s="36">
        <f>M41+M14</f>
        <v>61.98</v>
      </c>
      <c r="N78" s="36">
        <f>N42+N14</f>
        <v>60.48</v>
      </c>
      <c r="O78" s="36">
        <f t="shared" ref="O78:X78" si="53">O42+O15</f>
        <v>15.6</v>
      </c>
      <c r="P78" s="36">
        <f t="shared" si="53"/>
        <v>37.909999999999997</v>
      </c>
      <c r="Q78" s="36">
        <f t="shared" si="53"/>
        <v>41.013684210526321</v>
      </c>
      <c r="R78" s="36">
        <f t="shared" si="53"/>
        <v>47.38</v>
      </c>
      <c r="S78" s="36">
        <f t="shared" si="53"/>
        <v>49.53</v>
      </c>
      <c r="T78" s="36">
        <f t="shared" si="53"/>
        <v>55.170000000000009</v>
      </c>
      <c r="U78" s="36">
        <f t="shared" si="53"/>
        <v>58.3</v>
      </c>
      <c r="V78" s="36">
        <f t="shared" si="53"/>
        <v>54.385000000000005</v>
      </c>
      <c r="W78" s="36">
        <f t="shared" si="53"/>
        <v>53.115263157894745</v>
      </c>
      <c r="X78" s="36">
        <f t="shared" si="53"/>
        <v>55.5</v>
      </c>
      <c r="Y78" s="36"/>
      <c r="Z78" s="36"/>
      <c r="AA78" s="36">
        <f t="shared" ref="AA78:AG78" si="54">AA42+AA15</f>
        <v>56.8</v>
      </c>
      <c r="AB78" s="36">
        <f t="shared" si="54"/>
        <v>58.2</v>
      </c>
      <c r="AC78" s="322">
        <f t="shared" si="54"/>
        <v>59.25</v>
      </c>
      <c r="AD78" s="319">
        <f t="shared" si="54"/>
        <v>42.101228070175438</v>
      </c>
      <c r="AE78" s="258">
        <f t="shared" si="54"/>
        <v>54.333333333333336</v>
      </c>
      <c r="AF78" s="258">
        <f t="shared" si="54"/>
        <v>54.333421052631586</v>
      </c>
      <c r="AG78" s="258">
        <f t="shared" si="54"/>
        <v>58.083333333333336</v>
      </c>
      <c r="AH78" s="334">
        <f t="shared" si="48"/>
        <v>52.212828947368422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5">
      <c r="A79" s="419" t="s">
        <v>229</v>
      </c>
      <c r="B79" s="129" t="s">
        <v>51</v>
      </c>
      <c r="C79" s="129" t="s">
        <v>51</v>
      </c>
      <c r="D79" s="130"/>
      <c r="E79" s="130"/>
      <c r="F79" s="36"/>
      <c r="G79" s="36">
        <v>65.069999999999993</v>
      </c>
      <c r="H79" s="36">
        <v>57.116315789473688</v>
      </c>
      <c r="I79" s="36">
        <v>59.478000000000009</v>
      </c>
      <c r="J79" s="36" t="e">
        <f>J53+J14</f>
        <v>#DIV/0!</v>
      </c>
      <c r="K79" s="36">
        <f>K53+K14</f>
        <v>61.65</v>
      </c>
      <c r="L79" s="36">
        <f>L53+L14</f>
        <v>60.6</v>
      </c>
      <c r="M79" s="36">
        <f>M53+M14</f>
        <v>61.704999999999998</v>
      </c>
      <c r="N79" s="36">
        <f>N54+N14</f>
        <v>60.28</v>
      </c>
      <c r="O79" s="36">
        <f t="shared" ref="O79:X79" si="55">O54+O15</f>
        <v>14.15</v>
      </c>
      <c r="P79" s="36">
        <f t="shared" si="55"/>
        <v>36.15</v>
      </c>
      <c r="Q79" s="36">
        <f t="shared" si="55"/>
        <v>38.462631578947367</v>
      </c>
      <c r="R79" s="36">
        <f t="shared" si="55"/>
        <v>45.517727272727271</v>
      </c>
      <c r="S79" s="36">
        <f t="shared" si="55"/>
        <v>48.08</v>
      </c>
      <c r="T79" s="36">
        <f t="shared" si="55"/>
        <v>54.851904761904777</v>
      </c>
      <c r="U79" s="36">
        <f t="shared" si="55"/>
        <v>58.099999999999994</v>
      </c>
      <c r="V79" s="36">
        <f t="shared" si="55"/>
        <v>54.279999999999987</v>
      </c>
      <c r="W79" s="36">
        <f t="shared" si="55"/>
        <v>53.107894736842105</v>
      </c>
      <c r="X79" s="36">
        <f t="shared" si="55"/>
        <v>55.5</v>
      </c>
      <c r="Y79" s="36"/>
      <c r="Z79" s="36"/>
      <c r="AA79" s="36">
        <f t="shared" ref="AA79:AG79" si="56">AA54+AA15</f>
        <v>56.5</v>
      </c>
      <c r="AB79" s="36">
        <f t="shared" si="56"/>
        <v>57.5</v>
      </c>
      <c r="AC79" s="322">
        <f t="shared" si="56"/>
        <v>58.25</v>
      </c>
      <c r="AD79" s="319">
        <f t="shared" si="56"/>
        <v>40.043452950558212</v>
      </c>
      <c r="AE79" s="258">
        <f t="shared" si="56"/>
        <v>53.677301587301592</v>
      </c>
      <c r="AF79" s="258">
        <f t="shared" si="56"/>
        <v>54.295964912280695</v>
      </c>
      <c r="AG79" s="258">
        <f t="shared" si="56"/>
        <v>57.416666666666664</v>
      </c>
      <c r="AH79" s="334">
        <f t="shared" si="48"/>
        <v>51.358346529201789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8.5">
      <c r="A80" s="419" t="s">
        <v>230</v>
      </c>
      <c r="B80" s="129" t="s">
        <v>52</v>
      </c>
      <c r="C80" s="129" t="s">
        <v>52</v>
      </c>
      <c r="D80" s="130"/>
      <c r="E80" s="130"/>
      <c r="F80" s="134"/>
      <c r="G80" s="134">
        <v>48.747959921259849</v>
      </c>
      <c r="H80" s="134">
        <v>38.740489017820138</v>
      </c>
      <c r="I80" s="134">
        <v>37.475669291338583</v>
      </c>
      <c r="J80" s="134" t="e">
        <f>(J62+J14)*6.35</f>
        <v>#DIV/0!</v>
      </c>
      <c r="K80" s="134">
        <f>(K62+K14)*6.35</f>
        <v>254.92074999999997</v>
      </c>
      <c r="L80" s="134">
        <f>(L62+L14)*6.35</f>
        <v>245.71324999999999</v>
      </c>
      <c r="M80" s="134">
        <f>(M62+M14)*6.35</f>
        <v>255.93674999999999</v>
      </c>
      <c r="N80" s="134">
        <f>(N63+N14)*6.35</f>
        <v>249.76137499999996</v>
      </c>
      <c r="O80" s="134">
        <f t="shared" ref="O80:X80" si="57">(O63+O15)*6.35</f>
        <v>-42.756666666666668</v>
      </c>
      <c r="P80" s="134">
        <f t="shared" si="57"/>
        <v>150.36799999999999</v>
      </c>
      <c r="Q80" s="134">
        <f t="shared" si="57"/>
        <v>153.81371052631579</v>
      </c>
      <c r="R80" s="134">
        <f t="shared" si="57"/>
        <v>176.7890909090909</v>
      </c>
      <c r="S80" s="134">
        <f t="shared" si="57"/>
        <v>192.15100000000001</v>
      </c>
      <c r="T80" s="134">
        <f t="shared" si="57"/>
        <v>223.49809523809523</v>
      </c>
      <c r="U80" s="134">
        <f t="shared" si="57"/>
        <v>238.75999999999996</v>
      </c>
      <c r="V80" s="134">
        <f t="shared" si="57"/>
        <v>242.05499999999995</v>
      </c>
      <c r="W80" s="134">
        <f t="shared" si="57"/>
        <v>239.62894736842108</v>
      </c>
      <c r="X80" s="134">
        <f t="shared" si="57"/>
        <v>247.64999999999998</v>
      </c>
      <c r="Y80" s="134"/>
      <c r="Z80" s="134"/>
      <c r="AA80" s="134">
        <f t="shared" ref="AA80:AG80" si="58">(AA63+AA15)*6.35</f>
        <v>247.64999999999998</v>
      </c>
      <c r="AB80" s="134">
        <f t="shared" si="58"/>
        <v>247.64999999999998</v>
      </c>
      <c r="AC80" s="323">
        <f t="shared" si="58"/>
        <v>252.72999999999996</v>
      </c>
      <c r="AD80" s="320">
        <f t="shared" si="58"/>
        <v>160.32360047846888</v>
      </c>
      <c r="AE80" s="259">
        <f t="shared" si="58"/>
        <v>218.13636507936508</v>
      </c>
      <c r="AF80" s="259">
        <f t="shared" si="58"/>
        <v>243.11131578947368</v>
      </c>
      <c r="AG80" s="259">
        <f t="shared" si="58"/>
        <v>249.34333333333331</v>
      </c>
      <c r="AH80" s="334">
        <f t="shared" si="48"/>
        <v>217.72865367016027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19" thickBot="1">
      <c r="A81" s="420" t="s">
        <v>231</v>
      </c>
      <c r="B81" s="336" t="s">
        <v>53</v>
      </c>
      <c r="C81" s="336" t="s">
        <v>53</v>
      </c>
      <c r="D81" s="337"/>
      <c r="E81" s="337"/>
      <c r="F81" s="338"/>
      <c r="G81" s="338"/>
      <c r="H81" s="338"/>
      <c r="I81" s="338"/>
      <c r="J81" s="338" t="e">
        <f>J71</f>
        <v>#DIV/0!</v>
      </c>
      <c r="K81" s="338">
        <f t="shared" ref="K81:L81" si="59">K71</f>
        <v>1.2</v>
      </c>
      <c r="L81" s="338">
        <f t="shared" si="59"/>
        <v>1.5</v>
      </c>
      <c r="M81" s="338">
        <f>M71</f>
        <v>1.625</v>
      </c>
      <c r="N81" s="338">
        <f t="shared" ref="N81:X81" si="60">N72+N15</f>
        <v>47.85</v>
      </c>
      <c r="O81" s="338">
        <f t="shared" si="60"/>
        <v>2.0666666666666669</v>
      </c>
      <c r="P81" s="338">
        <f t="shared" si="60"/>
        <v>30.31</v>
      </c>
      <c r="Q81" s="338">
        <f t="shared" si="60"/>
        <v>32.48263157894737</v>
      </c>
      <c r="R81" s="338">
        <f t="shared" si="60"/>
        <v>38.491590909090903</v>
      </c>
      <c r="S81" s="338">
        <f t="shared" si="60"/>
        <v>41.480000000000004</v>
      </c>
      <c r="T81" s="338">
        <f t="shared" si="60"/>
        <v>46.875249999999994</v>
      </c>
      <c r="U81" s="338">
        <f t="shared" si="60"/>
        <v>48.5</v>
      </c>
      <c r="V81" s="338">
        <f t="shared" si="60"/>
        <v>45.101428571428563</v>
      </c>
      <c r="W81" s="338">
        <f t="shared" si="60"/>
        <v>45.65124999999999</v>
      </c>
      <c r="X81" s="338">
        <f t="shared" si="60"/>
        <v>47.7</v>
      </c>
      <c r="Y81" s="338"/>
      <c r="Z81" s="338"/>
      <c r="AA81" s="338">
        <f t="shared" ref="AA81:AG81" si="61">AA72+AA15</f>
        <v>48.2</v>
      </c>
      <c r="AB81" s="338">
        <f t="shared" si="61"/>
        <v>49</v>
      </c>
      <c r="AC81" s="339">
        <f t="shared" si="61"/>
        <v>49.5</v>
      </c>
      <c r="AD81" s="340">
        <f t="shared" si="61"/>
        <v>33.761407496012751</v>
      </c>
      <c r="AE81" s="341">
        <f t="shared" si="61"/>
        <v>45.618416666666661</v>
      </c>
      <c r="AF81" s="341">
        <f t="shared" si="61"/>
        <v>46.15089285714285</v>
      </c>
      <c r="AG81" s="341">
        <f t="shared" si="61"/>
        <v>48.9</v>
      </c>
      <c r="AH81" s="342">
        <f t="shared" si="48"/>
        <v>43.607679254955571</v>
      </c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21.5" thickBot="1">
      <c r="A82" s="199"/>
      <c r="F82" s="135"/>
      <c r="G82" s="135"/>
      <c r="H82" s="135"/>
      <c r="I82" s="135"/>
      <c r="K82" s="135"/>
      <c r="L82" s="135"/>
      <c r="M82" s="135"/>
      <c r="N82" s="135"/>
      <c r="O82" s="135"/>
      <c r="P82" s="403"/>
      <c r="Q82" s="403"/>
      <c r="R82" s="404"/>
      <c r="S82" s="404"/>
      <c r="T82" s="404"/>
      <c r="U82" s="404"/>
      <c r="V82" s="404"/>
      <c r="W82" s="404"/>
      <c r="X82" s="404"/>
      <c r="Y82" s="405"/>
      <c r="Z82" s="405"/>
      <c r="AA82" s="404"/>
      <c r="AB82" s="404"/>
      <c r="AC82" s="404"/>
      <c r="AD82" s="137"/>
      <c r="AE82" s="137"/>
      <c r="AF82" s="137"/>
      <c r="AG82" s="137"/>
      <c r="AH82" s="7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32.4" customHeight="1">
      <c r="A83" s="332" t="s">
        <v>232</v>
      </c>
      <c r="B83" s="343" t="s">
        <v>54</v>
      </c>
      <c r="C83" s="343" t="s">
        <v>54</v>
      </c>
      <c r="D83" s="344"/>
      <c r="E83" s="344"/>
      <c r="F83" s="329" t="s">
        <v>4</v>
      </c>
      <c r="G83" s="329" t="s">
        <v>5</v>
      </c>
      <c r="H83" s="329" t="s">
        <v>6</v>
      </c>
      <c r="I83" s="329" t="s">
        <v>7</v>
      </c>
      <c r="J83" s="328" t="s">
        <v>2</v>
      </c>
      <c r="K83" s="329" t="s">
        <v>9</v>
      </c>
      <c r="L83" s="329" t="s">
        <v>9</v>
      </c>
      <c r="M83" s="329" t="s">
        <v>9</v>
      </c>
      <c r="N83" s="329" t="s">
        <v>12</v>
      </c>
      <c r="O83" s="329" t="s">
        <v>13</v>
      </c>
      <c r="P83" s="329" t="s">
        <v>14</v>
      </c>
      <c r="Q83" s="329" t="s">
        <v>15</v>
      </c>
      <c r="R83" s="329" t="s">
        <v>16</v>
      </c>
      <c r="S83" s="329" t="s">
        <v>64</v>
      </c>
      <c r="T83" s="329" t="s">
        <v>65</v>
      </c>
      <c r="U83" s="329" t="s">
        <v>66</v>
      </c>
      <c r="V83" s="329" t="s">
        <v>67</v>
      </c>
      <c r="W83" s="329" t="s">
        <v>68</v>
      </c>
      <c r="X83" s="329" t="s">
        <v>69</v>
      </c>
      <c r="Y83" s="330"/>
      <c r="Z83" s="330"/>
      <c r="AA83" s="329" t="s">
        <v>70</v>
      </c>
      <c r="AB83" s="329" t="s">
        <v>77</v>
      </c>
      <c r="AC83" s="331" t="s">
        <v>78</v>
      </c>
      <c r="AD83" s="332" t="s">
        <v>79</v>
      </c>
      <c r="AE83" s="329" t="s">
        <v>80</v>
      </c>
      <c r="AF83" s="329" t="s">
        <v>81</v>
      </c>
      <c r="AG83" s="329" t="s">
        <v>82</v>
      </c>
      <c r="AH83" s="331">
        <v>2016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56</v>
      </c>
      <c r="B84" s="138" t="s">
        <v>56</v>
      </c>
      <c r="C84" s="138" t="s">
        <v>56</v>
      </c>
      <c r="D84" s="142"/>
      <c r="E84" s="142"/>
      <c r="F84" s="143">
        <f t="shared" ref="F84" si="62">F75</f>
        <v>0</v>
      </c>
      <c r="G84" s="143">
        <f>G75</f>
        <v>56.18</v>
      </c>
      <c r="H84" s="143">
        <f t="shared" ref="H84" si="63">H75</f>
        <v>47.690789473684205</v>
      </c>
      <c r="I84" s="143">
        <f>I75</f>
        <v>45.375000000000007</v>
      </c>
      <c r="J84" s="143" t="e">
        <f>J75</f>
        <v>#DIV/0!</v>
      </c>
      <c r="K84" s="143">
        <f t="shared" ref="K84:L84" si="64">K75</f>
        <v>48.3</v>
      </c>
      <c r="L84" s="143">
        <f t="shared" si="64"/>
        <v>46.85</v>
      </c>
      <c r="M84" s="143">
        <f>M75</f>
        <v>48.634999999999998</v>
      </c>
      <c r="N84" s="143">
        <f>N75</f>
        <v>46.25</v>
      </c>
      <c r="O84" s="143">
        <f>O75</f>
        <v>0</v>
      </c>
      <c r="P84" s="143">
        <f>P75</f>
        <v>26.81</v>
      </c>
      <c r="Q84" s="143">
        <f>Q75</f>
        <v>29.30263157894737</v>
      </c>
      <c r="R84" s="143">
        <f t="shared" ref="R84:AG84" si="65">R75</f>
        <v>35.141818181818174</v>
      </c>
      <c r="S84" s="143">
        <f t="shared" si="65"/>
        <v>39.03</v>
      </c>
      <c r="T84" s="143">
        <f>T75</f>
        <v>44.268571428571427</v>
      </c>
      <c r="U84" s="143">
        <f t="shared" si="65"/>
        <v>46.4</v>
      </c>
      <c r="V84" s="143">
        <f t="shared" si="65"/>
        <v>42.464500000000008</v>
      </c>
      <c r="W84" s="143">
        <f t="shared" si="65"/>
        <v>43.398947368421048</v>
      </c>
      <c r="X84" s="143">
        <f t="shared" si="65"/>
        <v>45</v>
      </c>
      <c r="Y84" s="361"/>
      <c r="Z84" s="361"/>
      <c r="AA84" s="143">
        <f t="shared" si="65"/>
        <v>45.5</v>
      </c>
      <c r="AB84" s="143">
        <f t="shared" si="65"/>
        <v>46</v>
      </c>
      <c r="AC84" s="353">
        <f t="shared" si="65"/>
        <v>46.5</v>
      </c>
      <c r="AD84" s="321">
        <f t="shared" si="65"/>
        <v>30.418149920255178</v>
      </c>
      <c r="AE84" s="260">
        <f t="shared" si="65"/>
        <v>43.232857142857142</v>
      </c>
      <c r="AF84" s="260">
        <f t="shared" si="65"/>
        <v>43.621149122807019</v>
      </c>
      <c r="AG84" s="260">
        <f t="shared" si="65"/>
        <v>46</v>
      </c>
      <c r="AH84" s="334">
        <f t="shared" ref="AH84:AH90" si="66">AVERAGE(P84:AC84)</f>
        <v>40.818039046479832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57</v>
      </c>
      <c r="B85" s="138" t="s">
        <v>57</v>
      </c>
      <c r="C85" s="138" t="s">
        <v>57</v>
      </c>
      <c r="D85" s="142"/>
      <c r="E85" s="142"/>
      <c r="F85" s="143">
        <f t="shared" ref="F85" si="67">F76-F75</f>
        <v>0</v>
      </c>
      <c r="G85" s="143">
        <f>G76-G75</f>
        <v>-3.0341000000000022</v>
      </c>
      <c r="H85" s="143">
        <f t="shared" ref="H85" si="68">H76-H75</f>
        <v>-1.9265789473684194</v>
      </c>
      <c r="I85" s="143">
        <f>I76-I75</f>
        <v>1.4299999999999855</v>
      </c>
      <c r="J85" s="143" t="e">
        <f>J76-J75</f>
        <v>#DIV/0!</v>
      </c>
      <c r="K85" s="143" t="e">
        <f t="shared" ref="K85:L85" si="69">K76-K75</f>
        <v>#REF!</v>
      </c>
      <c r="L85" s="143" t="e">
        <f t="shared" si="69"/>
        <v>#REF!</v>
      </c>
      <c r="M85" s="143">
        <f>M76-M75</f>
        <v>1.4249999999999972</v>
      </c>
      <c r="N85" s="143">
        <f>N76-N75</f>
        <v>3.875</v>
      </c>
      <c r="O85" s="143">
        <f>O76-O75</f>
        <v>6</v>
      </c>
      <c r="P85" s="143">
        <f>P76-P75</f>
        <v>9.7899999999999956</v>
      </c>
      <c r="Q85" s="143">
        <f>Q76-Q75</f>
        <v>4.5752631578947387</v>
      </c>
      <c r="R85" s="143">
        <f t="shared" ref="R85:AG85" si="70">R76-R75</f>
        <v>3.8622727272727388</v>
      </c>
      <c r="S85" s="143">
        <f t="shared" si="70"/>
        <v>3.3299999999999983</v>
      </c>
      <c r="T85" s="143">
        <f>T76-T75</f>
        <v>-0.23190476190475806</v>
      </c>
      <c r="U85" s="143">
        <f t="shared" si="70"/>
        <v>-0.79999999999999716</v>
      </c>
      <c r="V85" s="143">
        <f t="shared" si="70"/>
        <v>-0.8335000000000008</v>
      </c>
      <c r="W85" s="143">
        <f t="shared" si="70"/>
        <v>-3.8299999999999841</v>
      </c>
      <c r="X85" s="143">
        <f t="shared" si="70"/>
        <v>-3.2000000000000028</v>
      </c>
      <c r="Y85" s="361"/>
      <c r="Z85" s="361"/>
      <c r="AA85" s="143">
        <f t="shared" si="70"/>
        <v>-2</v>
      </c>
      <c r="AB85" s="143">
        <f t="shared" si="70"/>
        <v>0</v>
      </c>
      <c r="AC85" s="353">
        <f t="shared" si="70"/>
        <v>0.5</v>
      </c>
      <c r="AD85" s="321">
        <f t="shared" si="70"/>
        <v>6.0758452950558244</v>
      </c>
      <c r="AE85" s="260">
        <f t="shared" si="70"/>
        <v>0.76603174603175006</v>
      </c>
      <c r="AF85" s="260">
        <f t="shared" si="70"/>
        <v>-2.6211666666666602</v>
      </c>
      <c r="AG85" s="260">
        <f t="shared" si="70"/>
        <v>-0.5</v>
      </c>
      <c r="AH85" s="334">
        <f t="shared" si="66"/>
        <v>0.93017759360522734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58</v>
      </c>
      <c r="B86" s="138" t="s">
        <v>58</v>
      </c>
      <c r="C86" s="138" t="s">
        <v>58</v>
      </c>
      <c r="D86" s="142"/>
      <c r="E86" s="142"/>
      <c r="F86" s="143">
        <f t="shared" ref="F86" si="71">F77-F75</f>
        <v>0</v>
      </c>
      <c r="G86" s="143">
        <f>G77-G75</f>
        <v>19.766299999999994</v>
      </c>
      <c r="H86" s="143">
        <f t="shared" ref="H86" si="72">H77-H75</f>
        <v>18.313947368421083</v>
      </c>
      <c r="I86" s="143">
        <f>I77-I75</f>
        <v>19.860999999999997</v>
      </c>
      <c r="J86" s="143" t="e">
        <f>J77-J75</f>
        <v>#DIV/0!</v>
      </c>
      <c r="K86" s="143">
        <f t="shared" ref="K86:M86" si="73">K77-K75</f>
        <v>16.482500000000002</v>
      </c>
      <c r="L86" s="143">
        <f t="shared" si="73"/>
        <v>17.249999999999993</v>
      </c>
      <c r="M86" s="143">
        <f t="shared" si="73"/>
        <v>16.372499999999995</v>
      </c>
      <c r="N86" s="143">
        <f>N77-N75</f>
        <v>15.8125</v>
      </c>
      <c r="O86" s="143">
        <f>O77-O75</f>
        <v>17.5</v>
      </c>
      <c r="P86" s="143">
        <f>P77-P75</f>
        <v>23.610000000000003</v>
      </c>
      <c r="Q86" s="143">
        <f t="shared" ref="Q86" si="74">Q77-Q75</f>
        <v>15.207894736842107</v>
      </c>
      <c r="R86" s="143">
        <f>R77-R75</f>
        <v>17.63000000000001</v>
      </c>
      <c r="S86" s="143">
        <f t="shared" ref="S86:AG86" si="75">S77-S75</f>
        <v>15.560000000000002</v>
      </c>
      <c r="T86" s="143">
        <f>T77-T75</f>
        <v>14.896666666666668</v>
      </c>
      <c r="U86" s="143">
        <f t="shared" si="75"/>
        <v>13</v>
      </c>
      <c r="V86" s="143">
        <f t="shared" si="75"/>
        <v>9.4744999999999919</v>
      </c>
      <c r="W86" s="143">
        <f t="shared" si="75"/>
        <v>10.126315789473693</v>
      </c>
      <c r="X86" s="143">
        <f t="shared" si="75"/>
        <v>11.299999999999997</v>
      </c>
      <c r="Y86" s="361"/>
      <c r="Z86" s="361"/>
      <c r="AA86" s="143">
        <f t="shared" si="75"/>
        <v>11.75</v>
      </c>
      <c r="AB86" s="143">
        <f t="shared" si="75"/>
        <v>11</v>
      </c>
      <c r="AC86" s="353">
        <f t="shared" si="75"/>
        <v>10.5</v>
      </c>
      <c r="AD86" s="321">
        <f t="shared" si="75"/>
        <v>18.815964912280702</v>
      </c>
      <c r="AE86" s="260">
        <f t="shared" si="75"/>
        <v>14.485555555555557</v>
      </c>
      <c r="AF86" s="260">
        <f t="shared" si="75"/>
        <v>10.300271929824561</v>
      </c>
      <c r="AG86" s="260">
        <f t="shared" si="75"/>
        <v>11.083333333333336</v>
      </c>
      <c r="AH86" s="334">
        <f t="shared" si="66"/>
        <v>13.671281432748538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59</v>
      </c>
      <c r="B87" s="138" t="s">
        <v>59</v>
      </c>
      <c r="C87" s="138" t="s">
        <v>59</v>
      </c>
      <c r="D87" s="142"/>
      <c r="E87" s="142"/>
      <c r="F87" s="143">
        <f t="shared" ref="F87" si="76">F78-F75</f>
        <v>0</v>
      </c>
      <c r="G87" s="143">
        <f>G78-G75</f>
        <v>9.6289999999999978</v>
      </c>
      <c r="H87" s="143">
        <f t="shared" ref="H87" si="77">H78-H75</f>
        <v>9.384999999999998</v>
      </c>
      <c r="I87" s="143">
        <f>I78-I75</f>
        <v>13.61849999999999</v>
      </c>
      <c r="J87" s="143" t="e">
        <f>J78-J75</f>
        <v>#DIV/0!</v>
      </c>
      <c r="K87" s="143">
        <f t="shared" ref="K87:M87" si="78">K78-K75</f>
        <v>13.11</v>
      </c>
      <c r="L87" s="143">
        <f t="shared" si="78"/>
        <v>13.435000000000002</v>
      </c>
      <c r="M87" s="143">
        <f t="shared" si="78"/>
        <v>13.344999999999999</v>
      </c>
      <c r="N87" s="143">
        <f>N78-N75</f>
        <v>14.229999999999997</v>
      </c>
      <c r="O87" s="143">
        <f>O78-O75</f>
        <v>15.6</v>
      </c>
      <c r="P87" s="143">
        <f>P78-P75</f>
        <v>11.099999999999998</v>
      </c>
      <c r="Q87" s="143">
        <f>Q78-Q75</f>
        <v>11.711052631578951</v>
      </c>
      <c r="R87" s="143">
        <f t="shared" ref="R87:AG87" si="79">R78-R75</f>
        <v>12.238181818181829</v>
      </c>
      <c r="S87" s="143">
        <f t="shared" si="79"/>
        <v>10.5</v>
      </c>
      <c r="T87" s="143">
        <f>T78-T75</f>
        <v>10.901428571428582</v>
      </c>
      <c r="U87" s="143">
        <f t="shared" si="79"/>
        <v>11.899999999999999</v>
      </c>
      <c r="V87" s="143">
        <f t="shared" si="79"/>
        <v>11.920499999999997</v>
      </c>
      <c r="W87" s="143">
        <f t="shared" si="79"/>
        <v>9.7163157894736969</v>
      </c>
      <c r="X87" s="143">
        <f t="shared" si="79"/>
        <v>10.5</v>
      </c>
      <c r="Y87" s="361"/>
      <c r="Z87" s="361"/>
      <c r="AA87" s="143">
        <f t="shared" si="79"/>
        <v>11.299999999999997</v>
      </c>
      <c r="AB87" s="143">
        <f t="shared" si="79"/>
        <v>12.200000000000003</v>
      </c>
      <c r="AC87" s="353">
        <f t="shared" si="79"/>
        <v>12.75</v>
      </c>
      <c r="AD87" s="321">
        <f t="shared" si="79"/>
        <v>11.683078149920259</v>
      </c>
      <c r="AE87" s="260">
        <f t="shared" si="79"/>
        <v>11.100476190476193</v>
      </c>
      <c r="AF87" s="260">
        <f t="shared" si="79"/>
        <v>10.712271929824567</v>
      </c>
      <c r="AG87" s="260">
        <f t="shared" si="79"/>
        <v>12.083333333333336</v>
      </c>
      <c r="AH87" s="334">
        <f t="shared" si="66"/>
        <v>11.394789900888588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60</v>
      </c>
      <c r="B88" s="138" t="s">
        <v>60</v>
      </c>
      <c r="C88" s="138" t="s">
        <v>60</v>
      </c>
      <c r="D88" s="142"/>
      <c r="E88" s="142"/>
      <c r="F88" s="143">
        <f t="shared" ref="F88" si="80">F79-F75</f>
        <v>0</v>
      </c>
      <c r="G88" s="143">
        <f>G79-G75</f>
        <v>8.8899999999999935</v>
      </c>
      <c r="H88" s="143">
        <f t="shared" ref="H88" si="81">H79-H75</f>
        <v>9.4255263157894831</v>
      </c>
      <c r="I88" s="143">
        <f>I79-I75</f>
        <v>14.103000000000002</v>
      </c>
      <c r="J88" s="143" t="e">
        <f>J79-J75</f>
        <v>#DIV/0!</v>
      </c>
      <c r="K88" s="143">
        <f t="shared" ref="K88:M88" si="82">K79-K75</f>
        <v>13.350000000000001</v>
      </c>
      <c r="L88" s="143">
        <f t="shared" si="82"/>
        <v>13.75</v>
      </c>
      <c r="M88" s="143">
        <f t="shared" si="82"/>
        <v>13.07</v>
      </c>
      <c r="N88" s="143">
        <f>N79-N75</f>
        <v>14.030000000000001</v>
      </c>
      <c r="O88" s="143">
        <f>O79-O75</f>
        <v>14.15</v>
      </c>
      <c r="P88" s="143">
        <f>P79-P75</f>
        <v>9.34</v>
      </c>
      <c r="Q88" s="143">
        <f>Q79-Q75</f>
        <v>9.1599999999999966</v>
      </c>
      <c r="R88" s="143">
        <f t="shared" ref="R88:AG88" si="83">R79-R75</f>
        <v>10.375909090909097</v>
      </c>
      <c r="S88" s="143">
        <f t="shared" si="83"/>
        <v>9.0499999999999972</v>
      </c>
      <c r="T88" s="143">
        <f>T79-T75</f>
        <v>10.58333333333335</v>
      </c>
      <c r="U88" s="143">
        <f t="shared" si="83"/>
        <v>11.699999999999996</v>
      </c>
      <c r="V88" s="143">
        <f t="shared" si="83"/>
        <v>11.815499999999979</v>
      </c>
      <c r="W88" s="143">
        <f t="shared" si="83"/>
        <v>9.7089473684210574</v>
      </c>
      <c r="X88" s="143">
        <f t="shared" si="83"/>
        <v>10.5</v>
      </c>
      <c r="Y88" s="361"/>
      <c r="Z88" s="361"/>
      <c r="AA88" s="143">
        <f t="shared" si="83"/>
        <v>11</v>
      </c>
      <c r="AB88" s="143">
        <f t="shared" si="83"/>
        <v>11.5</v>
      </c>
      <c r="AC88" s="353">
        <f t="shared" si="83"/>
        <v>11.75</v>
      </c>
      <c r="AD88" s="321">
        <f t="shared" si="83"/>
        <v>9.6253030303030336</v>
      </c>
      <c r="AE88" s="260">
        <f t="shared" si="83"/>
        <v>10.44444444444445</v>
      </c>
      <c r="AF88" s="260">
        <f t="shared" si="83"/>
        <v>10.674815789473676</v>
      </c>
      <c r="AG88" s="260">
        <f t="shared" si="83"/>
        <v>11.416666666666664</v>
      </c>
      <c r="AH88" s="334">
        <f t="shared" si="66"/>
        <v>10.540307482721957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19.5" customHeight="1">
      <c r="A89" s="345" t="s">
        <v>61</v>
      </c>
      <c r="B89" s="138" t="s">
        <v>61</v>
      </c>
      <c r="C89" s="138" t="s">
        <v>61</v>
      </c>
      <c r="D89" s="142"/>
      <c r="E89" s="142"/>
      <c r="F89" s="143">
        <f>F62</f>
        <v>0</v>
      </c>
      <c r="G89" s="143">
        <f>G80-G75</f>
        <v>-7.432040078740151</v>
      </c>
      <c r="H89" s="143">
        <f t="shared" ref="H89:I89" si="84">H80-H75</f>
        <v>-8.9503004558640669</v>
      </c>
      <c r="I89" s="143">
        <f t="shared" si="84"/>
        <v>-7.8993307086614237</v>
      </c>
      <c r="J89" s="143">
        <f>J62</f>
        <v>0</v>
      </c>
      <c r="K89" s="143">
        <f>K62</f>
        <v>-8.1550000000000011</v>
      </c>
      <c r="L89" s="143">
        <f>L62</f>
        <v>-8.1550000000000011</v>
      </c>
      <c r="M89" s="143">
        <f>M62</f>
        <v>-8.33</v>
      </c>
      <c r="N89" s="143">
        <f>N62</f>
        <v>-6.9175000000000004</v>
      </c>
      <c r="O89" s="143">
        <f t="shared" ref="O89:AC89" si="85">O63</f>
        <v>-6.7333333333333334</v>
      </c>
      <c r="P89" s="143">
        <f t="shared" si="85"/>
        <v>-3.13</v>
      </c>
      <c r="Q89" s="143">
        <f t="shared" si="85"/>
        <v>-5.08</v>
      </c>
      <c r="R89" s="143">
        <f t="shared" si="85"/>
        <v>-7.3010164638511021</v>
      </c>
      <c r="S89" s="143">
        <f t="shared" si="85"/>
        <v>-8.77</v>
      </c>
      <c r="T89" s="143">
        <f t="shared" si="85"/>
        <v>-9.0720209973753256</v>
      </c>
      <c r="U89" s="143">
        <f t="shared" si="85"/>
        <v>-8.8000000000000007</v>
      </c>
      <c r="V89" s="143">
        <f t="shared" si="85"/>
        <v>-4.3456023622047368</v>
      </c>
      <c r="W89" s="143">
        <f t="shared" si="85"/>
        <v>-5.6621052631578834</v>
      </c>
      <c r="X89" s="143">
        <f t="shared" si="85"/>
        <v>-6</v>
      </c>
      <c r="Y89" s="143"/>
      <c r="Z89" s="143"/>
      <c r="AA89" s="143">
        <f t="shared" si="85"/>
        <v>-6.5</v>
      </c>
      <c r="AB89" s="143">
        <f t="shared" si="85"/>
        <v>-7</v>
      </c>
      <c r="AC89" s="353">
        <f t="shared" si="85"/>
        <v>-6.7</v>
      </c>
      <c r="AD89" s="365">
        <f>AD62</f>
        <v>-5.1703388212837007</v>
      </c>
      <c r="AE89" s="260">
        <f>AE62</f>
        <v>-8.7422592062355839</v>
      </c>
      <c r="AF89" s="260">
        <f>AF80-AF75</f>
        <v>199.49016666666665</v>
      </c>
      <c r="AG89" s="358">
        <f>AG80-AG75</f>
        <v>203.34333333333331</v>
      </c>
      <c r="AH89" s="334">
        <f t="shared" si="66"/>
        <v>-6.5300620905490883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 ht="36.75" customHeight="1" thickBot="1">
      <c r="A90" s="346" t="s">
        <v>62</v>
      </c>
      <c r="B90" s="347" t="s">
        <v>62</v>
      </c>
      <c r="C90" s="347" t="s">
        <v>62</v>
      </c>
      <c r="D90" s="348"/>
      <c r="E90" s="348"/>
      <c r="F90" s="349">
        <f t="shared" ref="F90" si="86">F71</f>
        <v>0</v>
      </c>
      <c r="G90" s="349">
        <f>G71</f>
        <v>0</v>
      </c>
      <c r="H90" s="349">
        <f t="shared" ref="H90" si="87">H71</f>
        <v>0</v>
      </c>
      <c r="I90" s="349">
        <f>I71</f>
        <v>0</v>
      </c>
      <c r="J90" s="349" t="e">
        <f>J71</f>
        <v>#DIV/0!</v>
      </c>
      <c r="K90" s="349">
        <f t="shared" ref="K90:M90" si="88">K71</f>
        <v>1.2</v>
      </c>
      <c r="L90" s="349">
        <f t="shared" si="88"/>
        <v>1.5</v>
      </c>
      <c r="M90" s="349">
        <f t="shared" si="88"/>
        <v>1.625</v>
      </c>
      <c r="N90" s="349">
        <f>N81-N75</f>
        <v>1.6000000000000014</v>
      </c>
      <c r="O90" s="349">
        <f>O81-O75</f>
        <v>2.0666666666666669</v>
      </c>
      <c r="P90" s="349">
        <f>P81-P75</f>
        <v>3.5</v>
      </c>
      <c r="Q90" s="349">
        <f>Q81-Q75</f>
        <v>3.1799999999999997</v>
      </c>
      <c r="R90" s="349">
        <f t="shared" ref="R90:AG90" si="89">R81-R75</f>
        <v>3.3497727272727289</v>
      </c>
      <c r="S90" s="349">
        <f t="shared" si="89"/>
        <v>2.4500000000000028</v>
      </c>
      <c r="T90" s="349">
        <f>T81-T75</f>
        <v>2.6066785714285672</v>
      </c>
      <c r="U90" s="349">
        <f t="shared" si="89"/>
        <v>2.1000000000000014</v>
      </c>
      <c r="V90" s="349">
        <f t="shared" si="89"/>
        <v>2.6369285714285553</v>
      </c>
      <c r="W90" s="349">
        <f t="shared" si="89"/>
        <v>2.2523026315789423</v>
      </c>
      <c r="X90" s="349">
        <f t="shared" si="89"/>
        <v>2.7000000000000028</v>
      </c>
      <c r="Y90" s="362"/>
      <c r="Z90" s="362"/>
      <c r="AA90" s="349">
        <f t="shared" si="89"/>
        <v>2.7000000000000028</v>
      </c>
      <c r="AB90" s="349">
        <f t="shared" si="89"/>
        <v>3</v>
      </c>
      <c r="AC90" s="354">
        <f t="shared" si="89"/>
        <v>3</v>
      </c>
      <c r="AD90" s="351">
        <f>AD81-AD75</f>
        <v>3.3432575757575727</v>
      </c>
      <c r="AE90" s="352">
        <f>AE81-AE75</f>
        <v>2.3855595238095191</v>
      </c>
      <c r="AF90" s="352">
        <f>AF81-AF75</f>
        <v>2.5297437343358311</v>
      </c>
      <c r="AG90" s="352">
        <f t="shared" si="89"/>
        <v>2.8999999999999986</v>
      </c>
      <c r="AH90" s="342">
        <f t="shared" si="66"/>
        <v>2.7896402084757335</v>
      </c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>
      <c r="A91" s="422"/>
      <c r="B91" s="276"/>
      <c r="C91" s="276"/>
      <c r="D91" s="152"/>
      <c r="E91" s="152"/>
      <c r="F91" s="277"/>
      <c r="G91" s="277"/>
      <c r="H91" s="277"/>
      <c r="I91" s="277"/>
      <c r="J91" s="278"/>
      <c r="K91" s="277"/>
      <c r="L91" s="277"/>
      <c r="M91" s="277"/>
      <c r="N91" s="277"/>
      <c r="O91" s="277"/>
      <c r="P91" s="277"/>
      <c r="Q91" s="277"/>
      <c r="R91" s="279"/>
      <c r="S91" s="279"/>
      <c r="T91" s="279"/>
      <c r="U91" s="279"/>
      <c r="V91" s="279"/>
      <c r="W91" s="279"/>
      <c r="X91" s="279"/>
      <c r="Y91" s="280"/>
      <c r="Z91" s="280"/>
      <c r="AA91" s="279"/>
      <c r="AB91" s="279"/>
      <c r="AC91" s="279"/>
      <c r="AD91" s="279"/>
      <c r="AE91" s="279"/>
      <c r="AF91" s="279"/>
      <c r="AG91" s="279"/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t="111" hidden="1">
      <c r="A92" s="422"/>
      <c r="B92" s="281"/>
      <c r="C92" s="281"/>
      <c r="D92" s="282"/>
      <c r="E92" s="282"/>
      <c r="F92" s="283" t="s">
        <v>4</v>
      </c>
      <c r="G92" s="283" t="s">
        <v>5</v>
      </c>
      <c r="H92" s="283" t="s">
        <v>6</v>
      </c>
      <c r="I92" s="283" t="s">
        <v>7</v>
      </c>
      <c r="J92" s="284"/>
      <c r="K92" s="283" t="s">
        <v>9</v>
      </c>
      <c r="L92" s="283" t="s">
        <v>9</v>
      </c>
      <c r="M92" s="283" t="s">
        <v>70</v>
      </c>
      <c r="N92" s="283" t="s">
        <v>12</v>
      </c>
      <c r="O92" s="283" t="s">
        <v>13</v>
      </c>
      <c r="P92" s="283" t="s">
        <v>13</v>
      </c>
      <c r="Q92" s="283" t="s">
        <v>13</v>
      </c>
      <c r="R92" s="283"/>
      <c r="S92" s="283"/>
      <c r="T92" s="283"/>
      <c r="U92" s="283"/>
      <c r="V92" s="283" t="s">
        <v>17</v>
      </c>
      <c r="W92" s="286"/>
      <c r="X92" s="286"/>
      <c r="Y92" s="285"/>
      <c r="Z92" s="285"/>
      <c r="AA92" s="286"/>
      <c r="AB92" s="286"/>
      <c r="AC92" s="286"/>
      <c r="AD92" s="283" t="s">
        <v>55</v>
      </c>
      <c r="AE92" s="283" t="s">
        <v>55</v>
      </c>
      <c r="AF92" s="283"/>
      <c r="AG92" s="283" t="s">
        <v>55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422"/>
      <c r="B93" s="287">
        <v>0.03</v>
      </c>
      <c r="C93" s="287">
        <v>0.03</v>
      </c>
      <c r="D93" s="288"/>
      <c r="E93" s="288"/>
      <c r="F93" s="289">
        <f>$B$93*$J$93</f>
        <v>-0.6</v>
      </c>
      <c r="G93" s="289">
        <f>$B$93*$J$93</f>
        <v>-0.6</v>
      </c>
      <c r="H93" s="289">
        <f>$B$93*$J$93</f>
        <v>-0.6</v>
      </c>
      <c r="I93" s="289">
        <f>$B$93*$J$93</f>
        <v>-0.6</v>
      </c>
      <c r="J93" s="290">
        <v>-20</v>
      </c>
      <c r="K93" s="289">
        <f t="shared" ref="K93:P93" si="90">$B$93*$J$93</f>
        <v>-0.6</v>
      </c>
      <c r="L93" s="289">
        <f t="shared" si="90"/>
        <v>-0.6</v>
      </c>
      <c r="M93" s="289">
        <f t="shared" si="90"/>
        <v>-0.6</v>
      </c>
      <c r="N93" s="289">
        <f t="shared" si="90"/>
        <v>-0.6</v>
      </c>
      <c r="O93" s="289">
        <f t="shared" si="90"/>
        <v>-0.6</v>
      </c>
      <c r="P93" s="289">
        <f t="shared" si="90"/>
        <v>-0.6</v>
      </c>
      <c r="Q93" s="289">
        <f>$B$93*$J$93</f>
        <v>-0.6</v>
      </c>
      <c r="R93" s="291"/>
      <c r="S93" s="291"/>
      <c r="T93" s="291"/>
      <c r="U93" s="291"/>
      <c r="V93" s="291">
        <v>0.94499999999999995</v>
      </c>
      <c r="W93" s="291"/>
      <c r="X93" s="291"/>
      <c r="Y93" s="292"/>
      <c r="Z93" s="292"/>
      <c r="AA93" s="291"/>
      <c r="AB93" s="291"/>
      <c r="AC93" s="291"/>
      <c r="AD93" s="289">
        <f>$B$93*$J$93</f>
        <v>-0.6</v>
      </c>
      <c r="AE93" s="289">
        <f>$B$93*$J$93</f>
        <v>-0.6</v>
      </c>
      <c r="AF93" s="289"/>
      <c r="AG93" s="289">
        <f>$B$93*$J$93</f>
        <v>-0.6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422"/>
      <c r="B94" s="287">
        <v>0.03</v>
      </c>
      <c r="C94" s="287">
        <v>0.03</v>
      </c>
      <c r="D94" s="288"/>
      <c r="E94" s="288"/>
      <c r="F94" s="289">
        <f t="shared" ref="F94:I97" si="91">$B94*(F76-F$75-1.7)</f>
        <v>-5.0999999999999997E-2</v>
      </c>
      <c r="G94" s="289">
        <f t="shared" si="91"/>
        <v>-0.14202300000000007</v>
      </c>
      <c r="H94" s="289">
        <f t="shared" si="91"/>
        <v>-0.10879736842105259</v>
      </c>
      <c r="I94" s="289">
        <f t="shared" si="91"/>
        <v>-8.1000000000004332E-3</v>
      </c>
      <c r="J94" s="290"/>
      <c r="K94" s="289" t="e">
        <f t="shared" ref="K94:P97" si="92">$B94*(K76-K$75-1.7)</f>
        <v>#REF!</v>
      </c>
      <c r="L94" s="289" t="e">
        <f t="shared" si="92"/>
        <v>#REF!</v>
      </c>
      <c r="M94" s="289">
        <f t="shared" si="92"/>
        <v>-8.2500000000000837E-3</v>
      </c>
      <c r="N94" s="289">
        <f t="shared" si="92"/>
        <v>6.5249999999999989E-2</v>
      </c>
      <c r="O94" s="289">
        <f t="shared" si="92"/>
        <v>0.129</v>
      </c>
      <c r="P94" s="289">
        <f t="shared" si="92"/>
        <v>0.24269999999999989</v>
      </c>
      <c r="Q94" s="289">
        <f>$B94*(Q76-Q$75-1.7)</f>
        <v>8.6257894736842158E-2</v>
      </c>
      <c r="R94" s="291"/>
      <c r="S94" s="291"/>
      <c r="T94" s="291"/>
      <c r="U94" s="291"/>
      <c r="V94" s="291" t="e">
        <v>#REF!</v>
      </c>
      <c r="W94" s="291"/>
      <c r="X94" s="291"/>
      <c r="Y94" s="292"/>
      <c r="Z94" s="292"/>
      <c r="AA94" s="291"/>
      <c r="AB94" s="291"/>
      <c r="AC94" s="291"/>
      <c r="AD94" s="289">
        <f t="shared" ref="AD94:AG97" si="93">$B94*(AD76-AD$75-1.7)</f>
        <v>0.13127535885167471</v>
      </c>
      <c r="AE94" s="289">
        <f t="shared" si="93"/>
        <v>-2.8019047619047496E-2</v>
      </c>
      <c r="AF94" s="289"/>
      <c r="AG94" s="289">
        <f t="shared" si="93"/>
        <v>-6.6000000000000003E-2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422"/>
      <c r="B95" s="287">
        <v>0.16</v>
      </c>
      <c r="C95" s="287">
        <v>0.16</v>
      </c>
      <c r="D95" s="288"/>
      <c r="E95" s="288"/>
      <c r="F95" s="289">
        <f t="shared" si="91"/>
        <v>-0.27200000000000002</v>
      </c>
      <c r="G95" s="289">
        <f t="shared" si="91"/>
        <v>2.8906079999999994</v>
      </c>
      <c r="H95" s="289">
        <f t="shared" si="91"/>
        <v>2.6582315789473734</v>
      </c>
      <c r="I95" s="289">
        <f t="shared" si="91"/>
        <v>2.9057599999999999</v>
      </c>
      <c r="J95" s="290"/>
      <c r="K95" s="289">
        <f t="shared" si="92"/>
        <v>2.3652000000000006</v>
      </c>
      <c r="L95" s="289">
        <f t="shared" si="92"/>
        <v>2.4879999999999991</v>
      </c>
      <c r="M95" s="289">
        <f t="shared" si="92"/>
        <v>2.3475999999999995</v>
      </c>
      <c r="N95" s="289">
        <f t="shared" si="92"/>
        <v>2.258</v>
      </c>
      <c r="O95" s="289">
        <f t="shared" si="92"/>
        <v>2.528</v>
      </c>
      <c r="P95" s="289">
        <f t="shared" si="92"/>
        <v>3.5056000000000007</v>
      </c>
      <c r="Q95" s="289">
        <f>$B95*(Q77-Q$75-1.7)</f>
        <v>2.1612631578947372</v>
      </c>
      <c r="R95" s="291"/>
      <c r="S95" s="291"/>
      <c r="T95" s="291"/>
      <c r="U95" s="291"/>
      <c r="V95" s="291" t="e">
        <v>#REF!</v>
      </c>
      <c r="W95" s="291"/>
      <c r="X95" s="291"/>
      <c r="Y95" s="292"/>
      <c r="Z95" s="292"/>
      <c r="AA95" s="291"/>
      <c r="AB95" s="291"/>
      <c r="AC95" s="291"/>
      <c r="AD95" s="289">
        <f t="shared" si="93"/>
        <v>2.7385543859649126</v>
      </c>
      <c r="AE95" s="289">
        <f t="shared" si="93"/>
        <v>2.0456888888888893</v>
      </c>
      <c r="AF95" s="289"/>
      <c r="AG95" s="289">
        <f t="shared" si="93"/>
        <v>1.5013333333333339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0.15</v>
      </c>
      <c r="C96" s="287">
        <v>0.15</v>
      </c>
      <c r="D96" s="288"/>
      <c r="E96" s="288"/>
      <c r="F96" s="289">
        <f t="shared" si="91"/>
        <v>-0.255</v>
      </c>
      <c r="G96" s="289">
        <f t="shared" si="91"/>
        <v>1.1893499999999997</v>
      </c>
      <c r="H96" s="289">
        <f t="shared" si="91"/>
        <v>1.1527499999999997</v>
      </c>
      <c r="I96" s="289">
        <f t="shared" si="91"/>
        <v>1.7877749999999986</v>
      </c>
      <c r="J96" s="290"/>
      <c r="K96" s="289">
        <f t="shared" si="92"/>
        <v>1.7115</v>
      </c>
      <c r="L96" s="289">
        <f t="shared" si="92"/>
        <v>1.7602500000000003</v>
      </c>
      <c r="M96" s="289">
        <f t="shared" si="92"/>
        <v>1.7467499999999998</v>
      </c>
      <c r="N96" s="289">
        <f t="shared" si="92"/>
        <v>1.8794999999999995</v>
      </c>
      <c r="O96" s="289">
        <f t="shared" si="92"/>
        <v>2.085</v>
      </c>
      <c r="P96" s="289">
        <f t="shared" si="92"/>
        <v>1.4099999999999997</v>
      </c>
      <c r="Q96" s="289">
        <f>$B96*(Q78-Q$75-1.7)</f>
        <v>1.5016578947368429</v>
      </c>
      <c r="R96" s="291"/>
      <c r="S96" s="291"/>
      <c r="T96" s="291"/>
      <c r="U96" s="291"/>
      <c r="V96" s="291" t="e">
        <v>#REF!</v>
      </c>
      <c r="W96" s="291"/>
      <c r="X96" s="291"/>
      <c r="Y96" s="292"/>
      <c r="Z96" s="292"/>
      <c r="AA96" s="291"/>
      <c r="AB96" s="291"/>
      <c r="AC96" s="291"/>
      <c r="AD96" s="289">
        <f t="shared" si="93"/>
        <v>1.4974617224880389</v>
      </c>
      <c r="AE96" s="289">
        <f t="shared" si="93"/>
        <v>1.4100714285714291</v>
      </c>
      <c r="AF96" s="289"/>
      <c r="AG96" s="289">
        <f t="shared" si="93"/>
        <v>1.5575000000000003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0.39</v>
      </c>
      <c r="C97" s="287">
        <v>0.39</v>
      </c>
      <c r="D97" s="288"/>
      <c r="E97" s="288"/>
      <c r="F97" s="289">
        <f t="shared" si="91"/>
        <v>-0.66300000000000003</v>
      </c>
      <c r="G97" s="289">
        <f t="shared" si="91"/>
        <v>2.8040999999999974</v>
      </c>
      <c r="H97" s="289">
        <f t="shared" si="91"/>
        <v>3.0129552631578984</v>
      </c>
      <c r="I97" s="289">
        <f t="shared" si="91"/>
        <v>4.8371700000000013</v>
      </c>
      <c r="J97" s="290"/>
      <c r="K97" s="289">
        <f t="shared" si="92"/>
        <v>4.5435000000000008</v>
      </c>
      <c r="L97" s="289">
        <f t="shared" si="92"/>
        <v>4.6995000000000005</v>
      </c>
      <c r="M97" s="289">
        <f t="shared" si="92"/>
        <v>4.4343000000000004</v>
      </c>
      <c r="N97" s="289">
        <f t="shared" si="92"/>
        <v>4.8087000000000009</v>
      </c>
      <c r="O97" s="289">
        <f t="shared" si="92"/>
        <v>4.8555000000000001</v>
      </c>
      <c r="P97" s="289">
        <f t="shared" si="92"/>
        <v>2.9796</v>
      </c>
      <c r="Q97" s="289">
        <f>$B97*(Q79-Q$75-1.7)</f>
        <v>2.9093999999999989</v>
      </c>
      <c r="R97" s="291"/>
      <c r="S97" s="291"/>
      <c r="T97" s="291"/>
      <c r="U97" s="291"/>
      <c r="V97" s="291" t="e">
        <v>#REF!</v>
      </c>
      <c r="W97" s="291"/>
      <c r="X97" s="291"/>
      <c r="Y97" s="292"/>
      <c r="Z97" s="292"/>
      <c r="AA97" s="291"/>
      <c r="AB97" s="291"/>
      <c r="AC97" s="291"/>
      <c r="AD97" s="289">
        <f t="shared" si="93"/>
        <v>3.0908681818181831</v>
      </c>
      <c r="AE97" s="289">
        <f t="shared" si="93"/>
        <v>3.4103333333333361</v>
      </c>
      <c r="AF97" s="289"/>
      <c r="AG97" s="289">
        <f t="shared" si="93"/>
        <v>3.7894999999999994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0.12</v>
      </c>
      <c r="C98" s="287">
        <v>0.12</v>
      </c>
      <c r="D98" s="288"/>
      <c r="E98" s="288"/>
      <c r="F98" s="289">
        <f>$B$98*((F80/6.5)-(F$75-1.7))</f>
        <v>0.20399999999999999</v>
      </c>
      <c r="G98" s="289">
        <f>$B$98*((G80/6.5)-(G$75-1.7))</f>
        <v>-5.637637662992125</v>
      </c>
      <c r="H98" s="289">
        <f>$B$98*((H80/6.5)-(H$75-1.7))</f>
        <v>-4.8036857088208089</v>
      </c>
      <c r="I98" s="289">
        <f>$B$98*((I80/6.5)-(I$75-1.7))</f>
        <v>-4.5491414900060576</v>
      </c>
      <c r="J98" s="290"/>
      <c r="K98" s="289">
        <f t="shared" ref="K98:M98" si="94">$B$98*((K80/6.5)-(K$75-1.7))</f>
        <v>-0.88577076923076925</v>
      </c>
      <c r="L98" s="289">
        <f t="shared" si="94"/>
        <v>-0.88175538461538472</v>
      </c>
      <c r="M98" s="289">
        <f t="shared" si="94"/>
        <v>-0.90721384615384548</v>
      </c>
      <c r="N98" s="289">
        <f>$B$98*((N80/6.5)-(N$75-1.7))</f>
        <v>-0.73502076923076998</v>
      </c>
      <c r="O98" s="289">
        <f>$B$98*((O80/6.5)-(O$75-1.7))</f>
        <v>-0.58535384615384611</v>
      </c>
      <c r="P98" s="289">
        <f>$B$98*((P80/6.5)-(P$75-1.7))</f>
        <v>-0.23717538461538468</v>
      </c>
      <c r="Q98" s="289">
        <f>$B$98*((Q80/6.5)-(Q$75-1.7))</f>
        <v>-0.47267805668016233</v>
      </c>
      <c r="R98" s="291"/>
      <c r="S98" s="291"/>
      <c r="T98" s="291"/>
      <c r="U98" s="291"/>
      <c r="V98" s="291" t="e">
        <v>#REF!</v>
      </c>
      <c r="W98" s="291"/>
      <c r="X98" s="291"/>
      <c r="Y98" s="292"/>
      <c r="Z98" s="292"/>
      <c r="AA98" s="291"/>
      <c r="AB98" s="291"/>
      <c r="AC98" s="291"/>
      <c r="AD98" s="289">
        <f t="shared" ref="AD98:AG98" si="95">$B$98*((AD80/6.5)-(AD$75-1.7))</f>
        <v>-0.48635767390504225</v>
      </c>
      <c r="AE98" s="289">
        <f t="shared" si="95"/>
        <v>-0.9568099633699626</v>
      </c>
      <c r="AF98" s="289"/>
      <c r="AG98" s="289">
        <f t="shared" si="95"/>
        <v>-0.71273846153846165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0.03</v>
      </c>
      <c r="C99" s="287">
        <v>0.03</v>
      </c>
      <c r="D99" s="288"/>
      <c r="E99" s="288"/>
      <c r="F99" s="289">
        <f>$B99*(F82-F$75-1.7)</f>
        <v>-5.0999999999999997E-2</v>
      </c>
      <c r="G99" s="289">
        <f>$B99*(G82-G$75-1.7)</f>
        <v>-1.7363999999999999</v>
      </c>
      <c r="H99" s="289">
        <f>$B99*(H82-H$75-1.7)</f>
        <v>-1.4817236842105261</v>
      </c>
      <c r="I99" s="289">
        <f>$B99*(I82-I$75-1.7)</f>
        <v>-1.4122500000000002</v>
      </c>
      <c r="J99" s="290"/>
      <c r="K99" s="289">
        <f t="shared" ref="K99:M99" si="96">$B99*(K82-K$75-1.7)</f>
        <v>-1.5</v>
      </c>
      <c r="L99" s="289">
        <f t="shared" si="96"/>
        <v>-1.4565000000000001</v>
      </c>
      <c r="M99" s="289">
        <f t="shared" si="96"/>
        <v>-1.5100499999999999</v>
      </c>
      <c r="N99" s="289">
        <f>$B99*(N82-N$75-1.7)</f>
        <v>-1.4385000000000001</v>
      </c>
      <c r="O99" s="289">
        <f>$B99*(O82-O$75-1.7)</f>
        <v>-5.0999999999999997E-2</v>
      </c>
      <c r="P99" s="289">
        <f>$B99*(P82-P$75-1.7)</f>
        <v>-0.85529999999999995</v>
      </c>
      <c r="Q99" s="289">
        <f>$B99*(Q82-Q$75-1.7)</f>
        <v>-0.93007894736842101</v>
      </c>
      <c r="R99" s="291"/>
      <c r="S99" s="291"/>
      <c r="T99" s="291"/>
      <c r="U99" s="291"/>
      <c r="V99" s="291" t="e">
        <v>#REF!</v>
      </c>
      <c r="W99" s="291"/>
      <c r="X99" s="291"/>
      <c r="Y99" s="292"/>
      <c r="Z99" s="292"/>
      <c r="AA99" s="291"/>
      <c r="AB99" s="291"/>
      <c r="AC99" s="291"/>
      <c r="AD99" s="289">
        <f t="shared" ref="AD99:AG99" si="97">$B99*(AD82-AD$75-1.7)</f>
        <v>-0.96354449760765526</v>
      </c>
      <c r="AE99" s="289">
        <f t="shared" si="97"/>
        <v>-1.3479857142857143</v>
      </c>
      <c r="AF99" s="289"/>
      <c r="AG99" s="289">
        <f t="shared" si="97"/>
        <v>-1.431</v>
      </c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87">
        <v>0.09</v>
      </c>
      <c r="C100" s="287">
        <v>0.09</v>
      </c>
      <c r="D100" s="288"/>
      <c r="E100" s="288"/>
      <c r="F100" s="289"/>
      <c r="G100" s="289"/>
      <c r="H100" s="289"/>
      <c r="I100" s="289"/>
      <c r="J100" s="290"/>
      <c r="K100" s="289"/>
      <c r="L100" s="289"/>
      <c r="M100" s="289"/>
      <c r="N100" s="289"/>
      <c r="O100" s="289"/>
      <c r="P100" s="289"/>
      <c r="Q100" s="289"/>
      <c r="R100" s="291"/>
      <c r="S100" s="291"/>
      <c r="T100" s="291"/>
      <c r="U100" s="291"/>
      <c r="V100" s="291"/>
      <c r="W100" s="291"/>
      <c r="X100" s="291"/>
      <c r="Y100" s="292"/>
      <c r="Z100" s="292"/>
      <c r="AA100" s="291"/>
      <c r="AB100" s="291"/>
      <c r="AC100" s="291"/>
      <c r="AD100" s="289"/>
      <c r="AE100" s="289"/>
      <c r="AF100" s="289"/>
      <c r="AG100" s="289"/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 hidden="1">
      <c r="A101" s="252"/>
      <c r="B101" s="293"/>
      <c r="C101" s="293"/>
      <c r="D101" s="294"/>
      <c r="E101" s="294"/>
      <c r="F101" s="289">
        <f>SUM(F93:F99)</f>
        <v>-1.6879999999999999</v>
      </c>
      <c r="G101" s="289">
        <f>SUM(G93:G99)</f>
        <v>-1.2320026629921286</v>
      </c>
      <c r="H101" s="289">
        <f t="shared" ref="H101" si="98">SUM(H93:H99)</f>
        <v>-0.17026991934711599</v>
      </c>
      <c r="I101" s="289">
        <f>SUM(I93:I99)</f>
        <v>2.9612135099939429</v>
      </c>
      <c r="J101" s="290"/>
      <c r="K101" s="289" t="e">
        <f t="shared" ref="K101:M101" si="99">SUM(K93:K99)</f>
        <v>#REF!</v>
      </c>
      <c r="L101" s="289" t="e">
        <f t="shared" si="99"/>
        <v>#REF!</v>
      </c>
      <c r="M101" s="289">
        <f t="shared" si="99"/>
        <v>5.503136153846155</v>
      </c>
      <c r="N101" s="289">
        <f>SUM(N93:N99)</f>
        <v>6.2379292307692298</v>
      </c>
      <c r="O101" s="289">
        <f>SUM(O93:O99)</f>
        <v>8.3611461538461516</v>
      </c>
      <c r="P101" s="289">
        <f>SUM(P93:P99)</f>
        <v>6.4454246153846162</v>
      </c>
      <c r="Q101" s="289">
        <f t="shared" ref="Q101" si="100">SUM(Q93:Q99)</f>
        <v>4.6558219433198378</v>
      </c>
      <c r="R101" s="291"/>
      <c r="S101" s="291"/>
      <c r="T101" s="291"/>
      <c r="U101" s="291"/>
      <c r="V101" s="291" t="e">
        <v>#REF!</v>
      </c>
      <c r="W101" s="291"/>
      <c r="X101" s="291"/>
      <c r="Y101" s="292"/>
      <c r="Z101" s="292"/>
      <c r="AA101" s="291"/>
      <c r="AB101" s="291"/>
      <c r="AC101" s="291"/>
      <c r="AD101" s="289">
        <f t="shared" ref="AD101:AG101" si="101">SUM(AD93:AD99)</f>
        <v>5.4082574776101122</v>
      </c>
      <c r="AE101" s="289">
        <f t="shared" si="101"/>
        <v>3.9332789255189295</v>
      </c>
      <c r="AF101" s="289"/>
      <c r="AG101" s="289">
        <f t="shared" si="101"/>
        <v>4.0385948717948725</v>
      </c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79"/>
      <c r="X102" s="279"/>
      <c r="Y102" s="280"/>
      <c r="Z102" s="280"/>
      <c r="AA102" s="279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79"/>
      <c r="X103" s="279"/>
      <c r="Y103" s="280"/>
      <c r="Z103" s="280"/>
      <c r="AA103" s="279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52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79"/>
      <c r="X104" s="279"/>
      <c r="Y104" s="280"/>
      <c r="Z104" s="280"/>
      <c r="AA104" s="279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79"/>
      <c r="X105" s="279"/>
      <c r="Y105" s="280"/>
      <c r="Z105" s="280"/>
      <c r="AA105" s="279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79"/>
      <c r="X106" s="279"/>
      <c r="Y106" s="280"/>
      <c r="Z106" s="280"/>
      <c r="AA106" s="279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79"/>
      <c r="X107" s="279"/>
      <c r="Y107" s="280"/>
      <c r="Z107" s="280"/>
      <c r="AA107" s="279"/>
      <c r="AB107" s="279"/>
      <c r="AC107" s="279"/>
      <c r="AD107" s="279"/>
      <c r="AE107" s="279"/>
      <c r="AF107" s="279"/>
      <c r="AG107" s="279"/>
      <c r="AH107" s="7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</row>
    <row r="108" spans="1:358">
      <c r="A108" s="295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79"/>
      <c r="X108" s="279"/>
      <c r="Y108" s="280"/>
      <c r="Z108" s="280"/>
      <c r="AA108" s="279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79"/>
      <c r="X109" s="279"/>
      <c r="Y109" s="280"/>
      <c r="Z109" s="280"/>
      <c r="AA109" s="279"/>
      <c r="AB109" s="279"/>
      <c r="AC109" s="279"/>
      <c r="AD109" s="279"/>
      <c r="AE109" s="279"/>
      <c r="AF109" s="279"/>
      <c r="AG109" s="279"/>
      <c r="AH109" s="7"/>
    </row>
    <row r="110" spans="1:358">
      <c r="A110" s="252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79"/>
      <c r="X110" s="279"/>
      <c r="Y110" s="280"/>
      <c r="Z110" s="280"/>
      <c r="AA110" s="279"/>
      <c r="AB110" s="279"/>
      <c r="AC110" s="279"/>
      <c r="AD110" s="279"/>
      <c r="AE110" s="279"/>
      <c r="AF110" s="279"/>
      <c r="AG110" s="279"/>
      <c r="AH110" s="7"/>
    </row>
    <row r="111" spans="1:358">
      <c r="A111" s="422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79"/>
      <c r="X111" s="279"/>
      <c r="Y111" s="280"/>
      <c r="Z111" s="280"/>
      <c r="AA111" s="279"/>
      <c r="AB111" s="279"/>
      <c r="AC111" s="279"/>
      <c r="AD111" s="279"/>
      <c r="AE111" s="279"/>
      <c r="AF111" s="279"/>
      <c r="AG111" s="279"/>
      <c r="AH111" s="7"/>
    </row>
    <row r="112" spans="1:358">
      <c r="A112" s="42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79"/>
      <c r="X112" s="279"/>
      <c r="Y112" s="280"/>
      <c r="Z112" s="280"/>
      <c r="AA112" s="279"/>
      <c r="AB112" s="279"/>
      <c r="AC112" s="279"/>
      <c r="AD112" s="279"/>
      <c r="AE112" s="279"/>
      <c r="AF112" s="279"/>
      <c r="AG112" s="279"/>
      <c r="AH112" s="7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79"/>
      <c r="X113" s="279"/>
      <c r="Y113" s="280"/>
      <c r="Z113" s="280"/>
      <c r="AA113" s="279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79"/>
      <c r="X114" s="279"/>
      <c r="Y114" s="280"/>
      <c r="Z114" s="280"/>
      <c r="AA114" s="279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79"/>
      <c r="X115" s="279"/>
      <c r="Y115" s="280"/>
      <c r="Z115" s="280"/>
      <c r="AA115" s="279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79"/>
      <c r="X116" s="279"/>
      <c r="Y116" s="280"/>
      <c r="Z116" s="280"/>
      <c r="AA116" s="279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79"/>
      <c r="X117" s="279"/>
      <c r="Y117" s="280"/>
      <c r="Z117" s="280"/>
      <c r="AA117" s="279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79"/>
      <c r="X118" s="279"/>
      <c r="Y118" s="280"/>
      <c r="Z118" s="280"/>
      <c r="AA118" s="279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79"/>
      <c r="X119" s="279"/>
      <c r="Y119" s="280"/>
      <c r="Z119" s="280"/>
      <c r="AA119" s="279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79"/>
      <c r="X120" s="279"/>
      <c r="Y120" s="280"/>
      <c r="Z120" s="280"/>
      <c r="AA120" s="279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79"/>
      <c r="X121" s="279"/>
      <c r="Y121" s="280"/>
      <c r="Z121" s="280"/>
      <c r="AA121" s="279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79"/>
      <c r="X122" s="279"/>
      <c r="Y122" s="280"/>
      <c r="Z122" s="280"/>
      <c r="AA122" s="279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79"/>
      <c r="X123" s="279"/>
      <c r="Y123" s="280"/>
      <c r="Z123" s="280"/>
      <c r="AA123" s="279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252"/>
      <c r="B124" s="276"/>
      <c r="C124" s="276"/>
      <c r="D124" s="152"/>
      <c r="E124" s="152"/>
      <c r="F124" s="277"/>
      <c r="G124" s="277"/>
      <c r="H124" s="277"/>
      <c r="I124" s="277"/>
      <c r="J124" s="278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9"/>
      <c r="W124" s="279"/>
      <c r="X124" s="279"/>
      <c r="Y124" s="280"/>
      <c r="Z124" s="280"/>
      <c r="AA124" s="279"/>
      <c r="AB124" s="279"/>
      <c r="AC124" s="279"/>
      <c r="AD124" s="279"/>
      <c r="AE124" s="279"/>
      <c r="AF124" s="279"/>
      <c r="AG124" s="279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  <row r="125" spans="1:358" s="1" customFormat="1">
      <c r="A125" s="194"/>
      <c r="B125" s="2"/>
      <c r="C125" s="2"/>
      <c r="F125" s="3"/>
      <c r="G125" s="3"/>
      <c r="H125" s="3"/>
      <c r="I125" s="3"/>
      <c r="J125" s="4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6"/>
      <c r="W125" s="6"/>
      <c r="X125" s="6"/>
      <c r="Y125" s="5"/>
      <c r="Z125" s="5"/>
      <c r="AA125" s="6"/>
      <c r="AB125" s="6"/>
      <c r="AC125" s="6"/>
      <c r="AD125" s="6"/>
      <c r="AE125" s="6"/>
      <c r="AF125" s="6"/>
      <c r="AG125" s="6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52"/>
      <c r="AX125" s="152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  <c r="BK125" s="152"/>
      <c r="BL125" s="152"/>
      <c r="BM125" s="152"/>
      <c r="BN125" s="152"/>
      <c r="BO125" s="152"/>
      <c r="BP125" s="152"/>
      <c r="BQ125" s="152"/>
      <c r="BR125" s="152"/>
      <c r="BS125" s="152"/>
      <c r="BT125" s="152"/>
      <c r="BU125" s="152"/>
      <c r="BV125" s="152"/>
      <c r="BW125" s="152"/>
      <c r="BX125" s="152"/>
      <c r="BY125" s="152"/>
      <c r="BZ125" s="152"/>
      <c r="CA125" s="152"/>
      <c r="CB125" s="152"/>
      <c r="CC125" s="152"/>
      <c r="CD125" s="152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52"/>
      <c r="CO125" s="152"/>
      <c r="CP125" s="152"/>
      <c r="CQ125" s="152"/>
      <c r="CR125" s="152"/>
      <c r="CS125" s="152"/>
      <c r="CT125" s="152"/>
      <c r="CU125" s="152"/>
      <c r="CV125" s="152"/>
      <c r="CW125" s="152"/>
      <c r="CX125" s="152"/>
      <c r="CY125" s="152"/>
      <c r="CZ125" s="152"/>
      <c r="DA125" s="152"/>
      <c r="DB125" s="152"/>
      <c r="DC125" s="152"/>
      <c r="DD125" s="152"/>
      <c r="DE125" s="152"/>
      <c r="DF125" s="152"/>
      <c r="DG125" s="152"/>
      <c r="DH125" s="152"/>
      <c r="DI125" s="152"/>
      <c r="DJ125" s="152"/>
      <c r="DK125" s="152"/>
      <c r="DL125" s="152"/>
      <c r="DM125" s="152"/>
      <c r="DN125" s="152"/>
      <c r="DO125" s="152"/>
      <c r="DP125" s="152"/>
      <c r="DQ125" s="152"/>
      <c r="DR125" s="152"/>
      <c r="DS125" s="152"/>
      <c r="DT125" s="152"/>
      <c r="DU125" s="152"/>
      <c r="DV125" s="152"/>
      <c r="DW125" s="152"/>
      <c r="DX125" s="152"/>
      <c r="DY125" s="152"/>
      <c r="DZ125" s="152"/>
      <c r="EA125" s="152"/>
      <c r="EB125" s="152"/>
      <c r="EC125" s="152"/>
      <c r="ED125" s="152"/>
      <c r="EE125" s="152"/>
      <c r="EF125" s="152"/>
      <c r="EG125" s="152"/>
      <c r="EH125" s="152"/>
      <c r="EI125" s="152"/>
      <c r="EJ125" s="152"/>
      <c r="EK125" s="152"/>
      <c r="EL125" s="152"/>
      <c r="EM125" s="152"/>
      <c r="EN125" s="152"/>
      <c r="EO125" s="152"/>
      <c r="EP125" s="152"/>
      <c r="EQ125" s="152"/>
      <c r="ER125" s="152"/>
      <c r="ES125" s="152"/>
      <c r="ET125" s="152"/>
      <c r="EU125" s="152"/>
      <c r="EV125" s="152"/>
      <c r="EW125" s="152"/>
      <c r="EX125" s="152"/>
      <c r="EY125" s="152"/>
      <c r="EZ125" s="152"/>
      <c r="FA125" s="152"/>
      <c r="FB125" s="152"/>
      <c r="FC125" s="152"/>
      <c r="FD125" s="152"/>
      <c r="FE125" s="152"/>
      <c r="FF125" s="152"/>
      <c r="FG125" s="152"/>
      <c r="FH125" s="152"/>
      <c r="FI125" s="152"/>
      <c r="FJ125" s="152"/>
      <c r="FK125" s="152"/>
      <c r="FL125" s="152"/>
      <c r="FM125" s="152"/>
      <c r="FN125" s="152"/>
      <c r="FO125" s="152"/>
      <c r="FP125" s="152"/>
      <c r="FQ125" s="152"/>
      <c r="FR125" s="152"/>
      <c r="FS125" s="152"/>
      <c r="FT125" s="152"/>
      <c r="FU125" s="152"/>
      <c r="FV125" s="152"/>
      <c r="FW125" s="152"/>
      <c r="FX125" s="152"/>
      <c r="FY125" s="152"/>
      <c r="FZ125" s="152"/>
      <c r="GA125" s="152"/>
      <c r="GB125" s="152"/>
      <c r="GC125" s="152"/>
      <c r="GD125" s="152"/>
      <c r="GE125" s="152"/>
      <c r="GF125" s="152"/>
      <c r="GG125" s="152"/>
      <c r="GH125" s="152"/>
      <c r="GI125" s="152"/>
      <c r="GJ125" s="152"/>
      <c r="GK125" s="152"/>
      <c r="GL125" s="152"/>
      <c r="GM125" s="152"/>
      <c r="GN125" s="152"/>
      <c r="GO125" s="152"/>
      <c r="GP125" s="152"/>
      <c r="GQ125" s="152"/>
      <c r="GR125" s="152"/>
      <c r="GS125" s="152"/>
      <c r="GT125" s="152"/>
      <c r="GU125" s="152"/>
      <c r="GV125" s="152"/>
      <c r="GW125" s="152"/>
      <c r="GX125" s="152"/>
      <c r="GY125" s="152"/>
      <c r="GZ125" s="152"/>
      <c r="HA125" s="152"/>
      <c r="HB125" s="152"/>
      <c r="HC125" s="152"/>
      <c r="HD125" s="152"/>
      <c r="HE125" s="152"/>
      <c r="HF125" s="152"/>
      <c r="HG125" s="152"/>
      <c r="HH125" s="152"/>
      <c r="HI125" s="152"/>
      <c r="HJ125" s="152"/>
      <c r="HK125" s="152"/>
      <c r="HL125" s="152"/>
      <c r="HM125" s="152"/>
      <c r="HN125" s="152"/>
      <c r="HO125" s="152"/>
      <c r="HP125" s="152"/>
      <c r="HQ125" s="152"/>
      <c r="HR125" s="152"/>
      <c r="HS125" s="152"/>
      <c r="HT125" s="152"/>
      <c r="HU125" s="152"/>
      <c r="HV125" s="152"/>
      <c r="HW125" s="152"/>
      <c r="HX125" s="152"/>
      <c r="HY125" s="152"/>
      <c r="HZ125" s="152"/>
      <c r="IA125" s="152"/>
      <c r="IB125" s="152"/>
      <c r="IC125" s="152"/>
      <c r="ID125" s="152"/>
      <c r="IE125" s="152"/>
      <c r="IF125" s="152"/>
      <c r="IG125" s="152"/>
      <c r="IH125" s="152"/>
      <c r="II125" s="152"/>
      <c r="IJ125" s="152"/>
      <c r="IK125" s="152"/>
      <c r="IL125" s="152"/>
      <c r="IM125" s="152"/>
      <c r="IN125" s="152"/>
      <c r="IO125" s="152"/>
      <c r="IP125" s="152"/>
      <c r="IQ125" s="152"/>
      <c r="IR125" s="152"/>
      <c r="IS125" s="152"/>
      <c r="IT125" s="152"/>
      <c r="IU125" s="152"/>
      <c r="IV125" s="152"/>
      <c r="IW125" s="152"/>
      <c r="IX125" s="152"/>
      <c r="IY125" s="152"/>
      <c r="IZ125" s="152"/>
      <c r="JA125" s="152"/>
      <c r="JB125" s="152"/>
      <c r="JC125" s="152"/>
      <c r="JD125" s="152"/>
      <c r="JE125" s="152"/>
      <c r="JF125" s="152"/>
      <c r="JG125" s="152"/>
      <c r="JH125" s="152"/>
      <c r="JI125" s="152"/>
      <c r="JJ125" s="152"/>
      <c r="JK125" s="152"/>
      <c r="JL125" s="152"/>
      <c r="JM125" s="152"/>
      <c r="JN125" s="152"/>
      <c r="JO125" s="152"/>
      <c r="JP125" s="152"/>
      <c r="JQ125" s="152"/>
      <c r="JR125" s="152"/>
      <c r="JS125" s="152"/>
      <c r="JT125" s="152"/>
      <c r="JU125" s="152"/>
      <c r="JV125" s="152"/>
      <c r="JW125" s="152"/>
      <c r="JX125" s="152"/>
      <c r="JY125" s="152"/>
      <c r="JZ125" s="152"/>
      <c r="KA125" s="152"/>
      <c r="KB125" s="152"/>
      <c r="KC125" s="152"/>
      <c r="KD125" s="152"/>
      <c r="KE125" s="152"/>
      <c r="KF125" s="152"/>
      <c r="KG125" s="152"/>
      <c r="KH125" s="152"/>
      <c r="KI125" s="152"/>
      <c r="KJ125" s="152"/>
      <c r="KK125" s="152"/>
      <c r="KL125" s="152"/>
      <c r="KM125" s="152"/>
      <c r="KN125" s="152"/>
      <c r="KO125" s="152"/>
      <c r="KP125" s="152"/>
      <c r="KQ125" s="152"/>
      <c r="KR125" s="152"/>
      <c r="KS125" s="152"/>
      <c r="KT125" s="152"/>
      <c r="KU125" s="152"/>
      <c r="KV125" s="152"/>
      <c r="KW125" s="152"/>
      <c r="KX125" s="152"/>
      <c r="KY125" s="152"/>
      <c r="KZ125" s="152"/>
      <c r="LA125" s="152"/>
      <c r="LB125" s="152"/>
      <c r="LC125" s="152"/>
      <c r="LD125" s="152"/>
      <c r="LE125" s="152"/>
      <c r="LF125" s="152"/>
      <c r="LG125" s="152"/>
      <c r="LH125" s="152"/>
      <c r="LI125" s="152"/>
      <c r="LJ125" s="152"/>
      <c r="LK125" s="152"/>
      <c r="LL125" s="152"/>
      <c r="LM125" s="152"/>
      <c r="LN125" s="152"/>
      <c r="LO125" s="152"/>
      <c r="LP125" s="152"/>
      <c r="LQ125" s="152"/>
      <c r="LR125" s="152"/>
      <c r="LS125" s="152"/>
      <c r="LT125" s="152"/>
      <c r="LU125" s="152"/>
      <c r="LV125" s="152"/>
      <c r="LW125" s="152"/>
      <c r="LX125" s="152"/>
      <c r="LY125" s="152"/>
      <c r="LZ125" s="152"/>
      <c r="MA125" s="152"/>
      <c r="MB125" s="152"/>
      <c r="MC125" s="152"/>
      <c r="MD125" s="152"/>
      <c r="ME125" s="152"/>
      <c r="MF125" s="152"/>
      <c r="MG125" s="152"/>
      <c r="MH125" s="152"/>
      <c r="MI125" s="152"/>
      <c r="MJ125" s="152"/>
      <c r="MK125" s="152"/>
      <c r="ML125" s="152"/>
      <c r="MM125" s="152"/>
      <c r="MN125" s="152"/>
      <c r="MO125" s="152"/>
      <c r="MP125" s="152"/>
      <c r="MQ125" s="152"/>
      <c r="MR125" s="152"/>
      <c r="MS125" s="152"/>
      <c r="MT125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U5:U6"/>
    <mergeCell ref="V5:V6"/>
    <mergeCell ref="W5:W6"/>
    <mergeCell ref="X5:X6"/>
    <mergeCell ref="AA5:AA6"/>
    <mergeCell ref="A48:C48"/>
    <mergeCell ref="A57:C57"/>
    <mergeCell ref="A66:C66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MT124"/>
  <sheetViews>
    <sheetView topLeftCell="A4" zoomScale="80" zoomScaleNormal="80" workbookViewId="0">
      <selection activeCell="A5" sqref="A5"/>
    </sheetView>
  </sheetViews>
  <sheetFormatPr defaultColWidth="9.08984375" defaultRowHeight="21" outlineLevelRow="1" outlineLevelCol="1"/>
  <cols>
    <col min="1" max="1" width="19" style="194" customWidth="1"/>
    <col min="2" max="2" width="24.90625" style="2" hidden="1" customWidth="1"/>
    <col min="3" max="3" width="21.36328125" style="2" hidden="1" customWidth="1"/>
    <col min="4" max="4" width="13.453125" style="1" hidden="1" customWidth="1"/>
    <col min="5" max="5" width="10.36328125" style="1" hidden="1" customWidth="1"/>
    <col min="6" max="9" width="11.08984375" style="3" hidden="1" customWidth="1"/>
    <col min="10" max="10" width="31.90625" style="4" hidden="1" customWidth="1"/>
    <col min="11" max="14" width="11.08984375" style="3" hidden="1" customWidth="1"/>
    <col min="15" max="15" width="2.453125" style="3" hidden="1" customWidth="1"/>
    <col min="16" max="21" width="9" style="3" customWidth="1"/>
    <col min="22" max="22" width="8.7265625" style="6" customWidth="1"/>
    <col min="23" max="23" width="9.36328125" style="6" customWidth="1"/>
    <col min="24" max="25" width="9" style="6" customWidth="1"/>
    <col min="26" max="27" width="26.453125" style="5" hidden="1" customWidth="1" outlineLevel="1"/>
    <col min="28" max="28" width="9" style="6" customWidth="1" collapsed="1"/>
    <col min="29" max="29" width="9" style="6" customWidth="1"/>
    <col min="30" max="33" width="9" style="6" hidden="1" customWidth="1" outlineLevel="1"/>
    <col min="34" max="34" width="9" style="153" customWidth="1" collapsed="1"/>
    <col min="35" max="35" width="10.08984375" style="7" bestFit="1" customWidth="1"/>
    <col min="36" max="358" width="9.08984375" style="7"/>
    <col min="359" max="16384" width="9.08984375" style="8"/>
  </cols>
  <sheetData>
    <row r="1" spans="1:358" ht="21.75" hidden="1" customHeight="1">
      <c r="AH1" s="7"/>
    </row>
    <row r="2" spans="1:358" ht="24.75" hidden="1" customHeight="1">
      <c r="A2" s="195"/>
      <c r="B2" s="10"/>
      <c r="C2" s="10"/>
      <c r="D2" s="10"/>
      <c r="E2" s="10"/>
      <c r="F2" s="10"/>
      <c r="G2" s="10"/>
      <c r="H2" s="10"/>
      <c r="I2" s="10"/>
      <c r="J2" s="11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2"/>
      <c r="AA2" s="12"/>
      <c r="AB2" s="10"/>
      <c r="AC2" s="10"/>
      <c r="AD2" s="10"/>
      <c r="AE2" s="10"/>
      <c r="AF2" s="10"/>
      <c r="AG2" s="10"/>
      <c r="AH2" s="13"/>
      <c r="AI2" s="13"/>
      <c r="AJ2" s="13"/>
    </row>
    <row r="3" spans="1:358" ht="32.25" hidden="1" customHeight="1">
      <c r="A3" s="14"/>
      <c r="B3" s="15"/>
      <c r="C3" s="15"/>
      <c r="D3" s="14"/>
      <c r="E3" s="14"/>
      <c r="F3" s="14"/>
      <c r="G3" s="14"/>
      <c r="H3" s="14"/>
      <c r="I3" s="14"/>
      <c r="J3" s="16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Z3" s="17"/>
      <c r="AA3" s="17"/>
      <c r="AH3" s="7"/>
    </row>
    <row r="4" spans="1:358" ht="15.75" customHeight="1" thickBot="1">
      <c r="AH4" s="7"/>
    </row>
    <row r="5" spans="1:358" ht="24.75" customHeight="1">
      <c r="A5" s="231"/>
      <c r="B5" s="26" t="s">
        <v>1</v>
      </c>
      <c r="C5" s="26" t="s">
        <v>2</v>
      </c>
      <c r="D5" s="27"/>
      <c r="E5" s="678" t="s">
        <v>3</v>
      </c>
      <c r="F5" s="673" t="s">
        <v>4</v>
      </c>
      <c r="G5" s="673" t="s">
        <v>5</v>
      </c>
      <c r="H5" s="680" t="s">
        <v>6</v>
      </c>
      <c r="I5" s="673" t="s">
        <v>7</v>
      </c>
      <c r="J5" s="28" t="s">
        <v>2</v>
      </c>
      <c r="K5" s="673" t="s">
        <v>8</v>
      </c>
      <c r="L5" s="425" t="s">
        <v>9</v>
      </c>
      <c r="M5" s="425" t="s">
        <v>9</v>
      </c>
      <c r="N5" s="673" t="s">
        <v>87</v>
      </c>
      <c r="O5" s="673" t="s">
        <v>13</v>
      </c>
      <c r="P5" s="673" t="s">
        <v>14</v>
      </c>
      <c r="Q5" s="673" t="s">
        <v>15</v>
      </c>
      <c r="R5" s="673" t="s">
        <v>16</v>
      </c>
      <c r="S5" s="673" t="s">
        <v>64</v>
      </c>
      <c r="T5" s="673" t="s">
        <v>65</v>
      </c>
      <c r="U5" s="673" t="s">
        <v>66</v>
      </c>
      <c r="V5" s="673" t="s">
        <v>67</v>
      </c>
      <c r="W5" s="673" t="s">
        <v>68</v>
      </c>
      <c r="X5" s="673" t="s">
        <v>69</v>
      </c>
      <c r="Y5" s="673" t="s">
        <v>70</v>
      </c>
      <c r="Z5" s="29" t="s">
        <v>10</v>
      </c>
      <c r="AA5" s="30" t="s">
        <v>11</v>
      </c>
      <c r="AB5" s="673" t="s">
        <v>77</v>
      </c>
      <c r="AC5" s="697" t="s">
        <v>78</v>
      </c>
      <c r="AD5" s="699" t="s">
        <v>79</v>
      </c>
      <c r="AE5" s="688" t="s">
        <v>80</v>
      </c>
      <c r="AF5" s="688" t="s">
        <v>81</v>
      </c>
      <c r="AG5" s="695" t="s">
        <v>82</v>
      </c>
      <c r="AH5" s="685">
        <v>2016</v>
      </c>
      <c r="AI5" s="693" t="s">
        <v>93</v>
      </c>
    </row>
    <row r="6" spans="1:358" ht="24.75" customHeight="1" thickBot="1">
      <c r="A6" s="232"/>
      <c r="B6" s="32" t="s">
        <v>18</v>
      </c>
      <c r="C6" s="32"/>
      <c r="D6" s="27"/>
      <c r="E6" s="679"/>
      <c r="F6" s="674"/>
      <c r="G6" s="674"/>
      <c r="H6" s="674"/>
      <c r="I6" s="674"/>
      <c r="J6" s="32" t="s">
        <v>19</v>
      </c>
      <c r="K6" s="674"/>
      <c r="L6" s="33" t="s">
        <v>20</v>
      </c>
      <c r="M6" s="33" t="s">
        <v>63</v>
      </c>
      <c r="N6" s="674"/>
      <c r="O6" s="674"/>
      <c r="P6" s="674"/>
      <c r="Q6" s="674"/>
      <c r="R6" s="674"/>
      <c r="S6" s="674"/>
      <c r="T6" s="674"/>
      <c r="U6" s="674"/>
      <c r="V6" s="674"/>
      <c r="W6" s="674"/>
      <c r="X6" s="674"/>
      <c r="Y6" s="674"/>
      <c r="Z6" s="187">
        <v>42644</v>
      </c>
      <c r="AA6" s="188">
        <v>42675</v>
      </c>
      <c r="AB6" s="674"/>
      <c r="AC6" s="698"/>
      <c r="AD6" s="700"/>
      <c r="AE6" s="689"/>
      <c r="AF6" s="689"/>
      <c r="AG6" s="696"/>
      <c r="AH6" s="686"/>
      <c r="AI6" s="694"/>
    </row>
    <row r="7" spans="1:358" ht="18.75" customHeight="1" thickBot="1">
      <c r="A7" s="204" t="s">
        <v>0</v>
      </c>
      <c r="B7" s="205"/>
      <c r="C7" s="205"/>
      <c r="D7" s="19"/>
      <c r="E7" s="19"/>
      <c r="F7" s="20"/>
      <c r="G7" s="20"/>
      <c r="H7" s="20"/>
      <c r="I7" s="20"/>
      <c r="J7" s="21"/>
      <c r="K7" s="20"/>
      <c r="L7" s="20"/>
      <c r="M7" s="20"/>
      <c r="N7" s="20"/>
      <c r="O7" s="20"/>
      <c r="P7" s="20"/>
      <c r="Q7" s="20"/>
      <c r="R7" s="23"/>
      <c r="S7" s="24"/>
      <c r="T7" s="24"/>
      <c r="U7" s="24"/>
      <c r="V7" s="24"/>
      <c r="W7" s="23"/>
      <c r="X7" s="24"/>
      <c r="Y7" s="24"/>
      <c r="Z7" s="22"/>
      <c r="AA7" s="22"/>
      <c r="AB7" s="24"/>
      <c r="AC7" s="24"/>
      <c r="AD7" s="302"/>
      <c r="AE7" s="24"/>
      <c r="AF7" s="24"/>
      <c r="AG7" s="303"/>
      <c r="AH7" s="238"/>
      <c r="AI7" s="427"/>
    </row>
    <row r="8" spans="1:358" ht="21.5" hidden="1" outlineLevel="1" thickBot="1">
      <c r="A8" s="209" t="s">
        <v>21</v>
      </c>
      <c r="B8" s="210">
        <v>61.78</v>
      </c>
      <c r="C8" s="210" t="s">
        <v>22</v>
      </c>
      <c r="D8" s="211"/>
      <c r="E8" s="212">
        <v>58.55</v>
      </c>
      <c r="F8" s="35"/>
      <c r="G8" s="35"/>
      <c r="H8" s="35"/>
      <c r="I8" s="35"/>
      <c r="J8" s="36"/>
      <c r="K8" s="35"/>
      <c r="L8" s="213"/>
      <c r="M8" s="213"/>
      <c r="N8" s="35"/>
      <c r="O8" s="35"/>
      <c r="P8" s="35"/>
      <c r="Q8" s="35"/>
      <c r="R8" s="38"/>
      <c r="S8" s="39"/>
      <c r="T8" s="39"/>
      <c r="U8" s="395"/>
      <c r="V8" s="39"/>
      <c r="W8" s="38"/>
      <c r="X8" s="38"/>
      <c r="Y8" s="38"/>
      <c r="Z8" s="360"/>
      <c r="AA8" s="215"/>
      <c r="AB8" s="38"/>
      <c r="AC8" s="39"/>
      <c r="AD8" s="304"/>
      <c r="AE8" s="248"/>
      <c r="AF8" s="248"/>
      <c r="AG8" s="305"/>
      <c r="AH8" s="239"/>
      <c r="AI8" s="267"/>
    </row>
    <row r="9" spans="1:358" s="46" customFormat="1" ht="18.75" hidden="1" customHeight="1" outlineLevel="1">
      <c r="A9" s="681"/>
      <c r="B9" s="682"/>
      <c r="C9" s="682"/>
      <c r="D9" s="206"/>
      <c r="E9" s="206"/>
      <c r="F9" s="42"/>
      <c r="G9" s="42"/>
      <c r="H9" s="42"/>
      <c r="I9" s="42"/>
      <c r="J9" s="207"/>
      <c r="K9" s="42"/>
      <c r="L9" s="42"/>
      <c r="M9" s="42"/>
      <c r="N9" s="42"/>
      <c r="O9" s="42"/>
      <c r="P9" s="223"/>
      <c r="Q9" s="42"/>
      <c r="R9" s="208"/>
      <c r="S9" s="208"/>
      <c r="T9" s="208"/>
      <c r="U9" s="208"/>
      <c r="V9" s="208"/>
      <c r="W9" s="208"/>
      <c r="X9" s="208"/>
      <c r="Y9" s="208"/>
      <c r="Z9" s="216"/>
      <c r="AA9" s="217"/>
      <c r="AB9" s="208"/>
      <c r="AC9" s="233"/>
      <c r="AD9" s="306"/>
      <c r="AE9" s="208"/>
      <c r="AF9" s="208"/>
      <c r="AG9" s="307"/>
      <c r="AH9" s="240"/>
      <c r="AI9" s="268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5"/>
      <c r="EA9" s="45"/>
      <c r="EB9" s="45"/>
      <c r="EC9" s="45"/>
      <c r="ED9" s="45"/>
      <c r="EE9" s="45"/>
      <c r="EF9" s="45"/>
      <c r="EG9" s="45"/>
      <c r="EH9" s="45"/>
      <c r="EI9" s="45"/>
      <c r="EJ9" s="45"/>
      <c r="EK9" s="45"/>
      <c r="EL9" s="45"/>
      <c r="EM9" s="45"/>
      <c r="EN9" s="45"/>
      <c r="EO9" s="45"/>
      <c r="EP9" s="45"/>
      <c r="EQ9" s="45"/>
      <c r="ER9" s="45"/>
      <c r="ES9" s="45"/>
      <c r="ET9" s="45"/>
      <c r="EU9" s="45"/>
      <c r="EV9" s="45"/>
      <c r="EW9" s="45"/>
      <c r="EX9" s="45"/>
      <c r="EY9" s="45"/>
      <c r="EZ9" s="45"/>
      <c r="FA9" s="45"/>
      <c r="FB9" s="45"/>
      <c r="FC9" s="45"/>
      <c r="FD9" s="45"/>
      <c r="FE9" s="45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45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45"/>
      <c r="GR9" s="45"/>
      <c r="GS9" s="45"/>
      <c r="GT9" s="45"/>
      <c r="GU9" s="45"/>
      <c r="GV9" s="45"/>
      <c r="GW9" s="45"/>
      <c r="GX9" s="45"/>
      <c r="GY9" s="45"/>
      <c r="GZ9" s="45"/>
      <c r="HA9" s="45"/>
      <c r="HB9" s="45"/>
      <c r="HC9" s="45"/>
      <c r="HD9" s="45"/>
      <c r="HE9" s="45"/>
      <c r="HF9" s="45"/>
      <c r="HG9" s="45"/>
      <c r="HH9" s="45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  <c r="IO9" s="45"/>
      <c r="IP9" s="45"/>
      <c r="IQ9" s="45"/>
      <c r="IR9" s="45"/>
      <c r="IS9" s="45"/>
      <c r="IT9" s="45"/>
      <c r="IU9" s="45"/>
      <c r="IV9" s="45"/>
      <c r="IW9" s="45"/>
      <c r="IX9" s="45"/>
      <c r="IY9" s="45"/>
      <c r="IZ9" s="45"/>
      <c r="JA9" s="45"/>
      <c r="JB9" s="45"/>
      <c r="JC9" s="45"/>
      <c r="JD9" s="45"/>
      <c r="JE9" s="45"/>
      <c r="JF9" s="45"/>
      <c r="JG9" s="45"/>
      <c r="JH9" s="45"/>
      <c r="JI9" s="45"/>
      <c r="JJ9" s="45"/>
      <c r="JK9" s="45"/>
      <c r="JL9" s="45"/>
      <c r="JM9" s="45"/>
      <c r="JN9" s="45"/>
      <c r="JO9" s="45"/>
      <c r="JP9" s="45"/>
      <c r="JQ9" s="45"/>
      <c r="JR9" s="45"/>
      <c r="JS9" s="45"/>
      <c r="JT9" s="45"/>
      <c r="JU9" s="45"/>
      <c r="JV9" s="45"/>
      <c r="JW9" s="45"/>
      <c r="JX9" s="45"/>
      <c r="JY9" s="45"/>
      <c r="JZ9" s="45"/>
      <c r="KA9" s="45"/>
      <c r="KB9" s="45"/>
      <c r="KC9" s="45"/>
      <c r="KD9" s="45"/>
      <c r="KE9" s="45"/>
      <c r="KF9" s="45"/>
      <c r="KG9" s="45"/>
      <c r="KH9" s="45"/>
      <c r="KI9" s="45"/>
      <c r="KJ9" s="45"/>
      <c r="KK9" s="45"/>
      <c r="KL9" s="45"/>
      <c r="KM9" s="45"/>
      <c r="KN9" s="45"/>
      <c r="KO9" s="45"/>
      <c r="KP9" s="45"/>
      <c r="KQ9" s="45"/>
      <c r="KR9" s="45"/>
      <c r="KS9" s="45"/>
      <c r="KT9" s="45"/>
      <c r="KU9" s="45"/>
      <c r="KV9" s="45"/>
      <c r="KW9" s="45"/>
      <c r="KX9" s="45"/>
      <c r="KY9" s="45"/>
      <c r="KZ9" s="45"/>
      <c r="LA9" s="45"/>
      <c r="LB9" s="45"/>
      <c r="LC9" s="45"/>
      <c r="LD9" s="45"/>
      <c r="LE9" s="45"/>
      <c r="LF9" s="45"/>
      <c r="LG9" s="45"/>
      <c r="LH9" s="45"/>
      <c r="LI9" s="45"/>
      <c r="LJ9" s="45"/>
      <c r="LK9" s="45"/>
      <c r="LL9" s="45"/>
      <c r="LM9" s="45"/>
      <c r="LN9" s="45"/>
      <c r="LO9" s="45"/>
      <c r="LP9" s="45"/>
      <c r="LQ9" s="45"/>
      <c r="LR9" s="45"/>
      <c r="LS9" s="45"/>
      <c r="LT9" s="45"/>
      <c r="LU9" s="45"/>
      <c r="LV9" s="45"/>
      <c r="LW9" s="45"/>
      <c r="LX9" s="45"/>
      <c r="LY9" s="45"/>
      <c r="LZ9" s="45"/>
      <c r="MA9" s="45"/>
      <c r="MB9" s="45"/>
      <c r="MC9" s="45"/>
      <c r="MD9" s="45"/>
      <c r="ME9" s="45"/>
      <c r="MF9" s="45"/>
      <c r="MG9" s="45"/>
      <c r="MH9" s="45"/>
      <c r="MI9" s="45"/>
      <c r="MJ9" s="45"/>
      <c r="MK9" s="45"/>
      <c r="ML9" s="45"/>
      <c r="MM9" s="45"/>
      <c r="MN9" s="45"/>
      <c r="MO9" s="45"/>
      <c r="MP9" s="45"/>
      <c r="MQ9" s="45"/>
      <c r="MR9" s="45"/>
      <c r="MS9" s="45"/>
      <c r="MT9" s="45"/>
    </row>
    <row r="10" spans="1:358" ht="58.5" hidden="1" customHeight="1" outlineLevel="1">
      <c r="A10" s="47" t="s">
        <v>23</v>
      </c>
      <c r="B10" s="48">
        <f>C10-$B$8</f>
        <v>-1.7800000000000011</v>
      </c>
      <c r="C10" s="48">
        <v>60</v>
      </c>
      <c r="D10" s="49"/>
      <c r="E10" s="49"/>
      <c r="F10" s="50"/>
      <c r="G10" s="51"/>
      <c r="H10" s="52"/>
      <c r="I10" s="52"/>
      <c r="J10" s="53"/>
      <c r="K10" s="181">
        <v>47</v>
      </c>
      <c r="L10" s="181">
        <v>47</v>
      </c>
      <c r="M10" s="181">
        <v>48</v>
      </c>
      <c r="N10" s="181">
        <v>46</v>
      </c>
      <c r="O10" s="181">
        <v>37</v>
      </c>
      <c r="P10" s="390">
        <v>26.81</v>
      </c>
      <c r="Q10" s="390">
        <v>29.30263157894737</v>
      </c>
      <c r="R10" s="388">
        <v>35.141818181818174</v>
      </c>
      <c r="S10" s="388">
        <v>39.03</v>
      </c>
      <c r="T10" s="388">
        <v>44.268571428571427</v>
      </c>
      <c r="U10" s="388">
        <v>46.255909090909093</v>
      </c>
      <c r="V10" s="388">
        <v>42.464500000000008</v>
      </c>
      <c r="W10" s="388">
        <v>43.702272727272721</v>
      </c>
      <c r="X10" s="189">
        <v>44.3</v>
      </c>
      <c r="Y10" s="189">
        <v>45</v>
      </c>
      <c r="Z10" s="185"/>
      <c r="AA10" s="186"/>
      <c r="AB10" s="189">
        <v>45.5</v>
      </c>
      <c r="AC10" s="297">
        <v>46</v>
      </c>
      <c r="AD10" s="308">
        <f>AVERAGE(P10:R10)</f>
        <v>30.418149920255178</v>
      </c>
      <c r="AE10" s="246">
        <f>AVERAGE(S10:T10:U10)</f>
        <v>43.184826839826833</v>
      </c>
      <c r="AF10" s="246">
        <f>AVERAGE(V10:X10)</f>
        <v>43.48892424242424</v>
      </c>
      <c r="AG10" s="309">
        <f>AVERAGE(Y10:AC10)</f>
        <v>45.5</v>
      </c>
      <c r="AH10" s="241">
        <f>AVERAGE(P10:AC10)</f>
        <v>40.647975250626565</v>
      </c>
      <c r="AI10" s="267"/>
    </row>
    <row r="11" spans="1:358" ht="58.5" hidden="1" customHeight="1" outlineLevel="1">
      <c r="A11" s="47" t="s">
        <v>24</v>
      </c>
      <c r="B11" s="48">
        <f t="shared" ref="B11:B12" si="0">C11-$B$8</f>
        <v>-0.78000000000000114</v>
      </c>
      <c r="C11" s="48">
        <v>61</v>
      </c>
      <c r="D11" s="49"/>
      <c r="E11" s="49"/>
      <c r="F11" s="52"/>
      <c r="G11" s="51"/>
      <c r="H11" s="52"/>
      <c r="I11" s="52"/>
      <c r="J11" s="55"/>
      <c r="K11" s="181">
        <v>46.5</v>
      </c>
      <c r="L11" s="181">
        <v>46</v>
      </c>
      <c r="M11" s="181">
        <v>49.6</v>
      </c>
      <c r="N11" s="181">
        <v>47</v>
      </c>
      <c r="O11" s="175"/>
      <c r="P11" s="390">
        <v>26.81</v>
      </c>
      <c r="Q11" s="390">
        <v>29.30263157894737</v>
      </c>
      <c r="R11" s="389">
        <v>35.141818181818174</v>
      </c>
      <c r="S11" s="388">
        <v>39.03</v>
      </c>
      <c r="T11" s="388">
        <v>44.268571428571427</v>
      </c>
      <c r="U11" s="389">
        <v>46.255909090909093</v>
      </c>
      <c r="V11" s="389">
        <v>42.464500000000008</v>
      </c>
      <c r="W11" s="389">
        <v>43.702272727272721</v>
      </c>
      <c r="X11" s="183">
        <v>44.5</v>
      </c>
      <c r="Y11" s="183">
        <v>46</v>
      </c>
      <c r="Z11" s="185"/>
      <c r="AA11" s="186"/>
      <c r="AB11" s="183">
        <v>46.5</v>
      </c>
      <c r="AC11" s="298">
        <v>46.5</v>
      </c>
      <c r="AD11" s="308">
        <f>AVERAGE(P11:R11)</f>
        <v>30.418149920255178</v>
      </c>
      <c r="AE11" s="246">
        <f>AVERAGE(S11:T11:U11)</f>
        <v>43.184826839826833</v>
      </c>
      <c r="AF11" s="246">
        <f>AVERAGE(V11:X11)</f>
        <v>43.55559090909091</v>
      </c>
      <c r="AG11" s="309">
        <f t="shared" ref="AG11:AG13" si="1">AVERAGE(Y11:AC11)</f>
        <v>46.333333333333336</v>
      </c>
      <c r="AH11" s="241">
        <f>AVERAGE(P11:AC11)</f>
        <v>40.87297525062656</v>
      </c>
      <c r="AI11" s="267"/>
    </row>
    <row r="12" spans="1:358" ht="58.5" hidden="1" customHeight="1" outlineLevel="1">
      <c r="A12" s="47" t="s">
        <v>25</v>
      </c>
      <c r="B12" s="48">
        <f t="shared" si="0"/>
        <v>-0.28000000000000114</v>
      </c>
      <c r="C12" s="48">
        <v>61.5</v>
      </c>
      <c r="D12" s="49"/>
      <c r="E12" s="49"/>
      <c r="F12" s="56"/>
      <c r="G12" s="57"/>
      <c r="H12" s="56"/>
      <c r="I12" s="56"/>
      <c r="J12" s="55"/>
      <c r="K12" s="189">
        <v>47.4</v>
      </c>
      <c r="L12" s="189">
        <v>47.4</v>
      </c>
      <c r="M12" s="189">
        <v>48.4</v>
      </c>
      <c r="N12" s="189">
        <v>45.5</v>
      </c>
      <c r="O12" s="189"/>
      <c r="P12" s="390">
        <v>26.81</v>
      </c>
      <c r="Q12" s="390">
        <v>29.30263157894737</v>
      </c>
      <c r="R12" s="388">
        <v>35.141818181818174</v>
      </c>
      <c r="S12" s="388">
        <v>39.03</v>
      </c>
      <c r="T12" s="388">
        <v>44.268571428571427</v>
      </c>
      <c r="U12" s="389">
        <v>46.255909090909093</v>
      </c>
      <c r="V12" s="389">
        <v>42.464500000000008</v>
      </c>
      <c r="W12" s="388">
        <v>43.702272727272721</v>
      </c>
      <c r="X12" s="189">
        <v>44</v>
      </c>
      <c r="Y12" s="189">
        <v>44.5</v>
      </c>
      <c r="Z12" s="185" t="s">
        <v>218</v>
      </c>
      <c r="AA12" s="186" t="s">
        <v>219</v>
      </c>
      <c r="AB12" s="189">
        <v>45</v>
      </c>
      <c r="AC12" s="297">
        <v>46</v>
      </c>
      <c r="AD12" s="308">
        <f>AVERAGE(P12:R12)</f>
        <v>30.418149920255178</v>
      </c>
      <c r="AE12" s="246">
        <f>AVERAGE(S12:T12:U12)</f>
        <v>43.184826839826833</v>
      </c>
      <c r="AF12" s="246">
        <f>AVERAGE(V12:X12)</f>
        <v>43.388924242424245</v>
      </c>
      <c r="AG12" s="309">
        <f t="shared" si="1"/>
        <v>45.166666666666664</v>
      </c>
      <c r="AH12" s="241">
        <f>AVERAGE(P12:AC12)</f>
        <v>40.539641917293231</v>
      </c>
      <c r="AI12" s="267"/>
    </row>
    <row r="13" spans="1:358" ht="58.5" hidden="1" customHeight="1" outlineLevel="1">
      <c r="A13" s="47" t="s">
        <v>26</v>
      </c>
      <c r="B13" s="48">
        <f>C13-$B$8</f>
        <v>0.76999999999999602</v>
      </c>
      <c r="C13" s="48">
        <v>62.55</v>
      </c>
      <c r="D13" s="49"/>
      <c r="E13" s="49"/>
      <c r="F13" s="52"/>
      <c r="G13" s="51"/>
      <c r="H13" s="52"/>
      <c r="I13" s="52"/>
      <c r="J13" s="55"/>
      <c r="K13" s="181">
        <v>52.3</v>
      </c>
      <c r="L13" s="181">
        <v>47</v>
      </c>
      <c r="M13" s="181">
        <v>48.54</v>
      </c>
      <c r="N13" s="181">
        <v>46.5</v>
      </c>
      <c r="O13" s="181">
        <v>37</v>
      </c>
      <c r="P13" s="390">
        <v>26.81</v>
      </c>
      <c r="Q13" s="390">
        <v>29.30263157894737</v>
      </c>
      <c r="R13" s="388">
        <v>35.141818181818174</v>
      </c>
      <c r="S13" s="388">
        <v>39.03</v>
      </c>
      <c r="T13" s="388">
        <v>44.268571428571427</v>
      </c>
      <c r="U13" s="388">
        <v>46.255909090909093</v>
      </c>
      <c r="V13" s="388">
        <v>42.464500000000008</v>
      </c>
      <c r="W13" s="388">
        <v>43.702272727272721</v>
      </c>
      <c r="X13" s="189">
        <v>44</v>
      </c>
      <c r="Y13" s="189">
        <v>45.5</v>
      </c>
      <c r="Z13" s="253" t="s">
        <v>210</v>
      </c>
      <c r="AA13" s="254"/>
      <c r="AB13" s="189">
        <v>48</v>
      </c>
      <c r="AC13" s="297">
        <v>49</v>
      </c>
      <c r="AD13" s="308">
        <f>AVERAGE(P13:R13)</f>
        <v>30.418149920255178</v>
      </c>
      <c r="AE13" s="246">
        <f>AVERAGE(S13:T13:U13)</f>
        <v>43.184826839826833</v>
      </c>
      <c r="AF13" s="246">
        <f>AVERAGE(V13:X13)</f>
        <v>43.388924242424245</v>
      </c>
      <c r="AG13" s="309">
        <f t="shared" si="1"/>
        <v>47.5</v>
      </c>
      <c r="AH13" s="241">
        <f>AVERAGE(P13:AC13)</f>
        <v>41.12297525062656</v>
      </c>
      <c r="AI13" s="267"/>
    </row>
    <row r="14" spans="1:358" s="62" customFormat="1" ht="19" hidden="1" outlineLevel="1" thickBot="1">
      <c r="A14" s="245" t="s">
        <v>75</v>
      </c>
      <c r="B14" s="244" t="s">
        <v>27</v>
      </c>
      <c r="C14" s="58" t="s">
        <v>27</v>
      </c>
      <c r="D14" s="58"/>
      <c r="E14" s="58"/>
      <c r="F14" s="59"/>
      <c r="G14" s="59"/>
      <c r="H14" s="59"/>
      <c r="I14" s="59"/>
      <c r="J14" s="59" t="e">
        <f t="shared" ref="J14:K14" si="2">AVERAGE(J10:J13)</f>
        <v>#DIV/0!</v>
      </c>
      <c r="K14" s="59">
        <f t="shared" si="2"/>
        <v>48.3</v>
      </c>
      <c r="L14" s="59">
        <f>AVERAGE(L10:L13)</f>
        <v>46.85</v>
      </c>
      <c r="M14" s="59">
        <f>AVERAGE(M10:M13)</f>
        <v>48.634999999999998</v>
      </c>
      <c r="N14" s="59">
        <f>AVERAGE(N10:N13)</f>
        <v>46.25</v>
      </c>
      <c r="O14" s="59">
        <f t="shared" ref="O14" si="3">AVERAGE(O10:O13)</f>
        <v>37</v>
      </c>
      <c r="P14" s="414">
        <f>AVERAGE(P10:P13)</f>
        <v>26.81</v>
      </c>
      <c r="Q14" s="414">
        <f>AVERAGE(Q10:Q13)</f>
        <v>29.30263157894737</v>
      </c>
      <c r="R14" s="414">
        <f>AVERAGE(R10:R13)</f>
        <v>35.141818181818174</v>
      </c>
      <c r="S14" s="414">
        <f>AVERAGE(S10:S13)</f>
        <v>39.03</v>
      </c>
      <c r="T14" s="414">
        <f>AVERAGE(T10:T13)</f>
        <v>44.268571428571427</v>
      </c>
      <c r="U14" s="414">
        <f t="shared" ref="U14:AC14" si="4">AVERAGE(U10:U13)</f>
        <v>46.255909090909093</v>
      </c>
      <c r="V14" s="414">
        <f t="shared" si="4"/>
        <v>42.464500000000008</v>
      </c>
      <c r="W14" s="414">
        <f t="shared" si="4"/>
        <v>43.702272727272721</v>
      </c>
      <c r="X14" s="59">
        <f t="shared" si="4"/>
        <v>44.2</v>
      </c>
      <c r="Y14" s="59">
        <f t="shared" si="4"/>
        <v>45.25</v>
      </c>
      <c r="Z14" s="369"/>
      <c r="AA14" s="369"/>
      <c r="AB14" s="59">
        <f t="shared" si="4"/>
        <v>46.25</v>
      </c>
      <c r="AC14" s="234">
        <f t="shared" si="4"/>
        <v>46.875</v>
      </c>
      <c r="AD14" s="310">
        <f>AVERAGE(AD10:AD13)</f>
        <v>30.418149920255178</v>
      </c>
      <c r="AE14" s="59">
        <f t="shared" ref="AE14" si="5">AVERAGE(AE10:AE13)</f>
        <v>43.184826839826833</v>
      </c>
      <c r="AF14" s="59">
        <f>AVERAGE(AF10:AF13)</f>
        <v>43.455590909090915</v>
      </c>
      <c r="AG14" s="311">
        <f>AVERAGE(AG10:AG13)</f>
        <v>46.125</v>
      </c>
      <c r="AH14" s="242">
        <f>AVERAGE(AH10:AH13)</f>
        <v>40.795891917293226</v>
      </c>
      <c r="AI14" s="269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</row>
    <row r="15" spans="1:358" ht="19" collapsed="1" thickBot="1">
      <c r="A15" s="227" t="s">
        <v>74</v>
      </c>
      <c r="B15" s="160"/>
      <c r="C15" s="160"/>
      <c r="D15" s="161"/>
      <c r="E15" s="161"/>
      <c r="F15" s="162"/>
      <c r="G15" s="162"/>
      <c r="H15" s="162"/>
      <c r="I15" s="162"/>
      <c r="J15" s="163"/>
      <c r="K15" s="162"/>
      <c r="L15" s="162"/>
      <c r="M15" s="162"/>
      <c r="N15" s="164">
        <f>N14</f>
        <v>46.25</v>
      </c>
      <c r="O15" s="164"/>
      <c r="P15" s="414">
        <f>P14</f>
        <v>26.81</v>
      </c>
      <c r="Q15" s="414">
        <f t="shared" ref="Q15" si="6">Q14</f>
        <v>29.30263157894737</v>
      </c>
      <c r="R15" s="414">
        <f>R14</f>
        <v>35.141818181818174</v>
      </c>
      <c r="S15" s="414">
        <f>S14</f>
        <v>39.03</v>
      </c>
      <c r="T15" s="414">
        <f>T14</f>
        <v>44.268571428571427</v>
      </c>
      <c r="U15" s="414">
        <v>46.4</v>
      </c>
      <c r="V15" s="414">
        <f>V14</f>
        <v>42.464500000000008</v>
      </c>
      <c r="W15" s="414">
        <f>W14</f>
        <v>43.702272727272721</v>
      </c>
      <c r="X15" s="164">
        <v>44</v>
      </c>
      <c r="Y15" s="164">
        <v>45</v>
      </c>
      <c r="Z15" s="370"/>
      <c r="AA15" s="370"/>
      <c r="AB15" s="164">
        <v>46</v>
      </c>
      <c r="AC15" s="229">
        <v>46</v>
      </c>
      <c r="AD15" s="312">
        <f>AVERAGE(P15:R15)</f>
        <v>30.418149920255178</v>
      </c>
      <c r="AE15" s="164">
        <f>AVERAGE(S15:T15:U15)</f>
        <v>43.232857142857142</v>
      </c>
      <c r="AF15" s="164">
        <f>AVERAGE(V15:X15)</f>
        <v>43.388924242424245</v>
      </c>
      <c r="AG15" s="313">
        <f>AVERAGE(Y15:AC15)</f>
        <v>45.666666666666664</v>
      </c>
      <c r="AH15" s="242">
        <f>AVERAGE(P15:AC15)</f>
        <v>40.67664949305081</v>
      </c>
      <c r="AI15" s="271">
        <v>54</v>
      </c>
      <c r="AJ15" s="179"/>
      <c r="AK15" s="179"/>
    </row>
    <row r="16" spans="1:358" ht="21.5" thickBot="1">
      <c r="A16" s="196" t="s">
        <v>28</v>
      </c>
      <c r="B16" s="64"/>
      <c r="C16" s="64"/>
      <c r="D16" s="65"/>
      <c r="E16" s="65"/>
      <c r="F16" s="20"/>
      <c r="G16" s="20"/>
      <c r="H16" s="20"/>
      <c r="I16" s="20"/>
      <c r="J16" s="66"/>
      <c r="K16" s="20"/>
      <c r="L16" s="20"/>
      <c r="M16" s="20"/>
      <c r="N16" s="20"/>
      <c r="O16" s="20"/>
      <c r="P16" s="20"/>
      <c r="Q16" s="20"/>
      <c r="R16" s="23"/>
      <c r="S16" s="24"/>
      <c r="T16" s="24"/>
      <c r="U16" s="24"/>
      <c r="V16" s="24"/>
      <c r="W16" s="23"/>
      <c r="X16" s="23"/>
      <c r="Y16" s="23"/>
      <c r="Z16" s="371"/>
      <c r="AA16" s="371"/>
      <c r="AB16" s="23"/>
      <c r="AC16" s="24"/>
      <c r="AD16" s="314"/>
      <c r="AE16" s="23"/>
      <c r="AF16" s="23"/>
      <c r="AG16" s="303"/>
      <c r="AH16" s="238"/>
      <c r="AI16" s="272"/>
    </row>
    <row r="17" spans="1:358" ht="21.5" hidden="1" outlineLevel="1" thickBot="1">
      <c r="A17" s="47" t="s">
        <v>29</v>
      </c>
      <c r="B17" s="34">
        <v>-1.78</v>
      </c>
      <c r="C17" s="34" t="str">
        <f>C8</f>
        <v>Previous WK</v>
      </c>
      <c r="D17" s="70"/>
      <c r="E17" s="71">
        <v>1.01</v>
      </c>
      <c r="F17" s="35"/>
      <c r="G17" s="35"/>
      <c r="H17" s="35"/>
      <c r="I17" s="35"/>
      <c r="J17" s="72"/>
      <c r="K17" s="35"/>
      <c r="L17" s="37"/>
      <c r="M17" s="37"/>
      <c r="N17" s="35"/>
      <c r="O17" s="35"/>
      <c r="P17" s="74"/>
      <c r="Q17" s="74"/>
      <c r="R17" s="74"/>
      <c r="S17" s="39"/>
      <c r="T17" s="39"/>
      <c r="U17" s="395"/>
      <c r="V17" s="39"/>
      <c r="W17" s="38"/>
      <c r="X17" s="38"/>
      <c r="Y17" s="38"/>
      <c r="Z17" s="372"/>
      <c r="AA17" s="372"/>
      <c r="AB17" s="38"/>
      <c r="AC17" s="39"/>
      <c r="AD17" s="304"/>
      <c r="AE17" s="248"/>
      <c r="AF17" s="248"/>
      <c r="AG17" s="305"/>
      <c r="AH17" s="239"/>
      <c r="AI17" s="272"/>
    </row>
    <row r="18" spans="1:358" s="77" customFormat="1" ht="21" hidden="1" customHeight="1" outlineLevel="1">
      <c r="A18" s="675"/>
      <c r="B18" s="676"/>
      <c r="C18" s="676"/>
      <c r="D18" s="75"/>
      <c r="E18" s="75"/>
      <c r="F18" s="76"/>
      <c r="G18" s="76"/>
      <c r="H18" s="76"/>
      <c r="I18" s="76"/>
      <c r="J18" s="43"/>
      <c r="K18" s="76"/>
      <c r="L18" s="76"/>
      <c r="M18" s="76"/>
      <c r="N18" s="76"/>
      <c r="O18" s="76"/>
      <c r="P18" s="222"/>
      <c r="Q18" s="76"/>
      <c r="R18" s="44"/>
      <c r="S18" s="44"/>
      <c r="T18" s="44"/>
      <c r="U18" s="44"/>
      <c r="V18" s="44"/>
      <c r="W18" s="44"/>
      <c r="X18" s="44"/>
      <c r="Y18" s="44"/>
      <c r="Z18" s="373"/>
      <c r="AA18" s="374"/>
      <c r="AB18" s="44"/>
      <c r="AC18" s="235"/>
      <c r="AD18" s="315"/>
      <c r="AE18" s="44"/>
      <c r="AF18" s="44"/>
      <c r="AG18" s="316"/>
      <c r="AH18" s="240"/>
      <c r="AI18" s="272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5"/>
      <c r="EA18" s="45"/>
      <c r="EB18" s="45"/>
      <c r="EC18" s="45"/>
      <c r="ED18" s="45"/>
      <c r="EE18" s="45"/>
      <c r="EF18" s="45"/>
      <c r="EG18" s="45"/>
      <c r="EH18" s="45"/>
      <c r="EI18" s="45"/>
      <c r="EJ18" s="45"/>
      <c r="EK18" s="45"/>
      <c r="EL18" s="45"/>
      <c r="EM18" s="45"/>
      <c r="EN18" s="45"/>
      <c r="EO18" s="45"/>
      <c r="EP18" s="45"/>
      <c r="EQ18" s="45"/>
      <c r="ER18" s="45"/>
      <c r="ES18" s="45"/>
      <c r="ET18" s="45"/>
      <c r="EU18" s="45"/>
      <c r="EV18" s="45"/>
      <c r="EW18" s="45"/>
      <c r="EX18" s="45"/>
      <c r="EY18" s="45"/>
      <c r="EZ18" s="45"/>
      <c r="FA18" s="45"/>
      <c r="FB18" s="45"/>
      <c r="FC18" s="45"/>
      <c r="FD18" s="45"/>
      <c r="FE18" s="45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45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45"/>
      <c r="GR18" s="45"/>
      <c r="GS18" s="45"/>
      <c r="GT18" s="45"/>
      <c r="GU18" s="45"/>
      <c r="GV18" s="45"/>
      <c r="GW18" s="45"/>
      <c r="GX18" s="45"/>
      <c r="GY18" s="45"/>
      <c r="GZ18" s="45"/>
      <c r="HA18" s="45"/>
      <c r="HB18" s="45"/>
      <c r="HC18" s="45"/>
      <c r="HD18" s="45"/>
      <c r="HE18" s="45"/>
      <c r="HF18" s="45"/>
      <c r="HG18" s="45"/>
      <c r="HH18" s="45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  <c r="IO18" s="45"/>
      <c r="IP18" s="45"/>
      <c r="IQ18" s="45"/>
      <c r="IR18" s="45"/>
      <c r="IS18" s="45"/>
      <c r="IT18" s="45"/>
      <c r="IU18" s="45"/>
      <c r="IV18" s="45"/>
      <c r="IW18" s="45"/>
      <c r="IX18" s="45"/>
      <c r="IY18" s="45"/>
      <c r="IZ18" s="45"/>
      <c r="JA18" s="45"/>
      <c r="JB18" s="45"/>
      <c r="JC18" s="45"/>
      <c r="JD18" s="45"/>
      <c r="JE18" s="45"/>
      <c r="JF18" s="45"/>
      <c r="JG18" s="45"/>
      <c r="JH18" s="45"/>
      <c r="JI18" s="45"/>
      <c r="JJ18" s="45"/>
      <c r="JK18" s="45"/>
      <c r="JL18" s="45"/>
      <c r="JM18" s="45"/>
      <c r="JN18" s="45"/>
      <c r="JO18" s="45"/>
      <c r="JP18" s="45"/>
      <c r="JQ18" s="45"/>
      <c r="JR18" s="45"/>
      <c r="JS18" s="45"/>
      <c r="JT18" s="45"/>
      <c r="JU18" s="45"/>
      <c r="JV18" s="45"/>
      <c r="JW18" s="45"/>
      <c r="JX18" s="45"/>
      <c r="JY18" s="45"/>
      <c r="JZ18" s="45"/>
      <c r="KA18" s="45"/>
      <c r="KB18" s="45"/>
      <c r="KC18" s="45"/>
      <c r="KD18" s="45"/>
      <c r="KE18" s="45"/>
      <c r="KF18" s="45"/>
      <c r="KG18" s="45"/>
      <c r="KH18" s="45"/>
      <c r="KI18" s="45"/>
      <c r="KJ18" s="45"/>
      <c r="KK18" s="45"/>
      <c r="KL18" s="45"/>
      <c r="KM18" s="45"/>
      <c r="KN18" s="45"/>
      <c r="KO18" s="45"/>
      <c r="KP18" s="45"/>
      <c r="KQ18" s="45"/>
      <c r="KR18" s="45"/>
      <c r="KS18" s="45"/>
      <c r="KT18" s="45"/>
      <c r="KU18" s="45"/>
      <c r="KV18" s="45"/>
      <c r="KW18" s="45"/>
      <c r="KX18" s="45"/>
      <c r="KY18" s="45"/>
      <c r="KZ18" s="45"/>
      <c r="LA18" s="45"/>
      <c r="LB18" s="45"/>
      <c r="LC18" s="45"/>
      <c r="LD18" s="45"/>
      <c r="LE18" s="45"/>
      <c r="LF18" s="45"/>
      <c r="LG18" s="45"/>
      <c r="LH18" s="45"/>
      <c r="LI18" s="45"/>
      <c r="LJ18" s="45"/>
      <c r="LK18" s="45"/>
      <c r="LL18" s="45"/>
      <c r="LM18" s="45"/>
      <c r="LN18" s="45"/>
      <c r="LO18" s="45"/>
      <c r="LP18" s="45"/>
      <c r="LQ18" s="45"/>
      <c r="LR18" s="45"/>
      <c r="LS18" s="45"/>
      <c r="LT18" s="45"/>
      <c r="LU18" s="45"/>
      <c r="LV18" s="45"/>
      <c r="LW18" s="45"/>
      <c r="LX18" s="45"/>
      <c r="LY18" s="45"/>
      <c r="LZ18" s="45"/>
      <c r="MA18" s="45"/>
      <c r="MB18" s="45"/>
      <c r="MC18" s="45"/>
      <c r="MD18" s="45"/>
      <c r="ME18" s="45"/>
      <c r="MF18" s="45"/>
      <c r="MG18" s="45"/>
      <c r="MH18" s="45"/>
      <c r="MI18" s="45"/>
      <c r="MJ18" s="45"/>
      <c r="MK18" s="45"/>
      <c r="ML18" s="45"/>
      <c r="MM18" s="45"/>
      <c r="MN18" s="45"/>
      <c r="MO18" s="45"/>
      <c r="MP18" s="45"/>
      <c r="MQ18" s="45"/>
      <c r="MR18" s="45"/>
      <c r="MS18" s="45"/>
      <c r="MT18" s="45"/>
    </row>
    <row r="19" spans="1:358" ht="58.5" hidden="1" customHeight="1" outlineLevel="1">
      <c r="A19" s="47" t="s">
        <v>23</v>
      </c>
      <c r="B19" s="48">
        <f>C19-$B$17</f>
        <v>0.28000000000000003</v>
      </c>
      <c r="C19" s="55">
        <v>-1.5</v>
      </c>
      <c r="D19" s="49"/>
      <c r="E19" s="49"/>
      <c r="F19" s="50"/>
      <c r="G19" s="57"/>
      <c r="H19" s="56"/>
      <c r="I19" s="56"/>
      <c r="J19" s="53"/>
      <c r="K19" s="189">
        <v>1</v>
      </c>
      <c r="L19" s="189">
        <v>2</v>
      </c>
      <c r="M19" s="189">
        <v>2</v>
      </c>
      <c r="N19" s="171">
        <v>4</v>
      </c>
      <c r="O19" s="189">
        <v>9.75</v>
      </c>
      <c r="P19" s="388">
        <v>9.7899999999999991</v>
      </c>
      <c r="Q19" s="388">
        <v>4.5752631578947387</v>
      </c>
      <c r="R19" s="388">
        <v>3.8622727272727388</v>
      </c>
      <c r="S19" s="388">
        <v>3.33</v>
      </c>
      <c r="T19" s="388">
        <v>-0.23190476190475806</v>
      </c>
      <c r="U19" s="388">
        <v>-0.89681818181818329</v>
      </c>
      <c r="V19" s="388">
        <v>-0.8335000000000008</v>
      </c>
      <c r="W19" s="388">
        <v>-3.8445454545454467</v>
      </c>
      <c r="X19" s="189">
        <v>-1.97</v>
      </c>
      <c r="Y19" s="189">
        <v>-1.5</v>
      </c>
      <c r="Z19" s="185"/>
      <c r="AA19" s="186"/>
      <c r="AB19" s="189">
        <v>0</v>
      </c>
      <c r="AC19" s="297">
        <v>0.5</v>
      </c>
      <c r="AD19" s="308">
        <f>AVERAGE(P19:R19)</f>
        <v>6.0758452950558253</v>
      </c>
      <c r="AE19" s="246">
        <f>AVERAGE(S19:T19:U19)</f>
        <v>0.73375901875901961</v>
      </c>
      <c r="AF19" s="246">
        <f>AVERAGE(V19:X19)</f>
        <v>-2.2160151515151489</v>
      </c>
      <c r="AG19" s="309">
        <f>AVERAGE(Y19:AC19)</f>
        <v>-0.33333333333333331</v>
      </c>
      <c r="AH19" s="241">
        <f>AVERAGE(P19:AC19)</f>
        <v>1.0650639572415905</v>
      </c>
      <c r="AI19" s="272"/>
    </row>
    <row r="20" spans="1:358" ht="58.5" hidden="1" customHeight="1" outlineLevel="1">
      <c r="A20" s="47" t="s">
        <v>24</v>
      </c>
      <c r="B20" s="48">
        <f t="shared" ref="B20" si="7">C20-$B$16</f>
        <v>-1.3</v>
      </c>
      <c r="C20" s="55">
        <v>-1.3</v>
      </c>
      <c r="D20" s="49"/>
      <c r="E20" s="49"/>
      <c r="F20" s="56"/>
      <c r="G20" s="57"/>
      <c r="H20" s="56"/>
      <c r="I20" s="56"/>
      <c r="J20" s="55"/>
      <c r="K20" s="189">
        <v>-0.4</v>
      </c>
      <c r="L20" s="189">
        <v>0.3</v>
      </c>
      <c r="M20" s="189">
        <v>1.9</v>
      </c>
      <c r="N20" s="171">
        <v>4.8</v>
      </c>
      <c r="O20" s="183"/>
      <c r="P20" s="388">
        <v>9.7899999999999991</v>
      </c>
      <c r="Q20" s="389">
        <v>4.5752631578947387</v>
      </c>
      <c r="R20" s="389">
        <v>3.8622727272727388</v>
      </c>
      <c r="S20" s="388">
        <v>3.33</v>
      </c>
      <c r="T20" s="388">
        <v>-0.23190476190475806</v>
      </c>
      <c r="U20" s="389">
        <v>-0.89681818181818329</v>
      </c>
      <c r="V20" s="389">
        <v>-0.8335000000000008</v>
      </c>
      <c r="W20" s="389">
        <v>-3.8445454545454467</v>
      </c>
      <c r="X20" s="183">
        <v>-1.7</v>
      </c>
      <c r="Y20" s="183">
        <v>-1.5</v>
      </c>
      <c r="Z20" s="185"/>
      <c r="AA20" s="186"/>
      <c r="AB20" s="183">
        <v>0.3</v>
      </c>
      <c r="AC20" s="298">
        <v>0.5</v>
      </c>
      <c r="AD20" s="308">
        <f>AVERAGE(P20:R20)</f>
        <v>6.0758452950558253</v>
      </c>
      <c r="AE20" s="246">
        <f>AVERAGE(S20:T20:U20)</f>
        <v>0.73375901875901961</v>
      </c>
      <c r="AF20" s="246">
        <f>AVERAGE(V20:X20)</f>
        <v>-2.1260151515151491</v>
      </c>
      <c r="AG20" s="309">
        <f t="shared" ref="AG20:AG22" si="8">AVERAGE(Y20:AC20)</f>
        <v>-0.23333333333333331</v>
      </c>
      <c r="AH20" s="241">
        <f>AVERAGE(P20:AC20)</f>
        <v>1.1125639572415906</v>
      </c>
      <c r="AI20" s="272"/>
    </row>
    <row r="21" spans="1:358" ht="58.5" hidden="1" customHeight="1" outlineLevel="1">
      <c r="A21" s="47" t="s">
        <v>25</v>
      </c>
      <c r="B21" s="78">
        <f t="shared" ref="B21" si="9">C21-$B$17</f>
        <v>8.0000000000000071E-2</v>
      </c>
      <c r="C21" s="55">
        <v>-1.7</v>
      </c>
      <c r="D21" s="49"/>
      <c r="E21" s="49"/>
      <c r="F21" s="56"/>
      <c r="G21" s="57"/>
      <c r="H21" s="56"/>
      <c r="I21" s="56"/>
      <c r="J21" s="79"/>
      <c r="K21" s="189">
        <v>-2</v>
      </c>
      <c r="L21" s="189">
        <v>0.6</v>
      </c>
      <c r="M21" s="189">
        <v>0.6</v>
      </c>
      <c r="N21" s="171">
        <v>4.5999999999999996</v>
      </c>
      <c r="O21" s="189">
        <v>3</v>
      </c>
      <c r="P21" s="388">
        <v>9.7899999999999991</v>
      </c>
      <c r="Q21" s="388">
        <v>4.5752631578947387</v>
      </c>
      <c r="R21" s="388">
        <v>3.8622727272727388</v>
      </c>
      <c r="S21" s="388">
        <v>3.33</v>
      </c>
      <c r="T21" s="388">
        <v>-0.23190476190475806</v>
      </c>
      <c r="U21" s="388">
        <v>-0.89681818181818329</v>
      </c>
      <c r="V21" s="388">
        <v>-0.8335000000000008</v>
      </c>
      <c r="W21" s="388">
        <v>-3.8445454545454467</v>
      </c>
      <c r="X21" s="189">
        <v>-2.1985714285714266</v>
      </c>
      <c r="Y21" s="189">
        <v>-1.5482298605098719</v>
      </c>
      <c r="Z21" s="185" t="s">
        <v>220</v>
      </c>
      <c r="AA21" s="186" t="s">
        <v>221</v>
      </c>
      <c r="AB21" s="189">
        <v>-1.2986981497514902</v>
      </c>
      <c r="AC21" s="297">
        <v>-1.3634301779701876</v>
      </c>
      <c r="AD21" s="308">
        <f>AVERAGE(P21:R21)</f>
        <v>6.0758452950558253</v>
      </c>
      <c r="AE21" s="246">
        <f>AVERAGE(S21:T21:U21)</f>
        <v>0.73375901875901961</v>
      </c>
      <c r="AF21" s="246">
        <f>AVERAGE(V21:X21)</f>
        <v>-2.2922056277056249</v>
      </c>
      <c r="AG21" s="309">
        <f t="shared" si="8"/>
        <v>-1.4034527294105166</v>
      </c>
      <c r="AH21" s="241">
        <f>AVERAGE(P21:AC21)</f>
        <v>0.77848648917467589</v>
      </c>
      <c r="AI21" s="272"/>
    </row>
    <row r="22" spans="1:358" ht="58.5" hidden="1" customHeight="1" outlineLevel="1">
      <c r="A22" s="47" t="s">
        <v>26</v>
      </c>
      <c r="B22" s="48">
        <f>C22-$B$13</f>
        <v>-1.769999999999996</v>
      </c>
      <c r="C22" s="55">
        <v>-1</v>
      </c>
      <c r="D22" s="80"/>
      <c r="E22" s="49"/>
      <c r="F22" s="52"/>
      <c r="G22" s="51"/>
      <c r="H22" s="52"/>
      <c r="I22" s="52"/>
      <c r="J22" s="55"/>
      <c r="K22" s="181">
        <v>1.84</v>
      </c>
      <c r="L22" s="181">
        <v>1.84</v>
      </c>
      <c r="M22" s="181">
        <v>1.2</v>
      </c>
      <c r="N22" s="181">
        <v>2.1</v>
      </c>
      <c r="O22" s="181">
        <v>10</v>
      </c>
      <c r="P22" s="388">
        <v>9.7899999999999991</v>
      </c>
      <c r="Q22" s="388">
        <v>4.5752631578947387</v>
      </c>
      <c r="R22" s="388">
        <v>3.8622727272727388</v>
      </c>
      <c r="S22" s="388">
        <v>3.33</v>
      </c>
      <c r="T22" s="388">
        <v>-0.23190476190475806</v>
      </c>
      <c r="U22" s="388">
        <v>-0.89681818181818329</v>
      </c>
      <c r="V22" s="388">
        <v>-0.8335000000000008</v>
      </c>
      <c r="W22" s="388">
        <v>-3.8445454545454467</v>
      </c>
      <c r="X22" s="189">
        <v>-2.5</v>
      </c>
      <c r="Y22" s="189">
        <v>-1</v>
      </c>
      <c r="Z22" s="185"/>
      <c r="AA22" s="186"/>
      <c r="AB22" s="189">
        <v>0.3</v>
      </c>
      <c r="AC22" s="297">
        <v>1</v>
      </c>
      <c r="AD22" s="308">
        <f>AVERAGE(P22:R22)</f>
        <v>6.0758452950558253</v>
      </c>
      <c r="AE22" s="246">
        <f>AVERAGE(S22:T22:U22)</f>
        <v>0.73375901875901961</v>
      </c>
      <c r="AF22" s="246">
        <f>AVERAGE(V22:X22)</f>
        <v>-2.3926818181818157</v>
      </c>
      <c r="AG22" s="309">
        <f t="shared" si="8"/>
        <v>0.10000000000000002</v>
      </c>
      <c r="AH22" s="241">
        <f>AVERAGE(P22:AC22)</f>
        <v>1.1292306239082572</v>
      </c>
      <c r="AI22" s="272"/>
    </row>
    <row r="23" spans="1:358" ht="21.75" hidden="1" customHeight="1" outlineLevel="1">
      <c r="A23" s="245" t="s">
        <v>75</v>
      </c>
      <c r="B23" s="81"/>
      <c r="C23" s="82"/>
      <c r="D23" s="83"/>
      <c r="E23" s="84"/>
      <c r="F23" s="85"/>
      <c r="G23" s="86"/>
      <c r="H23" s="85"/>
      <c r="I23" s="59"/>
      <c r="J23" s="82"/>
      <c r="K23" s="59">
        <v>0.5</v>
      </c>
      <c r="L23" s="59">
        <v>0.5</v>
      </c>
      <c r="M23" s="59">
        <f>AVERAGE(M19:M22)</f>
        <v>1.425</v>
      </c>
      <c r="N23" s="59">
        <f>AVERAGE(N19:N22)</f>
        <v>3.875</v>
      </c>
      <c r="O23" s="59">
        <f>AVERAGE(O19:O22)</f>
        <v>7.583333333333333</v>
      </c>
      <c r="P23" s="414">
        <f>AVERAGE(P19:P22)</f>
        <v>9.7899999999999991</v>
      </c>
      <c r="Q23" s="414">
        <f>AVERAGE(Q19:Q22)</f>
        <v>4.5752631578947387</v>
      </c>
      <c r="R23" s="414">
        <f t="shared" ref="R23" si="10">AVERAGE(R19:R22)</f>
        <v>3.8622727272727388</v>
      </c>
      <c r="S23" s="414">
        <f>AVERAGE(S19:S22)</f>
        <v>3.33</v>
      </c>
      <c r="T23" s="414">
        <f>AVERAGE(T19:T22)</f>
        <v>-0.23190476190475806</v>
      </c>
      <c r="U23" s="414">
        <f t="shared" ref="U23:AC23" si="11">AVERAGE(U19:U22)</f>
        <v>-0.89681818181818329</v>
      </c>
      <c r="V23" s="414">
        <f t="shared" si="11"/>
        <v>-0.8335000000000008</v>
      </c>
      <c r="W23" s="414">
        <f t="shared" si="11"/>
        <v>-3.8445454545454467</v>
      </c>
      <c r="X23" s="59">
        <f t="shared" si="11"/>
        <v>-2.0921428571428566</v>
      </c>
      <c r="Y23" s="59">
        <f t="shared" si="11"/>
        <v>-1.3870574651274681</v>
      </c>
      <c r="Z23" s="375"/>
      <c r="AA23" s="375"/>
      <c r="AB23" s="59">
        <f t="shared" si="11"/>
        <v>-0.17467453743787253</v>
      </c>
      <c r="AC23" s="234">
        <f t="shared" si="11"/>
        <v>0.1591424555074531</v>
      </c>
      <c r="AD23" s="310">
        <f>AVERAGE(AD19:AD22)</f>
        <v>6.0758452950558253</v>
      </c>
      <c r="AE23" s="59">
        <f>AVERAGE(AE19:AE22)</f>
        <v>0.73375901875901961</v>
      </c>
      <c r="AF23" s="59">
        <f t="shared" ref="AF23:AG23" si="12">AVERAGE(AF19:AF22)</f>
        <v>-2.2567294372294344</v>
      </c>
      <c r="AG23" s="311">
        <f t="shared" si="12"/>
        <v>-0.46752984901929578</v>
      </c>
      <c r="AH23" s="242">
        <f>AVERAGE(AH19:AH22)</f>
        <v>1.0213362568915285</v>
      </c>
      <c r="AI23" s="272"/>
    </row>
    <row r="24" spans="1:358" ht="19" collapsed="1" thickBot="1">
      <c r="A24" s="227" t="s">
        <v>74</v>
      </c>
      <c r="B24" s="160"/>
      <c r="C24" s="160"/>
      <c r="D24" s="161"/>
      <c r="E24" s="161"/>
      <c r="F24" s="162"/>
      <c r="G24" s="162"/>
      <c r="H24" s="162"/>
      <c r="I24" s="162"/>
      <c r="J24" s="163"/>
      <c r="K24" s="162">
        <f>K23+K14</f>
        <v>48.8</v>
      </c>
      <c r="L24" s="162">
        <f>L23+L14</f>
        <v>47.35</v>
      </c>
      <c r="M24" s="162"/>
      <c r="N24" s="164">
        <f>N23</f>
        <v>3.875</v>
      </c>
      <c r="O24" s="164">
        <v>6</v>
      </c>
      <c r="P24" s="414">
        <f>P23</f>
        <v>9.7899999999999991</v>
      </c>
      <c r="Q24" s="414">
        <f t="shared" ref="Q24" si="13">Q23</f>
        <v>4.5752631578947387</v>
      </c>
      <c r="R24" s="414">
        <f>R23</f>
        <v>3.8622727272727388</v>
      </c>
      <c r="S24" s="414">
        <f>S23</f>
        <v>3.33</v>
      </c>
      <c r="T24" s="414">
        <f>T23</f>
        <v>-0.23190476190475806</v>
      </c>
      <c r="U24" s="414">
        <v>-0.8</v>
      </c>
      <c r="V24" s="414">
        <f>V23</f>
        <v>-0.8335000000000008</v>
      </c>
      <c r="W24" s="414">
        <f>W23</f>
        <v>-3.8445454545454467</v>
      </c>
      <c r="X24" s="164">
        <v>-1.9</v>
      </c>
      <c r="Y24" s="164">
        <v>-1.4</v>
      </c>
      <c r="Z24" s="370"/>
      <c r="AA24" s="370"/>
      <c r="AB24" s="164">
        <v>0</v>
      </c>
      <c r="AC24" s="229">
        <v>0.5</v>
      </c>
      <c r="AD24" s="312">
        <f>AVERAGE(P24:R24)</f>
        <v>6.0758452950558253</v>
      </c>
      <c r="AE24" s="164">
        <f>AVERAGE(S24:T24:U24)</f>
        <v>0.7660317460317474</v>
      </c>
      <c r="AF24" s="164">
        <f>AVERAGE(V24:X24)</f>
        <v>-2.192681818181816</v>
      </c>
      <c r="AG24" s="313">
        <f>AVERAGE(Y24:AC24)</f>
        <v>-0.3</v>
      </c>
      <c r="AH24" s="242">
        <f>AVERAGE(P24:AC24)</f>
        <v>1.087298805726439</v>
      </c>
      <c r="AI24" s="271">
        <v>-1</v>
      </c>
    </row>
    <row r="25" spans="1:358" ht="21.5" thickBot="1">
      <c r="A25" s="196" t="s">
        <v>32</v>
      </c>
      <c r="B25" s="88"/>
      <c r="C25" s="88"/>
      <c r="D25" s="65"/>
      <c r="E25" s="65"/>
      <c r="F25" s="20"/>
      <c r="G25" s="20"/>
      <c r="H25" s="20"/>
      <c r="I25" s="20"/>
      <c r="J25" s="66"/>
      <c r="K25" s="20"/>
      <c r="L25" s="20"/>
      <c r="M25" s="20"/>
      <c r="N25" s="20"/>
      <c r="O25" s="20"/>
      <c r="P25" s="20"/>
      <c r="Q25" s="20"/>
      <c r="R25" s="23"/>
      <c r="S25" s="24"/>
      <c r="T25" s="24"/>
      <c r="U25" s="24"/>
      <c r="V25" s="24"/>
      <c r="W25" s="23"/>
      <c r="X25" s="23"/>
      <c r="Y25" s="23"/>
      <c r="Z25" s="371"/>
      <c r="AA25" s="371"/>
      <c r="AB25" s="23"/>
      <c r="AC25" s="24"/>
      <c r="AD25" s="314"/>
      <c r="AE25" s="23"/>
      <c r="AF25" s="23"/>
      <c r="AG25" s="303"/>
      <c r="AH25" s="238"/>
      <c r="AI25" s="272"/>
    </row>
    <row r="26" spans="1:358" ht="21.5" hidden="1" outlineLevel="1" thickBot="1">
      <c r="A26" s="89" t="s">
        <v>33</v>
      </c>
      <c r="B26" s="90">
        <v>20.81</v>
      </c>
      <c r="C26" s="90" t="str">
        <f>C17</f>
        <v>Previous WK</v>
      </c>
      <c r="D26" s="70"/>
      <c r="E26" s="71">
        <v>17</v>
      </c>
      <c r="F26" s="35"/>
      <c r="G26" s="35"/>
      <c r="H26" s="35"/>
      <c r="I26" s="35"/>
      <c r="J26" s="72"/>
      <c r="K26" s="35"/>
      <c r="L26" s="37"/>
      <c r="M26" s="37"/>
      <c r="N26" s="35"/>
      <c r="O26" s="35"/>
      <c r="P26" s="35"/>
      <c r="Q26" s="35"/>
      <c r="R26" s="38"/>
      <c r="S26" s="39"/>
      <c r="T26" s="39"/>
      <c r="U26" s="395"/>
      <c r="V26" s="39"/>
      <c r="W26" s="38"/>
      <c r="X26" s="38"/>
      <c r="Y26" s="38"/>
      <c r="Z26" s="372"/>
      <c r="AA26" s="372"/>
      <c r="AB26" s="38"/>
      <c r="AC26" s="39"/>
      <c r="AD26" s="304"/>
      <c r="AE26" s="248"/>
      <c r="AF26" s="248"/>
      <c r="AG26" s="305"/>
      <c r="AH26" s="239"/>
      <c r="AI26" s="272"/>
    </row>
    <row r="27" spans="1:358" s="77" customFormat="1" ht="21" hidden="1" customHeight="1" outlineLevel="1">
      <c r="A27" s="683"/>
      <c r="B27" s="684"/>
      <c r="C27" s="684"/>
      <c r="D27" s="91"/>
      <c r="E27" s="91"/>
      <c r="F27" s="76"/>
      <c r="G27" s="76"/>
      <c r="H27" s="76"/>
      <c r="I27" s="76"/>
      <c r="J27" s="43"/>
      <c r="K27" s="76"/>
      <c r="L27" s="76"/>
      <c r="M27" s="76"/>
      <c r="N27" s="76"/>
      <c r="O27" s="76"/>
      <c r="P27" s="222"/>
      <c r="Q27" s="76"/>
      <c r="R27" s="44"/>
      <c r="S27" s="44"/>
      <c r="T27" s="44"/>
      <c r="U27" s="44"/>
      <c r="V27" s="44"/>
      <c r="W27" s="44"/>
      <c r="X27" s="44"/>
      <c r="Y27" s="44"/>
      <c r="Z27" s="376"/>
      <c r="AA27" s="377"/>
      <c r="AB27" s="44"/>
      <c r="AC27" s="235"/>
      <c r="AD27" s="315"/>
      <c r="AE27" s="44"/>
      <c r="AF27" s="44"/>
      <c r="AG27" s="316"/>
      <c r="AH27" s="240"/>
      <c r="AI27" s="272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5"/>
      <c r="EA27" s="45"/>
      <c r="EB27" s="45"/>
      <c r="EC27" s="45"/>
      <c r="ED27" s="45"/>
      <c r="EE27" s="45"/>
      <c r="EF27" s="45"/>
      <c r="EG27" s="45"/>
      <c r="EH27" s="45"/>
      <c r="EI27" s="45"/>
      <c r="EJ27" s="45"/>
      <c r="EK27" s="45"/>
      <c r="EL27" s="45"/>
      <c r="EM27" s="45"/>
      <c r="EN27" s="45"/>
      <c r="EO27" s="45"/>
      <c r="EP27" s="45"/>
      <c r="EQ27" s="45"/>
      <c r="ER27" s="45"/>
      <c r="ES27" s="45"/>
      <c r="ET27" s="45"/>
      <c r="EU27" s="45"/>
      <c r="EV27" s="45"/>
      <c r="EW27" s="45"/>
      <c r="EX27" s="45"/>
      <c r="EY27" s="45"/>
      <c r="EZ27" s="45"/>
      <c r="FA27" s="45"/>
      <c r="FB27" s="45"/>
      <c r="FC27" s="45"/>
      <c r="FD27" s="45"/>
      <c r="FE27" s="45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45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45"/>
      <c r="GR27" s="45"/>
      <c r="GS27" s="45"/>
      <c r="GT27" s="45"/>
      <c r="GU27" s="45"/>
      <c r="GV27" s="45"/>
      <c r="GW27" s="45"/>
      <c r="GX27" s="45"/>
      <c r="GY27" s="45"/>
      <c r="GZ27" s="45"/>
      <c r="HA27" s="45"/>
      <c r="HB27" s="45"/>
      <c r="HC27" s="45"/>
      <c r="HD27" s="45"/>
      <c r="HE27" s="45"/>
      <c r="HF27" s="45"/>
      <c r="HG27" s="45"/>
      <c r="HH27" s="45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  <c r="IO27" s="45"/>
      <c r="IP27" s="45"/>
      <c r="IQ27" s="45"/>
      <c r="IR27" s="45"/>
      <c r="IS27" s="45"/>
      <c r="IT27" s="45"/>
      <c r="IU27" s="45"/>
      <c r="IV27" s="45"/>
      <c r="IW27" s="45"/>
      <c r="IX27" s="45"/>
      <c r="IY27" s="45"/>
      <c r="IZ27" s="45"/>
      <c r="JA27" s="45"/>
      <c r="JB27" s="45"/>
      <c r="JC27" s="45"/>
      <c r="JD27" s="45"/>
      <c r="JE27" s="45"/>
      <c r="JF27" s="45"/>
      <c r="JG27" s="45"/>
      <c r="JH27" s="45"/>
      <c r="JI27" s="45"/>
      <c r="JJ27" s="45"/>
      <c r="JK27" s="45"/>
      <c r="JL27" s="45"/>
      <c r="JM27" s="45"/>
      <c r="JN27" s="45"/>
      <c r="JO27" s="45"/>
      <c r="JP27" s="45"/>
      <c r="JQ27" s="45"/>
      <c r="JR27" s="45"/>
      <c r="JS27" s="45"/>
      <c r="JT27" s="45"/>
      <c r="JU27" s="45"/>
      <c r="JV27" s="45"/>
      <c r="JW27" s="45"/>
      <c r="JX27" s="45"/>
      <c r="JY27" s="45"/>
      <c r="JZ27" s="45"/>
      <c r="KA27" s="45"/>
      <c r="KB27" s="45"/>
      <c r="KC27" s="45"/>
      <c r="KD27" s="45"/>
      <c r="KE27" s="45"/>
      <c r="KF27" s="45"/>
      <c r="KG27" s="45"/>
      <c r="KH27" s="45"/>
      <c r="KI27" s="45"/>
      <c r="KJ27" s="45"/>
      <c r="KK27" s="45"/>
      <c r="KL27" s="45"/>
      <c r="KM27" s="45"/>
      <c r="KN27" s="45"/>
      <c r="KO27" s="45"/>
      <c r="KP27" s="45"/>
      <c r="KQ27" s="45"/>
      <c r="KR27" s="45"/>
      <c r="KS27" s="45"/>
      <c r="KT27" s="45"/>
      <c r="KU27" s="45"/>
      <c r="KV27" s="45"/>
      <c r="KW27" s="45"/>
      <c r="KX27" s="45"/>
      <c r="KY27" s="45"/>
      <c r="KZ27" s="45"/>
      <c r="LA27" s="45"/>
      <c r="LB27" s="45"/>
      <c r="LC27" s="45"/>
      <c r="LD27" s="45"/>
      <c r="LE27" s="45"/>
      <c r="LF27" s="45"/>
      <c r="LG27" s="45"/>
      <c r="LH27" s="45"/>
      <c r="LI27" s="45"/>
      <c r="LJ27" s="45"/>
      <c r="LK27" s="45"/>
      <c r="LL27" s="45"/>
      <c r="LM27" s="45"/>
      <c r="LN27" s="45"/>
      <c r="LO27" s="45"/>
      <c r="LP27" s="45"/>
      <c r="LQ27" s="45"/>
      <c r="LR27" s="45"/>
      <c r="LS27" s="45"/>
      <c r="LT27" s="45"/>
      <c r="LU27" s="45"/>
      <c r="LV27" s="45"/>
      <c r="LW27" s="45"/>
      <c r="LX27" s="45"/>
      <c r="LY27" s="45"/>
      <c r="LZ27" s="45"/>
      <c r="MA27" s="45"/>
      <c r="MB27" s="45"/>
      <c r="MC27" s="45"/>
      <c r="MD27" s="45"/>
      <c r="ME27" s="45"/>
      <c r="MF27" s="45"/>
      <c r="MG27" s="45"/>
      <c r="MH27" s="45"/>
      <c r="MI27" s="45"/>
      <c r="MJ27" s="45"/>
      <c r="MK27" s="45"/>
      <c r="ML27" s="45"/>
      <c r="MM27" s="45"/>
      <c r="MN27" s="45"/>
      <c r="MO27" s="45"/>
      <c r="MP27" s="45"/>
      <c r="MQ27" s="45"/>
      <c r="MR27" s="45"/>
      <c r="MS27" s="45"/>
      <c r="MT27" s="45"/>
    </row>
    <row r="28" spans="1:358" ht="54.75" hidden="1" customHeight="1" outlineLevel="1">
      <c r="A28" s="47" t="s">
        <v>23</v>
      </c>
      <c r="B28" s="78">
        <f>C28-$B$26</f>
        <v>-0.30999999999999872</v>
      </c>
      <c r="C28" s="55">
        <v>20.5</v>
      </c>
      <c r="D28" s="49"/>
      <c r="E28" s="49"/>
      <c r="F28" s="50"/>
      <c r="G28" s="57"/>
      <c r="H28" s="56"/>
      <c r="I28" s="56"/>
      <c r="J28" s="53"/>
      <c r="K28" s="189">
        <v>17.25</v>
      </c>
      <c r="L28" s="189">
        <v>18</v>
      </c>
      <c r="M28" s="189">
        <v>17.25</v>
      </c>
      <c r="N28" s="189">
        <v>16</v>
      </c>
      <c r="O28" s="189">
        <v>19.5</v>
      </c>
      <c r="P28" s="388">
        <v>23.61</v>
      </c>
      <c r="Q28" s="388">
        <v>15.207894736842107</v>
      </c>
      <c r="R28" s="388">
        <v>17.63000000000001</v>
      </c>
      <c r="S28" s="388">
        <v>15.56</v>
      </c>
      <c r="T28" s="388">
        <v>14.896666666666668</v>
      </c>
      <c r="U28" s="388">
        <v>12.885454545454536</v>
      </c>
      <c r="V28" s="388">
        <v>9.4744999999999919</v>
      </c>
      <c r="W28" s="388">
        <v>10.528636363636359</v>
      </c>
      <c r="X28" s="189">
        <v>13.75</v>
      </c>
      <c r="Y28" s="189">
        <v>12.5</v>
      </c>
      <c r="Z28" s="185"/>
      <c r="AA28" s="186"/>
      <c r="AB28" s="189">
        <v>11</v>
      </c>
      <c r="AC28" s="297">
        <v>10.75</v>
      </c>
      <c r="AD28" s="308">
        <f>AVERAGE(P28:R28)</f>
        <v>18.815964912280705</v>
      </c>
      <c r="AE28" s="246">
        <f>AVERAGE(S28:T28:U28)</f>
        <v>14.447373737373736</v>
      </c>
      <c r="AF28" s="246">
        <f>AVERAGE(V28:X28)</f>
        <v>11.25104545454545</v>
      </c>
      <c r="AG28" s="309">
        <f>AVERAGE(Y28:AC28)</f>
        <v>11.416666666666666</v>
      </c>
      <c r="AH28" s="241">
        <f>AVERAGE(P28:AC28)</f>
        <v>13.982762692716639</v>
      </c>
      <c r="AI28" s="272"/>
    </row>
    <row r="29" spans="1:358" ht="54.75" hidden="1" customHeight="1" outlineLevel="1">
      <c r="A29" s="47" t="s">
        <v>24</v>
      </c>
      <c r="B29" s="78">
        <f t="shared" ref="B29" si="14">C29-$B$22</f>
        <v>21.869999999999997</v>
      </c>
      <c r="C29" s="55">
        <v>20.100000000000001</v>
      </c>
      <c r="D29" s="49"/>
      <c r="E29" s="49"/>
      <c r="F29" s="56"/>
      <c r="G29" s="57"/>
      <c r="H29" s="56"/>
      <c r="I29" s="56"/>
      <c r="J29" s="55"/>
      <c r="K29" s="189">
        <v>17</v>
      </c>
      <c r="L29" s="189">
        <v>17</v>
      </c>
      <c r="M29" s="189">
        <v>16.3</v>
      </c>
      <c r="N29" s="189">
        <v>15</v>
      </c>
      <c r="O29" s="183"/>
      <c r="P29" s="388">
        <v>23.61</v>
      </c>
      <c r="Q29" s="388">
        <v>15.207894736842107</v>
      </c>
      <c r="R29" s="389">
        <v>17.63000000000001</v>
      </c>
      <c r="S29" s="388">
        <v>15.56</v>
      </c>
      <c r="T29" s="389">
        <v>14.896666666666668</v>
      </c>
      <c r="U29" s="389">
        <v>12.885454545454536</v>
      </c>
      <c r="V29" s="389">
        <v>9.4744999999999919</v>
      </c>
      <c r="W29" s="389">
        <v>10.528636363636359</v>
      </c>
      <c r="X29" s="183">
        <v>13.7</v>
      </c>
      <c r="Y29" s="183">
        <v>11.7</v>
      </c>
      <c r="Z29" s="185"/>
      <c r="AA29" s="186"/>
      <c r="AB29" s="183">
        <v>11.5</v>
      </c>
      <c r="AC29" s="298">
        <v>11.5</v>
      </c>
      <c r="AD29" s="308">
        <f>AVERAGE(P29:R29)</f>
        <v>18.815964912280705</v>
      </c>
      <c r="AE29" s="246">
        <f>AVERAGE(S29:T29:U29)</f>
        <v>14.447373737373736</v>
      </c>
      <c r="AF29" s="246">
        <f>AVERAGE(V29:X29)</f>
        <v>11.234378787878782</v>
      </c>
      <c r="AG29" s="309">
        <f t="shared" ref="AG29:AG31" si="15">AVERAGE(Y29:AC29)</f>
        <v>11.566666666666668</v>
      </c>
      <c r="AH29" s="241">
        <f>AVERAGE(P29:AC29)</f>
        <v>14.01609602604997</v>
      </c>
      <c r="AI29" s="272"/>
    </row>
    <row r="30" spans="1:358" ht="54.75" hidden="1" customHeight="1" outlineLevel="1">
      <c r="A30" s="47" t="s">
        <v>25</v>
      </c>
      <c r="B30" s="48">
        <f t="shared" ref="B30" si="16">C30-$B$26</f>
        <v>-0.80999999999999872</v>
      </c>
      <c r="C30" s="55">
        <v>20</v>
      </c>
      <c r="D30" s="49"/>
      <c r="E30" s="49"/>
      <c r="F30" s="56"/>
      <c r="G30" s="57"/>
      <c r="H30" s="56"/>
      <c r="I30" s="56"/>
      <c r="J30" s="55"/>
      <c r="K30" s="189">
        <v>16</v>
      </c>
      <c r="L30" s="189">
        <v>16</v>
      </c>
      <c r="M30" s="189">
        <v>16</v>
      </c>
      <c r="N30" s="189">
        <v>16</v>
      </c>
      <c r="O30" s="189">
        <v>16.5</v>
      </c>
      <c r="P30" s="388">
        <v>23.61</v>
      </c>
      <c r="Q30" s="388">
        <v>15.207894736842107</v>
      </c>
      <c r="R30" s="388">
        <v>17.63000000000001</v>
      </c>
      <c r="S30" s="388">
        <v>15.56</v>
      </c>
      <c r="T30" s="388">
        <v>14.896666666666668</v>
      </c>
      <c r="U30" s="388">
        <v>12.885454545454536</v>
      </c>
      <c r="V30" s="388">
        <v>9.4744999999999919</v>
      </c>
      <c r="W30" s="388">
        <v>10.528636363636359</v>
      </c>
      <c r="X30" s="189">
        <v>13.5</v>
      </c>
      <c r="Y30" s="189">
        <v>11.952140909090913</v>
      </c>
      <c r="Z30" s="185" t="s">
        <v>209</v>
      </c>
      <c r="AA30" s="186" t="s">
        <v>209</v>
      </c>
      <c r="AB30" s="189">
        <v>11.394140909090911</v>
      </c>
      <c r="AC30" s="297">
        <v>11.08614090909091</v>
      </c>
      <c r="AD30" s="308">
        <f>AVERAGE(P30:R30)</f>
        <v>18.815964912280705</v>
      </c>
      <c r="AE30" s="246">
        <f>AVERAGE(S30:T30:U30)</f>
        <v>14.447373737373736</v>
      </c>
      <c r="AF30" s="246">
        <f>AVERAGE(V30:X30)</f>
        <v>11.167712121212118</v>
      </c>
      <c r="AG30" s="309">
        <f t="shared" si="15"/>
        <v>11.477474242424243</v>
      </c>
      <c r="AH30" s="241">
        <f>AVERAGE(P30:AC30)</f>
        <v>13.977131253322698</v>
      </c>
      <c r="AI30" s="272"/>
    </row>
    <row r="31" spans="1:358" ht="50.25" hidden="1" customHeight="1" outlineLevel="1">
      <c r="A31" s="47" t="s">
        <v>26</v>
      </c>
      <c r="B31" s="78" t="e">
        <f>C31-#REF!</f>
        <v>#REF!</v>
      </c>
      <c r="C31" s="55">
        <v>20.18</v>
      </c>
      <c r="D31" s="49"/>
      <c r="E31" s="49"/>
      <c r="F31" s="52"/>
      <c r="G31" s="51"/>
      <c r="H31" s="52"/>
      <c r="I31" s="92"/>
      <c r="J31" s="55"/>
      <c r="K31" s="93">
        <v>15.68</v>
      </c>
      <c r="L31" s="94">
        <v>18</v>
      </c>
      <c r="M31" s="94">
        <v>15.94</v>
      </c>
      <c r="N31" s="181">
        <v>16.25</v>
      </c>
      <c r="O31" s="181">
        <v>18.5</v>
      </c>
      <c r="P31" s="388">
        <v>23.61</v>
      </c>
      <c r="Q31" s="388">
        <v>15.207894736842107</v>
      </c>
      <c r="R31" s="388">
        <v>17.63000000000001</v>
      </c>
      <c r="S31" s="388">
        <v>15.56</v>
      </c>
      <c r="T31" s="388">
        <v>14.896666666666668</v>
      </c>
      <c r="U31" s="388">
        <v>12.885454545454536</v>
      </c>
      <c r="V31" s="388">
        <v>9.4744999999999919</v>
      </c>
      <c r="W31" s="388">
        <v>10.528636363636359</v>
      </c>
      <c r="X31" s="189">
        <v>13.3</v>
      </c>
      <c r="Y31" s="189">
        <v>12.2</v>
      </c>
      <c r="Z31" s="185" t="s">
        <v>211</v>
      </c>
      <c r="AA31" s="186"/>
      <c r="AB31" s="189">
        <v>11.3</v>
      </c>
      <c r="AC31" s="297">
        <v>10</v>
      </c>
      <c r="AD31" s="308">
        <f>AVERAGE(P31:R31)</f>
        <v>18.815964912280705</v>
      </c>
      <c r="AE31" s="246">
        <f>AVERAGE(S31:T31:U31)</f>
        <v>14.447373737373736</v>
      </c>
      <c r="AF31" s="246">
        <f>AVERAGE(V31:X31)</f>
        <v>11.101045454545451</v>
      </c>
      <c r="AG31" s="309">
        <f t="shared" si="15"/>
        <v>11.166666666666666</v>
      </c>
      <c r="AH31" s="241">
        <f>AVERAGE(P31:AC31)</f>
        <v>13.882762692716639</v>
      </c>
      <c r="AI31" s="272"/>
    </row>
    <row r="32" spans="1:358" s="62" customFormat="1" ht="19" hidden="1" outlineLevel="1" thickBot="1">
      <c r="A32" s="245" t="s">
        <v>75</v>
      </c>
      <c r="B32" s="58" t="s">
        <v>27</v>
      </c>
      <c r="C32" s="58" t="s">
        <v>27</v>
      </c>
      <c r="D32" s="87"/>
      <c r="E32" s="58"/>
      <c r="F32" s="59" t="e">
        <f>AVERAGE(F28:F31)</f>
        <v>#DIV/0!</v>
      </c>
      <c r="G32" s="59"/>
      <c r="H32" s="59"/>
      <c r="I32" s="59"/>
      <c r="J32" s="59" t="e">
        <f t="shared" ref="J32:AC32" si="17">AVERAGE(J28:J31)</f>
        <v>#DIV/0!</v>
      </c>
      <c r="K32" s="59">
        <f t="shared" si="17"/>
        <v>16.482500000000002</v>
      </c>
      <c r="L32" s="59">
        <f t="shared" si="17"/>
        <v>17.25</v>
      </c>
      <c r="M32" s="59">
        <f t="shared" si="17"/>
        <v>16.372499999999999</v>
      </c>
      <c r="N32" s="59">
        <f t="shared" si="17"/>
        <v>15.8125</v>
      </c>
      <c r="O32" s="59">
        <f t="shared" si="17"/>
        <v>18.166666666666668</v>
      </c>
      <c r="P32" s="414">
        <f t="shared" si="17"/>
        <v>23.61</v>
      </c>
      <c r="Q32" s="414">
        <f t="shared" si="17"/>
        <v>15.207894736842107</v>
      </c>
      <c r="R32" s="414">
        <f t="shared" si="17"/>
        <v>17.63000000000001</v>
      </c>
      <c r="S32" s="414">
        <f t="shared" si="17"/>
        <v>15.56</v>
      </c>
      <c r="T32" s="414">
        <f>AVERAGE(T28:T31)</f>
        <v>14.896666666666668</v>
      </c>
      <c r="U32" s="414">
        <f t="shared" si="17"/>
        <v>12.885454545454536</v>
      </c>
      <c r="V32" s="414">
        <f t="shared" si="17"/>
        <v>9.4744999999999919</v>
      </c>
      <c r="W32" s="414">
        <f>AVERAGE(W28:W31)</f>
        <v>10.528636363636359</v>
      </c>
      <c r="X32" s="59">
        <f t="shared" si="17"/>
        <v>13.5625</v>
      </c>
      <c r="Y32" s="59">
        <f>AVERAGE(Y28:Y31)</f>
        <v>12.088035227272727</v>
      </c>
      <c r="Z32" s="369"/>
      <c r="AA32" s="369"/>
      <c r="AB32" s="59">
        <f t="shared" si="17"/>
        <v>11.298535227272726</v>
      </c>
      <c r="AC32" s="234">
        <f t="shared" si="17"/>
        <v>10.834035227272727</v>
      </c>
      <c r="AD32" s="310">
        <f>AVERAGE(AD28:AD31)</f>
        <v>18.815964912280705</v>
      </c>
      <c r="AE32" s="59">
        <f t="shared" ref="AE32:AG32" si="18">AVERAGE(AE28:AE31)</f>
        <v>14.447373737373736</v>
      </c>
      <c r="AF32" s="59">
        <f t="shared" si="18"/>
        <v>11.18854545454545</v>
      </c>
      <c r="AG32" s="311">
        <f t="shared" si="18"/>
        <v>11.40686856060606</v>
      </c>
      <c r="AH32" s="242">
        <f>AVERAGE(AH28:AH31)</f>
        <v>13.964688166201487</v>
      </c>
      <c r="AI32" s="273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1"/>
      <c r="IX32" s="61"/>
      <c r="IY32" s="61"/>
      <c r="IZ32" s="61"/>
      <c r="JA32" s="61"/>
      <c r="JB32" s="61"/>
      <c r="JC32" s="61"/>
      <c r="JD32" s="61"/>
      <c r="JE32" s="61"/>
      <c r="JF32" s="61"/>
      <c r="JG32" s="61"/>
      <c r="JH32" s="61"/>
      <c r="JI32" s="61"/>
      <c r="JJ32" s="61"/>
      <c r="JK32" s="61"/>
      <c r="JL32" s="61"/>
      <c r="JM32" s="61"/>
      <c r="JN32" s="61"/>
      <c r="JO32" s="61"/>
      <c r="JP32" s="61"/>
      <c r="JQ32" s="61"/>
      <c r="JR32" s="61"/>
      <c r="JS32" s="61"/>
      <c r="JT32" s="61"/>
      <c r="JU32" s="61"/>
      <c r="JV32" s="61"/>
      <c r="JW32" s="61"/>
      <c r="JX32" s="61"/>
      <c r="JY32" s="61"/>
      <c r="JZ32" s="61"/>
      <c r="KA32" s="61"/>
      <c r="KB32" s="61"/>
      <c r="KC32" s="61"/>
      <c r="KD32" s="61"/>
      <c r="KE32" s="61"/>
      <c r="KF32" s="61"/>
      <c r="KG32" s="61"/>
      <c r="KH32" s="61"/>
      <c r="KI32" s="61"/>
      <c r="KJ32" s="61"/>
      <c r="KK32" s="61"/>
      <c r="KL32" s="61"/>
      <c r="KM32" s="61"/>
      <c r="KN32" s="61"/>
      <c r="KO32" s="61"/>
      <c r="KP32" s="61"/>
      <c r="KQ32" s="61"/>
      <c r="KR32" s="61"/>
      <c r="KS32" s="61"/>
      <c r="KT32" s="61"/>
      <c r="KU32" s="61"/>
      <c r="KV32" s="61"/>
      <c r="KW32" s="61"/>
      <c r="KX32" s="61"/>
      <c r="KY32" s="61"/>
      <c r="KZ32" s="61"/>
      <c r="LA32" s="61"/>
      <c r="LB32" s="61"/>
      <c r="LC32" s="61"/>
      <c r="LD32" s="61"/>
      <c r="LE32" s="61"/>
      <c r="LF32" s="61"/>
      <c r="LG32" s="61"/>
      <c r="LH32" s="61"/>
      <c r="LI32" s="61"/>
      <c r="LJ32" s="61"/>
      <c r="LK32" s="61"/>
      <c r="LL32" s="61"/>
      <c r="LM32" s="61"/>
      <c r="LN32" s="61"/>
      <c r="LO32" s="61"/>
      <c r="LP32" s="61"/>
      <c r="LQ32" s="61"/>
      <c r="LR32" s="61"/>
      <c r="LS32" s="61"/>
      <c r="LT32" s="61"/>
      <c r="LU32" s="61"/>
      <c r="LV32" s="61"/>
      <c r="LW32" s="61"/>
      <c r="LX32" s="61"/>
      <c r="LY32" s="61"/>
      <c r="LZ32" s="61"/>
      <c r="MA32" s="61"/>
      <c r="MB32" s="61"/>
      <c r="MC32" s="61"/>
      <c r="MD32" s="61"/>
      <c r="ME32" s="61"/>
      <c r="MF32" s="61"/>
      <c r="MG32" s="61"/>
      <c r="MH32" s="61"/>
      <c r="MI32" s="61"/>
      <c r="MJ32" s="61"/>
      <c r="MK32" s="61"/>
      <c r="ML32" s="61"/>
      <c r="MM32" s="61"/>
      <c r="MN32" s="61"/>
      <c r="MO32" s="61"/>
      <c r="MP32" s="61"/>
      <c r="MQ32" s="61"/>
      <c r="MR32" s="61"/>
      <c r="MS32" s="61"/>
      <c r="MT32" s="61"/>
    </row>
    <row r="33" spans="1:358" ht="19" collapsed="1" thickBot="1">
      <c r="A33" s="227" t="s">
        <v>74</v>
      </c>
      <c r="B33" s="160"/>
      <c r="C33" s="160"/>
      <c r="D33" s="161"/>
      <c r="E33" s="161"/>
      <c r="F33" s="162"/>
      <c r="G33" s="162"/>
      <c r="H33" s="162"/>
      <c r="I33" s="162"/>
      <c r="J33" s="163"/>
      <c r="K33" s="162">
        <f>K14+K32</f>
        <v>64.782499999999999</v>
      </c>
      <c r="L33" s="162">
        <f>L14+L32</f>
        <v>64.099999999999994</v>
      </c>
      <c r="M33" s="162"/>
      <c r="N33" s="164">
        <f>N32</f>
        <v>15.8125</v>
      </c>
      <c r="O33" s="164">
        <v>17.5</v>
      </c>
      <c r="P33" s="414">
        <f>P32</f>
        <v>23.61</v>
      </c>
      <c r="Q33" s="414">
        <f t="shared" ref="Q33" si="19">Q32</f>
        <v>15.207894736842107</v>
      </c>
      <c r="R33" s="414">
        <f>R32</f>
        <v>17.63000000000001</v>
      </c>
      <c r="S33" s="414">
        <f>S32</f>
        <v>15.56</v>
      </c>
      <c r="T33" s="414">
        <f>T32</f>
        <v>14.896666666666668</v>
      </c>
      <c r="U33" s="414">
        <v>13</v>
      </c>
      <c r="V33" s="414">
        <f>V32</f>
        <v>9.4744999999999919</v>
      </c>
      <c r="W33" s="414">
        <f>W32</f>
        <v>10.528636363636359</v>
      </c>
      <c r="X33" s="164">
        <v>13.6</v>
      </c>
      <c r="Y33" s="164">
        <v>12</v>
      </c>
      <c r="Z33" s="370"/>
      <c r="AA33" s="370"/>
      <c r="AB33" s="164">
        <f>AB32</f>
        <v>11.298535227272726</v>
      </c>
      <c r="AC33" s="229">
        <v>11</v>
      </c>
      <c r="AD33" s="312">
        <f>AVERAGE(P33:R33)</f>
        <v>18.815964912280705</v>
      </c>
      <c r="AE33" s="164">
        <f>AVERAGE(S33:T33:U33)</f>
        <v>14.485555555555557</v>
      </c>
      <c r="AF33" s="164">
        <f>AVERAGE(V33:X33)</f>
        <v>11.201045454545451</v>
      </c>
      <c r="AG33" s="313">
        <f>AVERAGE(Y33:AC33)</f>
        <v>11.432845075757575</v>
      </c>
      <c r="AH33" s="242">
        <f>AVERAGE(P33:AC33)</f>
        <v>13.983852749534821</v>
      </c>
      <c r="AI33" s="271">
        <v>16</v>
      </c>
    </row>
    <row r="34" spans="1:358" ht="21.5" thickBot="1">
      <c r="A34" s="196" t="s">
        <v>34</v>
      </c>
      <c r="B34" s="88"/>
      <c r="C34" s="88"/>
      <c r="D34" s="65"/>
      <c r="E34" s="65"/>
      <c r="F34" s="20"/>
      <c r="G34" s="20"/>
      <c r="H34" s="20"/>
      <c r="I34" s="20"/>
      <c r="J34" s="66"/>
      <c r="K34" s="20"/>
      <c r="L34" s="20"/>
      <c r="M34" s="20"/>
      <c r="N34" s="20"/>
      <c r="O34" s="20"/>
      <c r="P34" s="20"/>
      <c r="Q34" s="20"/>
      <c r="R34" s="23"/>
      <c r="S34" s="24"/>
      <c r="T34" s="24"/>
      <c r="U34" s="24"/>
      <c r="V34" s="24"/>
      <c r="W34" s="23"/>
      <c r="X34" s="23"/>
      <c r="Y34" s="23"/>
      <c r="Z34" s="371"/>
      <c r="AA34" s="371"/>
      <c r="AB34" s="23"/>
      <c r="AC34" s="24"/>
      <c r="AD34" s="314"/>
      <c r="AE34" s="23"/>
      <c r="AF34" s="23"/>
      <c r="AG34" s="303"/>
      <c r="AH34" s="238"/>
      <c r="AI34" s="272"/>
    </row>
    <row r="35" spans="1:358" ht="21.5" hidden="1" outlineLevel="1" thickBot="1">
      <c r="A35" s="89" t="s">
        <v>35</v>
      </c>
      <c r="B35" s="96">
        <v>13.72</v>
      </c>
      <c r="C35" s="97" t="str">
        <f>C26</f>
        <v>Previous WK</v>
      </c>
      <c r="D35" s="98"/>
      <c r="E35" s="99">
        <v>13.53</v>
      </c>
      <c r="F35" s="35"/>
      <c r="G35" s="35"/>
      <c r="H35" s="35"/>
      <c r="I35" s="35"/>
      <c r="J35" s="72"/>
      <c r="K35" s="35"/>
      <c r="L35" s="37"/>
      <c r="M35" s="37"/>
      <c r="N35" s="35"/>
      <c r="O35" s="35"/>
      <c r="P35" s="35"/>
      <c r="Q35" s="35"/>
      <c r="R35" s="38"/>
      <c r="S35" s="39"/>
      <c r="T35" s="39"/>
      <c r="U35" s="395"/>
      <c r="V35" s="39"/>
      <c r="W35" s="38"/>
      <c r="X35" s="38"/>
      <c r="Y35" s="38"/>
      <c r="Z35" s="378"/>
      <c r="AA35" s="378"/>
      <c r="AB35" s="38"/>
      <c r="AC35" s="39"/>
      <c r="AD35" s="304"/>
      <c r="AE35" s="248"/>
      <c r="AF35" s="248"/>
      <c r="AG35" s="305"/>
      <c r="AH35" s="239"/>
      <c r="AI35" s="272"/>
    </row>
    <row r="36" spans="1:358" s="77" customFormat="1" ht="21" hidden="1" customHeight="1" outlineLevel="1">
      <c r="A36" s="675"/>
      <c r="B36" s="676"/>
      <c r="C36" s="676"/>
      <c r="D36" s="41"/>
      <c r="E36" s="41"/>
      <c r="F36" s="76"/>
      <c r="G36" s="76"/>
      <c r="H36" s="76"/>
      <c r="I36" s="76"/>
      <c r="J36" s="43"/>
      <c r="K36" s="76"/>
      <c r="L36" s="76"/>
      <c r="M36" s="76"/>
      <c r="N36" s="76"/>
      <c r="O36" s="76"/>
      <c r="P36" s="222"/>
      <c r="Q36" s="76"/>
      <c r="R36" s="44"/>
      <c r="S36" s="44"/>
      <c r="T36" s="44"/>
      <c r="U36" s="44"/>
      <c r="V36" s="44"/>
      <c r="W36" s="44"/>
      <c r="X36" s="44"/>
      <c r="Y36" s="44"/>
      <c r="Z36" s="373"/>
      <c r="AA36" s="374"/>
      <c r="AB36" s="44"/>
      <c r="AC36" s="235"/>
      <c r="AD36" s="315"/>
      <c r="AE36" s="44"/>
      <c r="AF36" s="44"/>
      <c r="AG36" s="316"/>
      <c r="AH36" s="240"/>
      <c r="AI36" s="272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5"/>
      <c r="DY36" s="45"/>
      <c r="DZ36" s="45"/>
      <c r="EA36" s="45"/>
      <c r="EB36" s="45"/>
      <c r="EC36" s="45"/>
      <c r="ED36" s="45"/>
      <c r="EE36" s="45"/>
      <c r="EF36" s="45"/>
      <c r="EG36" s="45"/>
      <c r="EH36" s="45"/>
      <c r="EI36" s="45"/>
      <c r="EJ36" s="45"/>
      <c r="EK36" s="45"/>
      <c r="EL36" s="45"/>
      <c r="EM36" s="45"/>
      <c r="EN36" s="45"/>
      <c r="EO36" s="45"/>
      <c r="EP36" s="45"/>
      <c r="EQ36" s="45"/>
      <c r="ER36" s="45"/>
      <c r="ES36" s="45"/>
      <c r="ET36" s="45"/>
      <c r="EU36" s="45"/>
      <c r="EV36" s="45"/>
      <c r="EW36" s="45"/>
      <c r="EX36" s="45"/>
      <c r="EY36" s="45"/>
      <c r="EZ36" s="45"/>
      <c r="FA36" s="45"/>
      <c r="FB36" s="45"/>
      <c r="FC36" s="45"/>
      <c r="FD36" s="45"/>
      <c r="FE36" s="45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45"/>
      <c r="GR36" s="45"/>
      <c r="GS36" s="45"/>
      <c r="GT36" s="45"/>
      <c r="GU36" s="45"/>
      <c r="GV36" s="45"/>
      <c r="GW36" s="45"/>
      <c r="GX36" s="45"/>
      <c r="GY36" s="45"/>
      <c r="GZ36" s="45"/>
      <c r="HA36" s="45"/>
      <c r="HB36" s="45"/>
      <c r="HC36" s="45"/>
      <c r="HD36" s="45"/>
      <c r="HE36" s="45"/>
      <c r="HF36" s="45"/>
      <c r="HG36" s="45"/>
      <c r="HH36" s="45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  <c r="IO36" s="45"/>
      <c r="IP36" s="45"/>
      <c r="IQ36" s="45"/>
      <c r="IR36" s="45"/>
      <c r="IS36" s="45"/>
      <c r="IT36" s="45"/>
      <c r="IU36" s="45"/>
      <c r="IV36" s="45"/>
      <c r="IW36" s="45"/>
      <c r="IX36" s="45"/>
      <c r="IY36" s="45"/>
      <c r="IZ36" s="45"/>
      <c r="JA36" s="45"/>
      <c r="JB36" s="45"/>
      <c r="JC36" s="45"/>
      <c r="JD36" s="45"/>
      <c r="JE36" s="45"/>
      <c r="JF36" s="45"/>
      <c r="JG36" s="45"/>
      <c r="JH36" s="45"/>
      <c r="JI36" s="45"/>
      <c r="JJ36" s="45"/>
      <c r="JK36" s="45"/>
      <c r="JL36" s="45"/>
      <c r="JM36" s="45"/>
      <c r="JN36" s="45"/>
      <c r="JO36" s="45"/>
      <c r="JP36" s="45"/>
      <c r="JQ36" s="45"/>
      <c r="JR36" s="45"/>
      <c r="JS36" s="45"/>
      <c r="JT36" s="45"/>
      <c r="JU36" s="45"/>
      <c r="JV36" s="45"/>
      <c r="JW36" s="45"/>
      <c r="JX36" s="45"/>
      <c r="JY36" s="45"/>
      <c r="JZ36" s="45"/>
      <c r="KA36" s="45"/>
      <c r="KB36" s="45"/>
      <c r="KC36" s="45"/>
      <c r="KD36" s="45"/>
      <c r="KE36" s="45"/>
      <c r="KF36" s="45"/>
      <c r="KG36" s="45"/>
      <c r="KH36" s="45"/>
      <c r="KI36" s="45"/>
      <c r="KJ36" s="45"/>
      <c r="KK36" s="45"/>
      <c r="KL36" s="45"/>
      <c r="KM36" s="45"/>
      <c r="KN36" s="45"/>
      <c r="KO36" s="45"/>
      <c r="KP36" s="45"/>
      <c r="KQ36" s="45"/>
      <c r="KR36" s="45"/>
      <c r="KS36" s="45"/>
      <c r="KT36" s="45"/>
      <c r="KU36" s="45"/>
      <c r="KV36" s="45"/>
      <c r="KW36" s="45"/>
      <c r="KX36" s="45"/>
      <c r="KY36" s="45"/>
      <c r="KZ36" s="45"/>
      <c r="LA36" s="45"/>
      <c r="LB36" s="45"/>
      <c r="LC36" s="45"/>
      <c r="LD36" s="45"/>
      <c r="LE36" s="45"/>
      <c r="LF36" s="45"/>
      <c r="LG36" s="45"/>
      <c r="LH36" s="45"/>
      <c r="LI36" s="45"/>
      <c r="LJ36" s="45"/>
      <c r="LK36" s="45"/>
      <c r="LL36" s="45"/>
      <c r="LM36" s="45"/>
      <c r="LN36" s="45"/>
      <c r="LO36" s="45"/>
      <c r="LP36" s="45"/>
      <c r="LQ36" s="45"/>
      <c r="LR36" s="45"/>
      <c r="LS36" s="45"/>
      <c r="LT36" s="45"/>
      <c r="LU36" s="45"/>
      <c r="LV36" s="45"/>
      <c r="LW36" s="45"/>
      <c r="LX36" s="45"/>
      <c r="LY36" s="45"/>
      <c r="LZ36" s="45"/>
      <c r="MA36" s="45"/>
      <c r="MB36" s="45"/>
      <c r="MC36" s="45"/>
      <c r="MD36" s="45"/>
      <c r="ME36" s="45"/>
      <c r="MF36" s="45"/>
      <c r="MG36" s="45"/>
      <c r="MH36" s="45"/>
      <c r="MI36" s="45"/>
      <c r="MJ36" s="45"/>
      <c r="MK36" s="45"/>
      <c r="ML36" s="45"/>
      <c r="MM36" s="45"/>
      <c r="MN36" s="45"/>
      <c r="MO36" s="45"/>
      <c r="MP36" s="45"/>
      <c r="MQ36" s="45"/>
      <c r="MR36" s="45"/>
      <c r="MS36" s="45"/>
      <c r="MT36" s="45"/>
    </row>
    <row r="37" spans="1:358" ht="57.75" hidden="1" customHeight="1" outlineLevel="1">
      <c r="A37" s="47" t="s">
        <v>23</v>
      </c>
      <c r="B37" s="78">
        <f>C37-$B$35</f>
        <v>-0.22000000000000064</v>
      </c>
      <c r="C37" s="55">
        <v>13.5</v>
      </c>
      <c r="D37" s="49"/>
      <c r="E37" s="49"/>
      <c r="F37" s="52"/>
      <c r="G37" s="57"/>
      <c r="H37" s="56"/>
      <c r="I37" s="56"/>
      <c r="J37" s="55"/>
      <c r="K37" s="189">
        <v>13.2</v>
      </c>
      <c r="L37" s="191">
        <v>13.9</v>
      </c>
      <c r="M37" s="154">
        <v>13.5</v>
      </c>
      <c r="N37" s="191">
        <v>14.5</v>
      </c>
      <c r="O37" s="191">
        <v>13.5</v>
      </c>
      <c r="P37" s="388">
        <v>11.1</v>
      </c>
      <c r="Q37" s="388">
        <v>11.711052631578951</v>
      </c>
      <c r="R37" s="390">
        <v>12.238181818181829</v>
      </c>
      <c r="S37" s="390">
        <v>10.5</v>
      </c>
      <c r="T37" s="390">
        <v>10.901428571428582</v>
      </c>
      <c r="U37" s="390">
        <v>12.038181818181819</v>
      </c>
      <c r="V37" s="390">
        <v>11.920499999999997</v>
      </c>
      <c r="W37" s="390">
        <v>9.8163636363636471</v>
      </c>
      <c r="X37" s="181">
        <v>11.3</v>
      </c>
      <c r="Y37" s="181">
        <v>11.5</v>
      </c>
      <c r="Z37" s="185"/>
      <c r="AA37" s="186"/>
      <c r="AB37" s="181">
        <v>12</v>
      </c>
      <c r="AC37" s="299">
        <v>12.5</v>
      </c>
      <c r="AD37" s="308">
        <f>AVERAGE(P37:R37)</f>
        <v>11.683078149920261</v>
      </c>
      <c r="AE37" s="246">
        <f>AVERAGE(S37:T37:U37)</f>
        <v>11.1465367965368</v>
      </c>
      <c r="AF37" s="246">
        <f>AVERAGE(V37:X37)</f>
        <v>11.012287878787882</v>
      </c>
      <c r="AG37" s="309">
        <f>AVERAGE(Y37:AC37)</f>
        <v>12</v>
      </c>
      <c r="AH37" s="241">
        <f>AVERAGE(P37:AC37)</f>
        <v>11.460475706311236</v>
      </c>
      <c r="AI37" s="272"/>
    </row>
    <row r="38" spans="1:358" ht="57.75" hidden="1" customHeight="1" outlineLevel="1">
      <c r="A38" s="47" t="s">
        <v>24</v>
      </c>
      <c r="B38" s="78">
        <f t="shared" ref="B38" si="20">C38-$B$28</f>
        <v>13.809999999999999</v>
      </c>
      <c r="C38" s="55">
        <v>13.5</v>
      </c>
      <c r="D38" s="49"/>
      <c r="E38" s="49"/>
      <c r="F38" s="56"/>
      <c r="G38" s="57"/>
      <c r="H38" s="56"/>
      <c r="I38" s="56"/>
      <c r="J38" s="55"/>
      <c r="K38" s="189">
        <v>13.4</v>
      </c>
      <c r="L38" s="191">
        <v>13.3</v>
      </c>
      <c r="M38" s="154">
        <v>13</v>
      </c>
      <c r="N38" s="191">
        <v>13.8</v>
      </c>
      <c r="O38" s="184"/>
      <c r="P38" s="388">
        <v>11.1</v>
      </c>
      <c r="Q38" s="388">
        <v>11.711052631578951</v>
      </c>
      <c r="R38" s="391">
        <v>12.238181818181829</v>
      </c>
      <c r="S38" s="390">
        <v>10.5</v>
      </c>
      <c r="T38" s="391">
        <v>10.901428571428582</v>
      </c>
      <c r="U38" s="391">
        <v>12.038181818181819</v>
      </c>
      <c r="V38" s="391">
        <v>11.920499999999997</v>
      </c>
      <c r="W38" s="391">
        <v>9.8163636363636471</v>
      </c>
      <c r="X38" s="175">
        <v>11.2</v>
      </c>
      <c r="Y38" s="175">
        <v>12</v>
      </c>
      <c r="Z38" s="185"/>
      <c r="AA38" s="186"/>
      <c r="AB38" s="175">
        <v>12.7</v>
      </c>
      <c r="AC38" s="300">
        <v>13</v>
      </c>
      <c r="AD38" s="308">
        <f>AVERAGE(P38:R38)</f>
        <v>11.683078149920261</v>
      </c>
      <c r="AE38" s="246">
        <f>AVERAGE(S38:T38:U38)</f>
        <v>11.1465367965368</v>
      </c>
      <c r="AF38" s="246">
        <f>AVERAGE(V38:X38)</f>
        <v>10.978954545454547</v>
      </c>
      <c r="AG38" s="309">
        <f t="shared" ref="AG38:AG40" si="21">AVERAGE(Y38:AC38)</f>
        <v>12.566666666666668</v>
      </c>
      <c r="AH38" s="241">
        <f>AVERAGE(P38:AC38)</f>
        <v>11.593809039644569</v>
      </c>
      <c r="AI38" s="272"/>
    </row>
    <row r="39" spans="1:358" ht="57.75" hidden="1" customHeight="1" outlineLevel="1">
      <c r="A39" s="47" t="s">
        <v>25</v>
      </c>
      <c r="B39" s="78">
        <f t="shared" ref="B39" si="22">C39-$B$35</f>
        <v>8.0000000000000071E-2</v>
      </c>
      <c r="C39" s="55">
        <v>13.8</v>
      </c>
      <c r="D39" s="49"/>
      <c r="E39" s="49"/>
      <c r="F39" s="52"/>
      <c r="G39" s="57"/>
      <c r="H39" s="56"/>
      <c r="I39" s="56"/>
      <c r="J39" s="55"/>
      <c r="K39" s="189">
        <v>12.5</v>
      </c>
      <c r="L39" s="191">
        <v>13.2</v>
      </c>
      <c r="M39" s="154">
        <v>13.2</v>
      </c>
      <c r="N39" s="191">
        <v>14.5</v>
      </c>
      <c r="O39" s="191">
        <v>15.25</v>
      </c>
      <c r="P39" s="388">
        <v>11.1</v>
      </c>
      <c r="Q39" s="388">
        <v>11.711052631578951</v>
      </c>
      <c r="R39" s="388">
        <v>12.238181818181829</v>
      </c>
      <c r="S39" s="390">
        <v>10.5</v>
      </c>
      <c r="T39" s="390">
        <v>10.901428571428582</v>
      </c>
      <c r="U39" s="390">
        <v>12.038181818181819</v>
      </c>
      <c r="V39" s="390">
        <v>11.920499999999997</v>
      </c>
      <c r="W39" s="390">
        <v>9.8163636363636471</v>
      </c>
      <c r="X39" s="181">
        <v>10.5</v>
      </c>
      <c r="Y39" s="181">
        <v>11.9</v>
      </c>
      <c r="Z39" s="185" t="s">
        <v>36</v>
      </c>
      <c r="AA39" s="186" t="s">
        <v>222</v>
      </c>
      <c r="AB39" s="181">
        <v>13</v>
      </c>
      <c r="AC39" s="299">
        <v>13.2</v>
      </c>
      <c r="AD39" s="308">
        <f>AVERAGE(P39:R39)</f>
        <v>11.683078149920261</v>
      </c>
      <c r="AE39" s="246">
        <f>AVERAGE(S39:T39:U39)</f>
        <v>11.1465367965368</v>
      </c>
      <c r="AF39" s="246">
        <f>AVERAGE(V39:X39)</f>
        <v>10.745621212121215</v>
      </c>
      <c r="AG39" s="309">
        <f t="shared" si="21"/>
        <v>12.699999999999998</v>
      </c>
      <c r="AH39" s="241">
        <f>AVERAGE(P39:AC39)</f>
        <v>11.56880903964457</v>
      </c>
      <c r="AI39" s="272"/>
    </row>
    <row r="40" spans="1:358" ht="57.75" hidden="1" customHeight="1" outlineLevel="1">
      <c r="A40" s="47" t="s">
        <v>26</v>
      </c>
      <c r="B40" s="48" t="e">
        <f>C40-#REF!</f>
        <v>#REF!</v>
      </c>
      <c r="C40" s="55">
        <v>12.8</v>
      </c>
      <c r="D40" s="49"/>
      <c r="E40" s="49"/>
      <c r="F40" s="52"/>
      <c r="G40" s="51"/>
      <c r="H40" s="52"/>
      <c r="I40" s="52"/>
      <c r="J40" s="55"/>
      <c r="K40" s="181">
        <v>13.34</v>
      </c>
      <c r="L40" s="101">
        <v>13.34</v>
      </c>
      <c r="M40" s="101">
        <v>13.68</v>
      </c>
      <c r="N40" s="182">
        <v>14.12</v>
      </c>
      <c r="O40" s="182">
        <v>14</v>
      </c>
      <c r="P40" s="388">
        <v>11.1</v>
      </c>
      <c r="Q40" s="388">
        <v>11.711052631578951</v>
      </c>
      <c r="R40" s="390">
        <v>12.238181818181829</v>
      </c>
      <c r="S40" s="390">
        <v>10.5</v>
      </c>
      <c r="T40" s="390">
        <v>10.901428571428582</v>
      </c>
      <c r="U40" s="390">
        <v>12.038181818181819</v>
      </c>
      <c r="V40" s="390">
        <v>11.920499999999997</v>
      </c>
      <c r="W40" s="390">
        <v>9.8163636363636471</v>
      </c>
      <c r="X40" s="181">
        <v>11.2</v>
      </c>
      <c r="Y40" s="181">
        <v>11.9</v>
      </c>
      <c r="Z40" s="185" t="s">
        <v>212</v>
      </c>
      <c r="AA40" s="186" t="s">
        <v>213</v>
      </c>
      <c r="AB40" s="181">
        <v>12.9</v>
      </c>
      <c r="AC40" s="299">
        <v>13.8</v>
      </c>
      <c r="AD40" s="308">
        <f>AVERAGE(P40:R40)</f>
        <v>11.683078149920261</v>
      </c>
      <c r="AE40" s="246">
        <f>AVERAGE(S40:T40:U40)</f>
        <v>11.1465367965368</v>
      </c>
      <c r="AF40" s="246">
        <f>AVERAGE(V40:X40)</f>
        <v>10.978954545454547</v>
      </c>
      <c r="AG40" s="309">
        <f t="shared" si="21"/>
        <v>12.866666666666667</v>
      </c>
      <c r="AH40" s="241">
        <f>AVERAGE(P40:AC40)</f>
        <v>11.668809039644572</v>
      </c>
      <c r="AI40" s="272"/>
    </row>
    <row r="41" spans="1:358" s="62" customFormat="1" ht="19" hidden="1" outlineLevel="1" thickBot="1">
      <c r="A41" s="245" t="s">
        <v>75</v>
      </c>
      <c r="B41" s="155" t="s">
        <v>27</v>
      </c>
      <c r="C41" s="155" t="s">
        <v>27</v>
      </c>
      <c r="D41" s="155"/>
      <c r="E41" s="156"/>
      <c r="F41" s="157"/>
      <c r="G41" s="157"/>
      <c r="H41" s="157"/>
      <c r="I41" s="157"/>
      <c r="J41" s="157" t="e">
        <f t="shared" ref="J41:AG41" si="23">AVERAGE(J37:J40)</f>
        <v>#DIV/0!</v>
      </c>
      <c r="K41" s="157">
        <f t="shared" si="23"/>
        <v>13.11</v>
      </c>
      <c r="L41" s="157">
        <f t="shared" si="23"/>
        <v>13.435000000000002</v>
      </c>
      <c r="M41" s="157">
        <f t="shared" si="23"/>
        <v>13.345000000000001</v>
      </c>
      <c r="N41" s="157">
        <f t="shared" si="23"/>
        <v>14.229999999999999</v>
      </c>
      <c r="O41" s="157">
        <f t="shared" si="23"/>
        <v>14.25</v>
      </c>
      <c r="P41" s="415">
        <f t="shared" si="23"/>
        <v>11.1</v>
      </c>
      <c r="Q41" s="415">
        <f t="shared" si="23"/>
        <v>11.711052631578951</v>
      </c>
      <c r="R41" s="415">
        <f t="shared" si="23"/>
        <v>12.238181818181829</v>
      </c>
      <c r="S41" s="414">
        <f t="shared" si="23"/>
        <v>10.5</v>
      </c>
      <c r="T41" s="414">
        <f>AVERAGE(T37:T40)</f>
        <v>10.901428571428582</v>
      </c>
      <c r="U41" s="414">
        <f t="shared" si="23"/>
        <v>12.038181818181819</v>
      </c>
      <c r="V41" s="414">
        <f t="shared" si="23"/>
        <v>11.920499999999997</v>
      </c>
      <c r="W41" s="414">
        <f t="shared" si="23"/>
        <v>9.8163636363636471</v>
      </c>
      <c r="X41" s="59">
        <f t="shared" si="23"/>
        <v>11.05</v>
      </c>
      <c r="Y41" s="59">
        <f t="shared" si="23"/>
        <v>11.824999999999999</v>
      </c>
      <c r="Z41" s="379"/>
      <c r="AA41" s="379"/>
      <c r="AB41" s="59">
        <f t="shared" si="23"/>
        <v>12.65</v>
      </c>
      <c r="AC41" s="234">
        <f t="shared" si="23"/>
        <v>13.125</v>
      </c>
      <c r="AD41" s="310">
        <f t="shared" si="23"/>
        <v>11.683078149920261</v>
      </c>
      <c r="AE41" s="59">
        <f t="shared" si="23"/>
        <v>11.1465367965368</v>
      </c>
      <c r="AF41" s="59">
        <f t="shared" si="23"/>
        <v>10.928954545454548</v>
      </c>
      <c r="AG41" s="311">
        <f t="shared" si="23"/>
        <v>12.533333333333333</v>
      </c>
      <c r="AH41" s="242">
        <f>AVERAGE(AH37:AH40)</f>
        <v>11.572975706311237</v>
      </c>
      <c r="AI41" s="272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1"/>
      <c r="IX41" s="61"/>
      <c r="IY41" s="61"/>
      <c r="IZ41" s="61"/>
      <c r="JA41" s="61"/>
      <c r="JB41" s="61"/>
      <c r="JC41" s="61"/>
      <c r="JD41" s="61"/>
      <c r="JE41" s="61"/>
      <c r="JF41" s="61"/>
      <c r="JG41" s="61"/>
      <c r="JH41" s="61"/>
      <c r="JI41" s="61"/>
      <c r="JJ41" s="61"/>
      <c r="JK41" s="61"/>
      <c r="JL41" s="61"/>
      <c r="JM41" s="61"/>
      <c r="JN41" s="61"/>
      <c r="JO41" s="61"/>
      <c r="JP41" s="61"/>
      <c r="JQ41" s="61"/>
      <c r="JR41" s="61"/>
      <c r="JS41" s="61"/>
      <c r="JT41" s="61"/>
      <c r="JU41" s="61"/>
      <c r="JV41" s="61"/>
      <c r="JW41" s="61"/>
      <c r="JX41" s="61"/>
      <c r="JY41" s="61"/>
      <c r="JZ41" s="61"/>
      <c r="KA41" s="61"/>
      <c r="KB41" s="61"/>
      <c r="KC41" s="61"/>
      <c r="KD41" s="61"/>
      <c r="KE41" s="61"/>
      <c r="KF41" s="61"/>
      <c r="KG41" s="61"/>
      <c r="KH41" s="61"/>
      <c r="KI41" s="61"/>
      <c r="KJ41" s="61"/>
      <c r="KK41" s="61"/>
      <c r="KL41" s="61"/>
      <c r="KM41" s="61"/>
      <c r="KN41" s="61"/>
      <c r="KO41" s="61"/>
      <c r="KP41" s="61"/>
      <c r="KQ41" s="61"/>
      <c r="KR41" s="61"/>
      <c r="KS41" s="61"/>
      <c r="KT41" s="61"/>
      <c r="KU41" s="61"/>
      <c r="KV41" s="61"/>
      <c r="KW41" s="61"/>
      <c r="KX41" s="61"/>
      <c r="KY41" s="61"/>
      <c r="KZ41" s="61"/>
      <c r="LA41" s="61"/>
      <c r="LB41" s="61"/>
      <c r="LC41" s="61"/>
      <c r="LD41" s="61"/>
      <c r="LE41" s="61"/>
      <c r="LF41" s="61"/>
      <c r="LG41" s="61"/>
      <c r="LH41" s="61"/>
      <c r="LI41" s="61"/>
      <c r="LJ41" s="61"/>
      <c r="LK41" s="61"/>
      <c r="LL41" s="61"/>
      <c r="LM41" s="61"/>
      <c r="LN41" s="61"/>
      <c r="LO41" s="61"/>
      <c r="LP41" s="61"/>
      <c r="LQ41" s="61"/>
      <c r="LR41" s="61"/>
      <c r="LS41" s="61"/>
      <c r="LT41" s="61"/>
      <c r="LU41" s="61"/>
      <c r="LV41" s="61"/>
      <c r="LW41" s="61"/>
      <c r="LX41" s="61"/>
      <c r="LY41" s="61"/>
      <c r="LZ41" s="61"/>
      <c r="MA41" s="61"/>
      <c r="MB41" s="61"/>
      <c r="MC41" s="61"/>
      <c r="MD41" s="61"/>
      <c r="ME41" s="61"/>
      <c r="MF41" s="61"/>
      <c r="MG41" s="61"/>
      <c r="MH41" s="61"/>
      <c r="MI41" s="61"/>
      <c r="MJ41" s="61"/>
      <c r="MK41" s="61"/>
      <c r="ML41" s="61"/>
      <c r="MM41" s="61"/>
      <c r="MN41" s="61"/>
      <c r="MO41" s="61"/>
      <c r="MP41" s="61"/>
      <c r="MQ41" s="61"/>
      <c r="MR41" s="61"/>
      <c r="MS41" s="61"/>
      <c r="MT41" s="61"/>
    </row>
    <row r="42" spans="1:358" s="62" customFormat="1" ht="17.25" customHeight="1" collapsed="1" thickBot="1">
      <c r="A42" s="227" t="s">
        <v>74</v>
      </c>
      <c r="B42" s="165"/>
      <c r="C42" s="165"/>
      <c r="D42" s="166"/>
      <c r="E42" s="166"/>
      <c r="F42" s="167"/>
      <c r="G42" s="167"/>
      <c r="H42" s="167"/>
      <c r="I42" s="167"/>
      <c r="J42" s="168"/>
      <c r="K42" s="167"/>
      <c r="L42" s="167"/>
      <c r="M42" s="167"/>
      <c r="N42" s="164">
        <f>N41</f>
        <v>14.229999999999999</v>
      </c>
      <c r="O42" s="164">
        <v>15.6</v>
      </c>
      <c r="P42" s="414">
        <f>P41</f>
        <v>11.1</v>
      </c>
      <c r="Q42" s="414">
        <f t="shared" ref="Q42:R42" si="24">Q41</f>
        <v>11.711052631578951</v>
      </c>
      <c r="R42" s="414">
        <f t="shared" si="24"/>
        <v>12.238181818181829</v>
      </c>
      <c r="S42" s="414">
        <f>S41</f>
        <v>10.5</v>
      </c>
      <c r="T42" s="414">
        <f>T41</f>
        <v>10.901428571428582</v>
      </c>
      <c r="U42" s="414">
        <v>11.9</v>
      </c>
      <c r="V42" s="414">
        <f>V41</f>
        <v>11.920499999999997</v>
      </c>
      <c r="W42" s="414">
        <f>W41</f>
        <v>9.8163636363636471</v>
      </c>
      <c r="X42" s="164">
        <v>11.2</v>
      </c>
      <c r="Y42" s="164">
        <v>11.8</v>
      </c>
      <c r="Z42" s="370"/>
      <c r="AA42" s="370"/>
      <c r="AB42" s="164">
        <v>12.5</v>
      </c>
      <c r="AC42" s="164">
        <v>13.15</v>
      </c>
      <c r="AD42" s="312">
        <f>AVERAGE(P42:R42)</f>
        <v>11.683078149920261</v>
      </c>
      <c r="AE42" s="164">
        <f>AVERAGE(S42:T42:U42)</f>
        <v>11.100476190476193</v>
      </c>
      <c r="AF42" s="164">
        <f>AVERAGE(V42:X42)</f>
        <v>10.978954545454547</v>
      </c>
      <c r="AG42" s="313">
        <f>AVERAGE(Y42:AC42)</f>
        <v>12.483333333333334</v>
      </c>
      <c r="AH42" s="242">
        <f>AVERAGE(P42:AC42)</f>
        <v>11.561460554796083</v>
      </c>
      <c r="AI42" s="424">
        <v>13.1</v>
      </c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1"/>
      <c r="IX42" s="61"/>
      <c r="IY42" s="61"/>
      <c r="IZ42" s="61"/>
      <c r="JA42" s="61"/>
      <c r="JB42" s="61"/>
      <c r="JC42" s="61"/>
      <c r="JD42" s="61"/>
      <c r="JE42" s="61"/>
      <c r="JF42" s="61"/>
      <c r="JG42" s="61"/>
      <c r="JH42" s="61"/>
      <c r="JI42" s="61"/>
      <c r="JJ42" s="61"/>
      <c r="JK42" s="61"/>
      <c r="JL42" s="61"/>
      <c r="JM42" s="61"/>
      <c r="JN42" s="61"/>
      <c r="JO42" s="61"/>
      <c r="JP42" s="61"/>
      <c r="JQ42" s="61"/>
      <c r="JR42" s="61"/>
      <c r="JS42" s="61"/>
      <c r="JT42" s="61"/>
      <c r="JU42" s="61"/>
      <c r="JV42" s="61"/>
      <c r="JW42" s="61"/>
      <c r="JX42" s="61"/>
      <c r="JY42" s="61"/>
      <c r="JZ42" s="61"/>
      <c r="KA42" s="61"/>
      <c r="KB42" s="61"/>
      <c r="KC42" s="61"/>
      <c r="KD42" s="61"/>
      <c r="KE42" s="61"/>
      <c r="KF42" s="61"/>
      <c r="KG42" s="61"/>
      <c r="KH42" s="61"/>
      <c r="KI42" s="61"/>
      <c r="KJ42" s="61"/>
      <c r="KK42" s="61"/>
      <c r="KL42" s="61"/>
      <c r="KM42" s="61"/>
      <c r="KN42" s="61"/>
      <c r="KO42" s="61"/>
      <c r="KP42" s="61"/>
      <c r="KQ42" s="61"/>
      <c r="KR42" s="61"/>
      <c r="KS42" s="61"/>
      <c r="KT42" s="61"/>
      <c r="KU42" s="61"/>
      <c r="KV42" s="61"/>
      <c r="KW42" s="61"/>
      <c r="KX42" s="61"/>
      <c r="KY42" s="61"/>
      <c r="KZ42" s="61"/>
      <c r="LA42" s="61"/>
      <c r="LB42" s="61"/>
      <c r="LC42" s="61"/>
      <c r="LD42" s="61"/>
      <c r="LE42" s="61"/>
      <c r="LF42" s="61"/>
      <c r="LG42" s="61"/>
      <c r="LH42" s="61"/>
      <c r="LI42" s="61"/>
      <c r="LJ42" s="61"/>
      <c r="LK42" s="61"/>
      <c r="LL42" s="61"/>
      <c r="LM42" s="61"/>
      <c r="LN42" s="61"/>
      <c r="LO42" s="61"/>
      <c r="LP42" s="61"/>
      <c r="LQ42" s="61"/>
      <c r="LR42" s="61"/>
      <c r="LS42" s="61"/>
      <c r="LT42" s="61"/>
      <c r="LU42" s="61"/>
      <c r="LV42" s="61"/>
      <c r="LW42" s="61"/>
      <c r="LX42" s="61"/>
      <c r="LY42" s="61"/>
      <c r="LZ42" s="61"/>
      <c r="MA42" s="61"/>
      <c r="MB42" s="61"/>
      <c r="MC42" s="61"/>
      <c r="MD42" s="61"/>
      <c r="ME42" s="61"/>
      <c r="MF42" s="61"/>
      <c r="MG42" s="61"/>
      <c r="MH42" s="61"/>
      <c r="MI42" s="61"/>
      <c r="MJ42" s="61"/>
      <c r="MK42" s="61"/>
      <c r="ML42" s="61"/>
      <c r="MM42" s="61"/>
      <c r="MN42" s="61"/>
      <c r="MO42" s="61"/>
      <c r="MP42" s="61"/>
      <c r="MQ42" s="61"/>
      <c r="MR42" s="61"/>
      <c r="MS42" s="61"/>
      <c r="MT42" s="61"/>
    </row>
    <row r="43" spans="1:358" s="62" customFormat="1" ht="15.75" hidden="1" customHeight="1">
      <c r="A43" s="197" t="s">
        <v>37</v>
      </c>
      <c r="B43" s="102"/>
      <c r="C43" s="102"/>
      <c r="D43" s="102"/>
      <c r="E43" s="102"/>
      <c r="F43" s="159"/>
      <c r="G43" s="159"/>
      <c r="H43" s="159"/>
      <c r="I43" s="159"/>
      <c r="J43" s="103"/>
      <c r="K43" s="159">
        <f>K41+K14</f>
        <v>61.41</v>
      </c>
      <c r="L43" s="159">
        <f>L41+L14</f>
        <v>60.285000000000004</v>
      </c>
      <c r="M43" s="104">
        <f t="shared" ref="M43:Y44" si="25">M41-M52</f>
        <v>0.27500000000000036</v>
      </c>
      <c r="N43" s="157">
        <f t="shared" si="25"/>
        <v>0.19999999999999929</v>
      </c>
      <c r="O43" s="157">
        <f t="shared" si="25"/>
        <v>9.9999999999999645E-2</v>
      </c>
      <c r="P43" s="415">
        <f t="shared" si="25"/>
        <v>1.7599999999999998</v>
      </c>
      <c r="Q43" s="415">
        <f t="shared" si="25"/>
        <v>2.5510526315789512</v>
      </c>
      <c r="R43" s="415">
        <f t="shared" si="25"/>
        <v>1.8622727272727317</v>
      </c>
      <c r="S43" s="415">
        <f t="shared" si="25"/>
        <v>1.4499999999999993</v>
      </c>
      <c r="T43" s="415">
        <f t="shared" si="25"/>
        <v>0.31809523809523199</v>
      </c>
      <c r="U43" s="415">
        <f t="shared" si="25"/>
        <v>0.15363636363637312</v>
      </c>
      <c r="V43" s="415">
        <f t="shared" si="25"/>
        <v>0.10500000000001819</v>
      </c>
      <c r="W43" s="415">
        <f t="shared" si="25"/>
        <v>4.3181818181828646E-2</v>
      </c>
      <c r="X43" s="157">
        <f t="shared" si="25"/>
        <v>7.5000000000001066E-2</v>
      </c>
      <c r="Y43" s="157">
        <f t="shared" si="25"/>
        <v>0.51249999999999929</v>
      </c>
      <c r="Z43" s="159"/>
      <c r="AA43" s="159"/>
      <c r="AB43" s="157">
        <f t="shared" ref="AB43:AH43" si="26">AB41-AB52</f>
        <v>0.80000000000000071</v>
      </c>
      <c r="AC43" s="236">
        <f t="shared" si="26"/>
        <v>0.91249999999999964</v>
      </c>
      <c r="AD43" s="317">
        <f t="shared" si="26"/>
        <v>2.0577751196172294</v>
      </c>
      <c r="AE43" s="157">
        <f t="shared" si="26"/>
        <v>0.64057720057720147</v>
      </c>
      <c r="AF43" s="157">
        <f t="shared" si="26"/>
        <v>7.4393939393948116E-2</v>
      </c>
      <c r="AG43" s="318">
        <f t="shared" si="26"/>
        <v>0.74166666666666714</v>
      </c>
      <c r="AH43" s="242">
        <f t="shared" si="26"/>
        <v>0.87860323156376197</v>
      </c>
      <c r="AI43" s="272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1"/>
      <c r="IX43" s="61"/>
      <c r="IY43" s="61"/>
      <c r="IZ43" s="61"/>
      <c r="JA43" s="61"/>
      <c r="JB43" s="61"/>
      <c r="JC43" s="61"/>
      <c r="JD43" s="61"/>
      <c r="JE43" s="61"/>
      <c r="JF43" s="61"/>
      <c r="JG43" s="61"/>
      <c r="JH43" s="61"/>
      <c r="JI43" s="61"/>
      <c r="JJ43" s="61"/>
      <c r="JK43" s="61"/>
      <c r="JL43" s="61"/>
      <c r="JM43" s="61"/>
      <c r="JN43" s="61"/>
      <c r="JO43" s="61"/>
      <c r="JP43" s="61"/>
      <c r="JQ43" s="61"/>
      <c r="JR43" s="61"/>
      <c r="JS43" s="61"/>
      <c r="JT43" s="61"/>
      <c r="JU43" s="61"/>
      <c r="JV43" s="61"/>
      <c r="JW43" s="61"/>
      <c r="JX43" s="61"/>
      <c r="JY43" s="61"/>
      <c r="JZ43" s="61"/>
      <c r="KA43" s="61"/>
      <c r="KB43" s="61"/>
      <c r="KC43" s="61"/>
      <c r="KD43" s="61"/>
      <c r="KE43" s="61"/>
      <c r="KF43" s="61"/>
      <c r="KG43" s="61"/>
      <c r="KH43" s="61"/>
      <c r="KI43" s="61"/>
      <c r="KJ43" s="61"/>
      <c r="KK43" s="61"/>
      <c r="KL43" s="61"/>
      <c r="KM43" s="61"/>
      <c r="KN43" s="61"/>
      <c r="KO43" s="61"/>
      <c r="KP43" s="61"/>
      <c r="KQ43" s="61"/>
      <c r="KR43" s="61"/>
      <c r="KS43" s="61"/>
      <c r="KT43" s="61"/>
      <c r="KU43" s="61"/>
      <c r="KV43" s="61"/>
      <c r="KW43" s="61"/>
      <c r="KX43" s="61"/>
      <c r="KY43" s="61"/>
      <c r="KZ43" s="61"/>
      <c r="LA43" s="61"/>
      <c r="LB43" s="61"/>
      <c r="LC43" s="61"/>
      <c r="LD43" s="61"/>
      <c r="LE43" s="61"/>
      <c r="LF43" s="61"/>
      <c r="LG43" s="61"/>
      <c r="LH43" s="61"/>
      <c r="LI43" s="61"/>
      <c r="LJ43" s="61"/>
      <c r="LK43" s="61"/>
      <c r="LL43" s="61"/>
      <c r="LM43" s="61"/>
      <c r="LN43" s="61"/>
      <c r="LO43" s="61"/>
      <c r="LP43" s="61"/>
      <c r="LQ43" s="61"/>
      <c r="LR43" s="61"/>
      <c r="LS43" s="61"/>
      <c r="LT43" s="61"/>
      <c r="LU43" s="61"/>
      <c r="LV43" s="61"/>
      <c r="LW43" s="61"/>
      <c r="LX43" s="61"/>
      <c r="LY43" s="61"/>
      <c r="LZ43" s="61"/>
      <c r="MA43" s="61"/>
      <c r="MB43" s="61"/>
      <c r="MC43" s="61"/>
      <c r="MD43" s="61"/>
      <c r="ME43" s="61"/>
      <c r="MF43" s="61"/>
      <c r="MG43" s="61"/>
      <c r="MH43" s="61"/>
      <c r="MI43" s="61"/>
      <c r="MJ43" s="61"/>
      <c r="MK43" s="61"/>
      <c r="ML43" s="61"/>
      <c r="MM43" s="61"/>
      <c r="MN43" s="61"/>
      <c r="MO43" s="61"/>
      <c r="MP43" s="61"/>
      <c r="MQ43" s="61"/>
      <c r="MR43" s="61"/>
      <c r="MS43" s="61"/>
      <c r="MT43" s="61"/>
    </row>
    <row r="44" spans="1:358" s="62" customFormat="1" ht="19" thickBot="1">
      <c r="A44" s="227" t="s">
        <v>76</v>
      </c>
      <c r="B44" s="164"/>
      <c r="C44" s="164"/>
      <c r="D44" s="164"/>
      <c r="E44" s="164"/>
      <c r="F44" s="164"/>
      <c r="G44" s="164"/>
      <c r="H44" s="164"/>
      <c r="I44" s="164"/>
      <c r="J44" s="164"/>
      <c r="K44" s="164"/>
      <c r="L44" s="164"/>
      <c r="M44" s="164"/>
      <c r="N44" s="164">
        <f t="shared" si="25"/>
        <v>0.19999999999999929</v>
      </c>
      <c r="O44" s="164">
        <f t="shared" si="25"/>
        <v>1.4499999999999993</v>
      </c>
      <c r="P44" s="414">
        <f t="shared" si="25"/>
        <v>1.7599999999999998</v>
      </c>
      <c r="Q44" s="414">
        <f t="shared" si="25"/>
        <v>2.5510526315789512</v>
      </c>
      <c r="R44" s="414">
        <f t="shared" si="25"/>
        <v>1.8622727272727317</v>
      </c>
      <c r="S44" s="414">
        <f t="shared" si="25"/>
        <v>1.4499999999999993</v>
      </c>
      <c r="T44" s="414">
        <f t="shared" si="25"/>
        <v>0.31809523809523199</v>
      </c>
      <c r="U44" s="414">
        <f t="shared" si="25"/>
        <v>0.20000000000000107</v>
      </c>
      <c r="V44" s="414">
        <f t="shared" si="25"/>
        <v>0.10500000000001819</v>
      </c>
      <c r="W44" s="414">
        <f t="shared" si="25"/>
        <v>4.3181818181828646E-2</v>
      </c>
      <c r="X44" s="164">
        <f t="shared" si="25"/>
        <v>0.19999999999999929</v>
      </c>
      <c r="Y44" s="164">
        <f t="shared" si="25"/>
        <v>0.5</v>
      </c>
      <c r="Z44" s="370"/>
      <c r="AA44" s="370"/>
      <c r="AB44" s="164">
        <f>AB42-AB53</f>
        <v>0.69999999999999929</v>
      </c>
      <c r="AC44" s="229">
        <f>AC42-AC53</f>
        <v>0.90000000000000036</v>
      </c>
      <c r="AD44" s="312">
        <f>AVERAGE(P44:R44)</f>
        <v>2.0577751196172276</v>
      </c>
      <c r="AE44" s="164">
        <f>AE42-AE53</f>
        <v>0.65603174603174352</v>
      </c>
      <c r="AF44" s="164">
        <f>AF42-AF53</f>
        <v>0.11606060606061419</v>
      </c>
      <c r="AG44" s="313">
        <f>AG42-AG53</f>
        <v>0.70000000000000107</v>
      </c>
      <c r="AH44" s="243">
        <f>AH42-AH53</f>
        <v>0.88246686792739659</v>
      </c>
      <c r="AI44" s="274">
        <f>AI42-AI52</f>
        <v>13.1</v>
      </c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1"/>
      <c r="IX44" s="61"/>
      <c r="IY44" s="61"/>
      <c r="IZ44" s="61"/>
      <c r="JA44" s="61"/>
      <c r="JB44" s="61"/>
      <c r="JC44" s="61"/>
      <c r="JD44" s="61"/>
      <c r="JE44" s="61"/>
      <c r="JF44" s="61"/>
      <c r="JG44" s="61"/>
      <c r="JH44" s="61"/>
      <c r="JI44" s="61"/>
      <c r="JJ44" s="61"/>
      <c r="JK44" s="61"/>
      <c r="JL44" s="61"/>
      <c r="JM44" s="61"/>
      <c r="JN44" s="61"/>
      <c r="JO44" s="61"/>
      <c r="JP44" s="61"/>
      <c r="JQ44" s="61"/>
      <c r="JR44" s="61"/>
      <c r="JS44" s="61"/>
      <c r="JT44" s="61"/>
      <c r="JU44" s="61"/>
      <c r="JV44" s="61"/>
      <c r="JW44" s="61"/>
      <c r="JX44" s="61"/>
      <c r="JY44" s="61"/>
      <c r="JZ44" s="61"/>
      <c r="KA44" s="61"/>
      <c r="KB44" s="61"/>
      <c r="KC44" s="61"/>
      <c r="KD44" s="61"/>
      <c r="KE44" s="61"/>
      <c r="KF44" s="61"/>
      <c r="KG44" s="61"/>
      <c r="KH44" s="61"/>
      <c r="KI44" s="61"/>
      <c r="KJ44" s="61"/>
      <c r="KK44" s="61"/>
      <c r="KL44" s="61"/>
      <c r="KM44" s="61"/>
      <c r="KN44" s="61"/>
      <c r="KO44" s="61"/>
      <c r="KP44" s="61"/>
      <c r="KQ44" s="61"/>
      <c r="KR44" s="61"/>
      <c r="KS44" s="61"/>
      <c r="KT44" s="61"/>
      <c r="KU44" s="61"/>
      <c r="KV44" s="61"/>
      <c r="KW44" s="61"/>
      <c r="KX44" s="61"/>
      <c r="KY44" s="61"/>
      <c r="KZ44" s="61"/>
      <c r="LA44" s="61"/>
      <c r="LB44" s="61"/>
      <c r="LC44" s="61"/>
      <c r="LD44" s="61"/>
      <c r="LE44" s="61"/>
      <c r="LF44" s="61"/>
      <c r="LG44" s="61"/>
      <c r="LH44" s="61"/>
      <c r="LI44" s="61"/>
      <c r="LJ44" s="61"/>
      <c r="LK44" s="61"/>
      <c r="LL44" s="61"/>
      <c r="LM44" s="61"/>
      <c r="LN44" s="61"/>
      <c r="LO44" s="61"/>
      <c r="LP44" s="61"/>
      <c r="LQ44" s="61"/>
      <c r="LR44" s="61"/>
      <c r="LS44" s="61"/>
      <c r="LT44" s="61"/>
      <c r="LU44" s="61"/>
      <c r="LV44" s="61"/>
      <c r="LW44" s="61"/>
      <c r="LX44" s="61"/>
      <c r="LY44" s="61"/>
      <c r="LZ44" s="61"/>
      <c r="MA44" s="61"/>
      <c r="MB44" s="61"/>
      <c r="MC44" s="61"/>
      <c r="MD44" s="61"/>
      <c r="ME44" s="61"/>
      <c r="MF44" s="61"/>
      <c r="MG44" s="61"/>
      <c r="MH44" s="61"/>
      <c r="MI44" s="61"/>
      <c r="MJ44" s="61"/>
      <c r="MK44" s="61"/>
      <c r="ML44" s="61"/>
      <c r="MM44" s="61"/>
      <c r="MN44" s="61"/>
      <c r="MO44" s="61"/>
      <c r="MP44" s="61"/>
      <c r="MQ44" s="61"/>
      <c r="MR44" s="61"/>
      <c r="MS44" s="61"/>
      <c r="MT44" s="61"/>
    </row>
    <row r="45" spans="1:358" ht="21.5" thickBot="1">
      <c r="A45" s="196" t="s">
        <v>38</v>
      </c>
      <c r="B45" s="88"/>
      <c r="C45" s="88"/>
      <c r="D45" s="65"/>
      <c r="E45" s="65"/>
      <c r="F45" s="20"/>
      <c r="G45" s="20"/>
      <c r="H45" s="20"/>
      <c r="I45" s="20"/>
      <c r="J45" s="66"/>
      <c r="K45" s="20"/>
      <c r="L45" s="20"/>
      <c r="M45" s="20"/>
      <c r="N45" s="20"/>
      <c r="O45" s="20"/>
      <c r="P45" s="20"/>
      <c r="Q45" s="20"/>
      <c r="R45" s="23"/>
      <c r="S45" s="24"/>
      <c r="T45" s="24"/>
      <c r="U45" s="24"/>
      <c r="V45" s="24"/>
      <c r="W45" s="408"/>
      <c r="X45" s="408"/>
      <c r="Y45" s="408"/>
      <c r="Z45" s="409"/>
      <c r="AA45" s="409"/>
      <c r="AB45" s="408"/>
      <c r="AC45" s="410"/>
      <c r="AD45" s="314"/>
      <c r="AE45" s="23"/>
      <c r="AF45" s="23"/>
      <c r="AG45" s="303"/>
      <c r="AH45" s="238"/>
      <c r="AI45" s="275">
        <f>AH42-AH53</f>
        <v>0.88246686792739659</v>
      </c>
    </row>
    <row r="46" spans="1:358" ht="17.25" hidden="1" customHeight="1" outlineLevel="1">
      <c r="A46" s="89" t="s">
        <v>39</v>
      </c>
      <c r="B46" s="105">
        <v>14.19</v>
      </c>
      <c r="C46" s="106" t="str">
        <f>C35</f>
        <v>Previous WK</v>
      </c>
      <c r="D46" s="98"/>
      <c r="E46" s="99">
        <v>13.82</v>
      </c>
      <c r="F46" s="35"/>
      <c r="G46" s="35"/>
      <c r="H46" s="35"/>
      <c r="I46" s="35"/>
      <c r="J46" s="72"/>
      <c r="K46" s="35"/>
      <c r="L46" s="37"/>
      <c r="M46" s="37"/>
      <c r="N46" s="35"/>
      <c r="O46" s="35"/>
      <c r="P46" s="35"/>
      <c r="Q46" s="35"/>
      <c r="R46" s="38"/>
      <c r="S46" s="39"/>
      <c r="T46" s="39"/>
      <c r="U46" s="395"/>
      <c r="V46" s="39"/>
      <c r="W46" s="38"/>
      <c r="X46" s="38"/>
      <c r="Y46" s="38"/>
      <c r="Z46" s="381"/>
      <c r="AA46" s="381"/>
      <c r="AB46" s="38"/>
      <c r="AC46" s="39"/>
      <c r="AD46" s="304"/>
      <c r="AE46" s="248"/>
      <c r="AF46" s="248"/>
      <c r="AG46" s="305"/>
      <c r="AH46" s="239"/>
      <c r="AI46" s="267"/>
    </row>
    <row r="47" spans="1:358" s="77" customFormat="1" ht="16.5" hidden="1" customHeight="1" outlineLevel="1">
      <c r="A47" s="675"/>
      <c r="B47" s="676"/>
      <c r="C47" s="676"/>
      <c r="D47" s="41"/>
      <c r="E47" s="41"/>
      <c r="F47" s="76"/>
      <c r="G47" s="76"/>
      <c r="H47" s="76"/>
      <c r="I47" s="76"/>
      <c r="J47" s="43"/>
      <c r="K47" s="76"/>
      <c r="L47" s="76"/>
      <c r="M47" s="76"/>
      <c r="N47" s="76"/>
      <c r="O47" s="76"/>
      <c r="P47" s="222"/>
      <c r="Q47" s="76"/>
      <c r="R47" s="44"/>
      <c r="S47" s="44"/>
      <c r="T47" s="44"/>
      <c r="U47" s="44"/>
      <c r="V47" s="44"/>
      <c r="W47" s="44"/>
      <c r="X47" s="44"/>
      <c r="Y47" s="44"/>
      <c r="Z47" s="382"/>
      <c r="AA47" s="383"/>
      <c r="AB47" s="44"/>
      <c r="AC47" s="235"/>
      <c r="AD47" s="315"/>
      <c r="AE47" s="44"/>
      <c r="AF47" s="44"/>
      <c r="AG47" s="316"/>
      <c r="AH47" s="240"/>
      <c r="AI47" s="268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5"/>
      <c r="EA47" s="45"/>
      <c r="EB47" s="45"/>
      <c r="EC47" s="45"/>
      <c r="ED47" s="45"/>
      <c r="EE47" s="45"/>
      <c r="EF47" s="45"/>
      <c r="EG47" s="45"/>
      <c r="EH47" s="45"/>
      <c r="EI47" s="45"/>
      <c r="EJ47" s="45"/>
      <c r="EK47" s="45"/>
      <c r="EL47" s="45"/>
      <c r="EM47" s="45"/>
      <c r="EN47" s="45"/>
      <c r="EO47" s="45"/>
      <c r="EP47" s="45"/>
      <c r="EQ47" s="45"/>
      <c r="ER47" s="45"/>
      <c r="ES47" s="45"/>
      <c r="ET47" s="45"/>
      <c r="EU47" s="45"/>
      <c r="EV47" s="45"/>
      <c r="EW47" s="45"/>
      <c r="EX47" s="45"/>
      <c r="EY47" s="45"/>
      <c r="EZ47" s="45"/>
      <c r="FA47" s="45"/>
      <c r="FB47" s="45"/>
      <c r="FC47" s="45"/>
      <c r="FD47" s="45"/>
      <c r="FE47" s="45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45"/>
      <c r="GR47" s="45"/>
      <c r="GS47" s="45"/>
      <c r="GT47" s="45"/>
      <c r="GU47" s="45"/>
      <c r="GV47" s="45"/>
      <c r="GW47" s="45"/>
      <c r="GX47" s="45"/>
      <c r="GY47" s="45"/>
      <c r="GZ47" s="45"/>
      <c r="HA47" s="45"/>
      <c r="HB47" s="45"/>
      <c r="HC47" s="45"/>
      <c r="HD47" s="45"/>
      <c r="HE47" s="45"/>
      <c r="HF47" s="45"/>
      <c r="HG47" s="45"/>
      <c r="HH47" s="45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  <c r="IO47" s="45"/>
      <c r="IP47" s="45"/>
      <c r="IQ47" s="45"/>
      <c r="IR47" s="45"/>
      <c r="IS47" s="45"/>
      <c r="IT47" s="45"/>
      <c r="IU47" s="45"/>
      <c r="IV47" s="45"/>
      <c r="IW47" s="45"/>
      <c r="IX47" s="45"/>
      <c r="IY47" s="45"/>
      <c r="IZ47" s="45"/>
      <c r="JA47" s="45"/>
      <c r="JB47" s="45"/>
      <c r="JC47" s="45"/>
      <c r="JD47" s="45"/>
      <c r="JE47" s="45"/>
      <c r="JF47" s="45"/>
      <c r="JG47" s="45"/>
      <c r="JH47" s="45"/>
      <c r="JI47" s="45"/>
      <c r="JJ47" s="45"/>
      <c r="JK47" s="45"/>
      <c r="JL47" s="45"/>
      <c r="JM47" s="45"/>
      <c r="JN47" s="45"/>
      <c r="JO47" s="45"/>
      <c r="JP47" s="45"/>
      <c r="JQ47" s="45"/>
      <c r="JR47" s="45"/>
      <c r="JS47" s="45"/>
      <c r="JT47" s="45"/>
      <c r="JU47" s="45"/>
      <c r="JV47" s="45"/>
      <c r="JW47" s="45"/>
      <c r="JX47" s="45"/>
      <c r="JY47" s="45"/>
      <c r="JZ47" s="45"/>
      <c r="KA47" s="45"/>
      <c r="KB47" s="45"/>
      <c r="KC47" s="45"/>
      <c r="KD47" s="45"/>
      <c r="KE47" s="45"/>
      <c r="KF47" s="45"/>
      <c r="KG47" s="45"/>
      <c r="KH47" s="45"/>
      <c r="KI47" s="45"/>
      <c r="KJ47" s="45"/>
      <c r="KK47" s="45"/>
      <c r="KL47" s="45"/>
      <c r="KM47" s="45"/>
      <c r="KN47" s="45"/>
      <c r="KO47" s="45"/>
      <c r="KP47" s="45"/>
      <c r="KQ47" s="45"/>
      <c r="KR47" s="45"/>
      <c r="KS47" s="45"/>
      <c r="KT47" s="45"/>
      <c r="KU47" s="45"/>
      <c r="KV47" s="45"/>
      <c r="KW47" s="45"/>
      <c r="KX47" s="45"/>
      <c r="KY47" s="45"/>
      <c r="KZ47" s="45"/>
      <c r="LA47" s="45"/>
      <c r="LB47" s="45"/>
      <c r="LC47" s="45"/>
      <c r="LD47" s="45"/>
      <c r="LE47" s="45"/>
      <c r="LF47" s="45"/>
      <c r="LG47" s="45"/>
      <c r="LH47" s="45"/>
      <c r="LI47" s="45"/>
      <c r="LJ47" s="45"/>
      <c r="LK47" s="45"/>
      <c r="LL47" s="45"/>
      <c r="LM47" s="45"/>
      <c r="LN47" s="45"/>
      <c r="LO47" s="45"/>
      <c r="LP47" s="45"/>
      <c r="LQ47" s="45"/>
      <c r="LR47" s="45"/>
      <c r="LS47" s="45"/>
      <c r="LT47" s="45"/>
      <c r="LU47" s="45"/>
      <c r="LV47" s="45"/>
      <c r="LW47" s="45"/>
      <c r="LX47" s="45"/>
      <c r="LY47" s="45"/>
      <c r="LZ47" s="45"/>
      <c r="MA47" s="45"/>
      <c r="MB47" s="45"/>
      <c r="MC47" s="45"/>
      <c r="MD47" s="45"/>
      <c r="ME47" s="45"/>
      <c r="MF47" s="45"/>
      <c r="MG47" s="45"/>
      <c r="MH47" s="45"/>
      <c r="MI47" s="45"/>
      <c r="MJ47" s="45"/>
      <c r="MK47" s="45"/>
      <c r="ML47" s="45"/>
      <c r="MM47" s="45"/>
      <c r="MN47" s="45"/>
      <c r="MO47" s="45"/>
      <c r="MP47" s="45"/>
      <c r="MQ47" s="45"/>
      <c r="MR47" s="45"/>
      <c r="MS47" s="45"/>
      <c r="MT47" s="45"/>
    </row>
    <row r="48" spans="1:358" ht="50.25" hidden="1" customHeight="1" outlineLevel="1">
      <c r="A48" s="47" t="s">
        <v>23</v>
      </c>
      <c r="B48" s="78">
        <f>C48-$B$46</f>
        <v>6.0000000000000497E-2</v>
      </c>
      <c r="C48" s="55">
        <v>14.25</v>
      </c>
      <c r="D48" s="49"/>
      <c r="E48" s="49"/>
      <c r="F48" s="51"/>
      <c r="G48" s="57"/>
      <c r="H48" s="56"/>
      <c r="I48" s="56"/>
      <c r="J48" s="55"/>
      <c r="K48" s="189">
        <v>13.5</v>
      </c>
      <c r="L48" s="191">
        <v>14.2</v>
      </c>
      <c r="M48" s="154">
        <v>13.1</v>
      </c>
      <c r="N48" s="191">
        <v>14.2</v>
      </c>
      <c r="O48" s="191">
        <v>13.7</v>
      </c>
      <c r="P48" s="388">
        <v>9.34</v>
      </c>
      <c r="Q48" s="388">
        <v>9.16</v>
      </c>
      <c r="R48" s="388">
        <v>10.375909090909097</v>
      </c>
      <c r="S48" s="388">
        <v>9.0500000000000007</v>
      </c>
      <c r="T48" s="388">
        <v>10.58333333333335</v>
      </c>
      <c r="U48" s="388">
        <v>11.884545454545446</v>
      </c>
      <c r="V48" s="388">
        <v>11.815499999999979</v>
      </c>
      <c r="W48" s="388">
        <v>9.7731818181818184</v>
      </c>
      <c r="X48" s="189">
        <v>11</v>
      </c>
      <c r="Y48" s="189">
        <v>11.25</v>
      </c>
      <c r="Z48" s="185"/>
      <c r="AA48" s="186"/>
      <c r="AB48" s="189">
        <v>11.5</v>
      </c>
      <c r="AC48" s="297">
        <v>11.75</v>
      </c>
      <c r="AD48" s="308">
        <f>AVERAGE(P48:R48)</f>
        <v>9.6253030303030318</v>
      </c>
      <c r="AE48" s="246">
        <f>AVERAGE(S48:T48:U48)</f>
        <v>10.505959595959599</v>
      </c>
      <c r="AF48" s="246">
        <f>AVERAGE(V48:X48)</f>
        <v>10.862893939393933</v>
      </c>
      <c r="AG48" s="309">
        <f>AVERAGE(Y48:AC48)</f>
        <v>11.5</v>
      </c>
      <c r="AH48" s="241">
        <f>AVERAGE(P48:AC48)</f>
        <v>10.623539141414142</v>
      </c>
      <c r="AI48" s="267"/>
    </row>
    <row r="49" spans="1:358" ht="50.25" hidden="1" customHeight="1" outlineLevel="1">
      <c r="A49" s="47" t="s">
        <v>24</v>
      </c>
      <c r="B49" s="78" t="e">
        <f>C49-#REF!</f>
        <v>#REF!</v>
      </c>
      <c r="C49" s="55">
        <v>14.3</v>
      </c>
      <c r="D49" s="49"/>
      <c r="E49" s="49"/>
      <c r="F49" s="57"/>
      <c r="G49" s="57"/>
      <c r="H49" s="56"/>
      <c r="I49" s="56"/>
      <c r="J49" s="55"/>
      <c r="K49" s="189">
        <v>13.5</v>
      </c>
      <c r="L49" s="191">
        <v>13.6</v>
      </c>
      <c r="M49" s="154">
        <v>12.9</v>
      </c>
      <c r="N49" s="191">
        <v>14</v>
      </c>
      <c r="O49" s="184"/>
      <c r="P49" s="388">
        <v>9.34</v>
      </c>
      <c r="Q49" s="388">
        <v>9.16</v>
      </c>
      <c r="R49" s="389">
        <v>10.375909090909097</v>
      </c>
      <c r="S49" s="388">
        <v>9.0500000000000007</v>
      </c>
      <c r="T49" s="389">
        <v>10.58333333333335</v>
      </c>
      <c r="U49" s="389">
        <v>11.884545454545446</v>
      </c>
      <c r="V49" s="389">
        <v>11.815499999999979</v>
      </c>
      <c r="W49" s="389">
        <v>9.7731818181818184</v>
      </c>
      <c r="X49" s="183">
        <v>10.899999999999999</v>
      </c>
      <c r="Y49" s="183">
        <v>11.5</v>
      </c>
      <c r="Z49" s="185"/>
      <c r="AA49" s="186"/>
      <c r="AB49" s="183">
        <v>11.799999999999999</v>
      </c>
      <c r="AC49" s="298">
        <v>12.1</v>
      </c>
      <c r="AD49" s="308">
        <f>AVERAGE(P49:R49)</f>
        <v>9.6253030303030318</v>
      </c>
      <c r="AE49" s="246">
        <f>AVERAGE(S49:T49:U49)</f>
        <v>10.505959595959599</v>
      </c>
      <c r="AF49" s="246">
        <f>AVERAGE(V49:X49)</f>
        <v>10.829560606060598</v>
      </c>
      <c r="AG49" s="309">
        <f t="shared" ref="AG49:AG51" si="27">AVERAGE(Y49:AC49)</f>
        <v>11.799999999999999</v>
      </c>
      <c r="AH49" s="241">
        <f>AVERAGE(P49:AC49)</f>
        <v>10.69020580808081</v>
      </c>
      <c r="AI49" s="267"/>
    </row>
    <row r="50" spans="1:358" ht="50.25" hidden="1" customHeight="1" outlineLevel="1">
      <c r="A50" s="47" t="s">
        <v>25</v>
      </c>
      <c r="B50" s="78">
        <f t="shared" ref="B50" si="28">C50-$B$46</f>
        <v>-8.9999999999999858E-2</v>
      </c>
      <c r="C50" s="55">
        <v>14.1</v>
      </c>
      <c r="D50" s="49"/>
      <c r="E50" s="49"/>
      <c r="F50" s="57"/>
      <c r="G50" s="57"/>
      <c r="H50" s="56"/>
      <c r="I50" s="56"/>
      <c r="J50" s="55"/>
      <c r="K50" s="189">
        <v>13</v>
      </c>
      <c r="L50" s="191">
        <v>13</v>
      </c>
      <c r="M50" s="189">
        <v>13</v>
      </c>
      <c r="N50" s="189">
        <v>14.3</v>
      </c>
      <c r="O50" s="189">
        <v>14.75</v>
      </c>
      <c r="P50" s="388">
        <v>9.34</v>
      </c>
      <c r="Q50" s="388">
        <v>9.16</v>
      </c>
      <c r="R50" s="388">
        <v>10.375909090909097</v>
      </c>
      <c r="S50" s="388">
        <v>9.0500000000000007</v>
      </c>
      <c r="T50" s="388">
        <v>10.58333333333335</v>
      </c>
      <c r="U50" s="388">
        <v>11.884545454545446</v>
      </c>
      <c r="V50" s="388">
        <v>11.815499999999979</v>
      </c>
      <c r="W50" s="388">
        <v>9.7731818181818184</v>
      </c>
      <c r="X50" s="189">
        <v>11</v>
      </c>
      <c r="Y50" s="189">
        <v>11</v>
      </c>
      <c r="Z50" s="185" t="s">
        <v>36</v>
      </c>
      <c r="AA50" s="186" t="s">
        <v>222</v>
      </c>
      <c r="AB50" s="189">
        <v>12</v>
      </c>
      <c r="AC50" s="297">
        <v>12</v>
      </c>
      <c r="AD50" s="308">
        <f>AVERAGE(P50:R50)</f>
        <v>9.6253030303030318</v>
      </c>
      <c r="AE50" s="246">
        <f>AVERAGE(S50:T50:U50)</f>
        <v>10.505959595959599</v>
      </c>
      <c r="AF50" s="246">
        <f>AVERAGE(V50:X50)</f>
        <v>10.862893939393933</v>
      </c>
      <c r="AG50" s="309">
        <f t="shared" si="27"/>
        <v>11.666666666666666</v>
      </c>
      <c r="AH50" s="241">
        <f>AVERAGE(P50:AC50)</f>
        <v>10.665205808080808</v>
      </c>
      <c r="AI50" s="267"/>
    </row>
    <row r="51" spans="1:358" ht="50.25" hidden="1" customHeight="1" outlineLevel="1">
      <c r="A51" s="47" t="s">
        <v>26</v>
      </c>
      <c r="B51" s="78" t="e">
        <f>C51-#REF!</f>
        <v>#REF!</v>
      </c>
      <c r="C51" s="55">
        <v>14.5</v>
      </c>
      <c r="D51" s="49"/>
      <c r="E51" s="49"/>
      <c r="F51" s="51"/>
      <c r="G51" s="51"/>
      <c r="H51" s="52"/>
      <c r="I51" s="52"/>
      <c r="J51" s="55"/>
      <c r="K51" s="181">
        <v>13.4</v>
      </c>
      <c r="L51" s="101">
        <v>13.4</v>
      </c>
      <c r="M51" s="101">
        <v>13.28</v>
      </c>
      <c r="N51" s="176">
        <v>13.62</v>
      </c>
      <c r="O51" s="176">
        <v>14</v>
      </c>
      <c r="P51" s="388">
        <v>9.34</v>
      </c>
      <c r="Q51" s="388">
        <v>9.16</v>
      </c>
      <c r="R51" s="389">
        <v>10.375909090909097</v>
      </c>
      <c r="S51" s="388">
        <v>9.0500000000000007</v>
      </c>
      <c r="T51" s="389">
        <v>10.58333333333335</v>
      </c>
      <c r="U51" s="388">
        <v>11.884545454545446</v>
      </c>
      <c r="V51" s="388">
        <v>11.815499999999979</v>
      </c>
      <c r="W51" s="389">
        <v>9.7731818181818184</v>
      </c>
      <c r="X51" s="183">
        <v>11</v>
      </c>
      <c r="Y51" s="183">
        <v>11.5</v>
      </c>
      <c r="Z51" s="224" t="s">
        <v>212</v>
      </c>
      <c r="AA51" s="186" t="s">
        <v>213</v>
      </c>
      <c r="AB51" s="183">
        <v>12.1</v>
      </c>
      <c r="AC51" s="298">
        <v>13</v>
      </c>
      <c r="AD51" s="308">
        <f>AVERAGE(P51:R51)</f>
        <v>9.6253030303030318</v>
      </c>
      <c r="AE51" s="246">
        <f>AVERAGE(S51:T51:U51)</f>
        <v>10.505959595959599</v>
      </c>
      <c r="AF51" s="246">
        <f>AVERAGE(V51:X51)</f>
        <v>10.862893939393933</v>
      </c>
      <c r="AG51" s="309">
        <f t="shared" si="27"/>
        <v>12.200000000000001</v>
      </c>
      <c r="AH51" s="241">
        <f>AVERAGE(P51:AC51)</f>
        <v>10.798539141414141</v>
      </c>
      <c r="AI51" s="267"/>
    </row>
    <row r="52" spans="1:358" s="62" customFormat="1" ht="19" hidden="1" outlineLevel="1" thickBot="1">
      <c r="A52" s="245" t="s">
        <v>75</v>
      </c>
      <c r="B52" s="155" t="s">
        <v>27</v>
      </c>
      <c r="C52" s="155" t="s">
        <v>27</v>
      </c>
      <c r="D52" s="155"/>
      <c r="E52" s="156"/>
      <c r="F52" s="157" t="e">
        <f>AVERAGE(F48:F51)</f>
        <v>#DIV/0!</v>
      </c>
      <c r="G52" s="157"/>
      <c r="H52" s="157"/>
      <c r="I52" s="157"/>
      <c r="J52" s="157" t="e">
        <f t="shared" ref="J52:K52" si="29">AVERAGE(J48:J51)</f>
        <v>#DIV/0!</v>
      </c>
      <c r="K52" s="157">
        <f t="shared" si="29"/>
        <v>13.35</v>
      </c>
      <c r="L52" s="157">
        <v>13.75</v>
      </c>
      <c r="M52" s="157">
        <f>AVERAGE(M48:M51)</f>
        <v>13.07</v>
      </c>
      <c r="N52" s="157">
        <f>AVERAGE(N48:N51)</f>
        <v>14.03</v>
      </c>
      <c r="O52" s="157">
        <f>AVERAGE(O48:O51)</f>
        <v>14.15</v>
      </c>
      <c r="P52" s="415">
        <f>AVERAGE(P48:P51)</f>
        <v>9.34</v>
      </c>
      <c r="Q52" s="415">
        <f>AVERAGE(Q48:Q51)</f>
        <v>9.16</v>
      </c>
      <c r="R52" s="415">
        <f t="shared" ref="R52:AG52" si="30">AVERAGE(R48:R51)</f>
        <v>10.375909090909097</v>
      </c>
      <c r="S52" s="414">
        <f t="shared" si="30"/>
        <v>9.0500000000000007</v>
      </c>
      <c r="T52" s="414">
        <f>AVERAGE(T48:T51)</f>
        <v>10.58333333333335</v>
      </c>
      <c r="U52" s="414">
        <f t="shared" si="30"/>
        <v>11.884545454545446</v>
      </c>
      <c r="V52" s="414">
        <f t="shared" si="30"/>
        <v>11.815499999999979</v>
      </c>
      <c r="W52" s="414">
        <f t="shared" si="30"/>
        <v>9.7731818181818184</v>
      </c>
      <c r="X52" s="59">
        <f t="shared" si="30"/>
        <v>10.975</v>
      </c>
      <c r="Y52" s="59">
        <f t="shared" si="30"/>
        <v>11.3125</v>
      </c>
      <c r="Z52" s="379"/>
      <c r="AA52" s="379"/>
      <c r="AB52" s="59">
        <f t="shared" si="30"/>
        <v>11.85</v>
      </c>
      <c r="AC52" s="234">
        <f t="shared" si="30"/>
        <v>12.2125</v>
      </c>
      <c r="AD52" s="310">
        <f t="shared" si="30"/>
        <v>9.6253030303030318</v>
      </c>
      <c r="AE52" s="59">
        <f t="shared" si="30"/>
        <v>10.505959595959599</v>
      </c>
      <c r="AF52" s="59">
        <f t="shared" si="30"/>
        <v>10.8545606060606</v>
      </c>
      <c r="AG52" s="311">
        <f t="shared" si="30"/>
        <v>11.791666666666666</v>
      </c>
      <c r="AH52" s="242">
        <f>AVERAGE(AH48:AH51)</f>
        <v>10.694372474747475</v>
      </c>
      <c r="AI52" s="270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1"/>
      <c r="IX52" s="61"/>
      <c r="IY52" s="61"/>
      <c r="IZ52" s="61"/>
      <c r="JA52" s="61"/>
      <c r="JB52" s="61"/>
      <c r="JC52" s="61"/>
      <c r="JD52" s="61"/>
      <c r="JE52" s="61"/>
      <c r="JF52" s="61"/>
      <c r="JG52" s="61"/>
      <c r="JH52" s="61"/>
      <c r="JI52" s="61"/>
      <c r="JJ52" s="61"/>
      <c r="JK52" s="61"/>
      <c r="JL52" s="61"/>
      <c r="JM52" s="61"/>
      <c r="JN52" s="61"/>
      <c r="JO52" s="61"/>
      <c r="JP52" s="61"/>
      <c r="JQ52" s="61"/>
      <c r="JR52" s="61"/>
      <c r="JS52" s="61"/>
      <c r="JT52" s="61"/>
      <c r="JU52" s="61"/>
      <c r="JV52" s="61"/>
      <c r="JW52" s="61"/>
      <c r="JX52" s="61"/>
      <c r="JY52" s="61"/>
      <c r="JZ52" s="61"/>
      <c r="KA52" s="61"/>
      <c r="KB52" s="61"/>
      <c r="KC52" s="61"/>
      <c r="KD52" s="61"/>
      <c r="KE52" s="61"/>
      <c r="KF52" s="61"/>
      <c r="KG52" s="61"/>
      <c r="KH52" s="61"/>
      <c r="KI52" s="61"/>
      <c r="KJ52" s="61"/>
      <c r="KK52" s="61"/>
      <c r="KL52" s="61"/>
      <c r="KM52" s="61"/>
      <c r="KN52" s="61"/>
      <c r="KO52" s="61"/>
      <c r="KP52" s="61"/>
      <c r="KQ52" s="61"/>
      <c r="KR52" s="61"/>
      <c r="KS52" s="61"/>
      <c r="KT52" s="61"/>
      <c r="KU52" s="61"/>
      <c r="KV52" s="61"/>
      <c r="KW52" s="61"/>
      <c r="KX52" s="61"/>
      <c r="KY52" s="61"/>
      <c r="KZ52" s="61"/>
      <c r="LA52" s="61"/>
      <c r="LB52" s="61"/>
      <c r="LC52" s="61"/>
      <c r="LD52" s="61"/>
      <c r="LE52" s="61"/>
      <c r="LF52" s="61"/>
      <c r="LG52" s="61"/>
      <c r="LH52" s="61"/>
      <c r="LI52" s="61"/>
      <c r="LJ52" s="61"/>
      <c r="LK52" s="61"/>
      <c r="LL52" s="61"/>
      <c r="LM52" s="61"/>
      <c r="LN52" s="61"/>
      <c r="LO52" s="61"/>
      <c r="LP52" s="61"/>
      <c r="LQ52" s="61"/>
      <c r="LR52" s="61"/>
      <c r="LS52" s="61"/>
      <c r="LT52" s="61"/>
      <c r="LU52" s="61"/>
      <c r="LV52" s="61"/>
      <c r="LW52" s="61"/>
      <c r="LX52" s="61"/>
      <c r="LY52" s="61"/>
      <c r="LZ52" s="61"/>
      <c r="MA52" s="61"/>
      <c r="MB52" s="61"/>
      <c r="MC52" s="61"/>
      <c r="MD52" s="61"/>
      <c r="ME52" s="61"/>
      <c r="MF52" s="61"/>
      <c r="MG52" s="61"/>
      <c r="MH52" s="61"/>
      <c r="MI52" s="61"/>
      <c r="MJ52" s="61"/>
      <c r="MK52" s="61"/>
      <c r="ML52" s="61"/>
      <c r="MM52" s="61"/>
      <c r="MN52" s="61"/>
      <c r="MO52" s="61"/>
      <c r="MP52" s="61"/>
      <c r="MQ52" s="61"/>
      <c r="MR52" s="61"/>
      <c r="MS52" s="61"/>
      <c r="MT52" s="61"/>
    </row>
    <row r="53" spans="1:358" ht="19" collapsed="1" thickBot="1">
      <c r="A53" s="227" t="s">
        <v>74</v>
      </c>
      <c r="B53" s="165"/>
      <c r="C53" s="165"/>
      <c r="D53" s="166"/>
      <c r="E53" s="166"/>
      <c r="F53" s="167"/>
      <c r="G53" s="167"/>
      <c r="H53" s="167"/>
      <c r="I53" s="167"/>
      <c r="J53" s="168"/>
      <c r="K53" s="167">
        <f>K52+K14</f>
        <v>61.65</v>
      </c>
      <c r="L53" s="167">
        <f>L52+L14</f>
        <v>60.6</v>
      </c>
      <c r="M53" s="167"/>
      <c r="N53" s="164">
        <f>N52</f>
        <v>14.03</v>
      </c>
      <c r="O53" s="164">
        <f t="shared" ref="O53" si="31">O52</f>
        <v>14.15</v>
      </c>
      <c r="P53" s="414">
        <f>P52</f>
        <v>9.34</v>
      </c>
      <c r="Q53" s="414">
        <f t="shared" ref="Q53" si="32">Q52</f>
        <v>9.16</v>
      </c>
      <c r="R53" s="414">
        <f>R52</f>
        <v>10.375909090909097</v>
      </c>
      <c r="S53" s="414">
        <f>S52</f>
        <v>9.0500000000000007</v>
      </c>
      <c r="T53" s="414">
        <f>T52</f>
        <v>10.58333333333335</v>
      </c>
      <c r="U53" s="414">
        <v>11.7</v>
      </c>
      <c r="V53" s="414">
        <f>V52</f>
        <v>11.815499999999979</v>
      </c>
      <c r="W53" s="414">
        <f>W52</f>
        <v>9.7731818181818184</v>
      </c>
      <c r="X53" s="164">
        <v>11</v>
      </c>
      <c r="Y53" s="164">
        <v>11.3</v>
      </c>
      <c r="Z53" s="370"/>
      <c r="AA53" s="370"/>
      <c r="AB53" s="164">
        <v>11.8</v>
      </c>
      <c r="AC53" s="164">
        <v>12.25</v>
      </c>
      <c r="AD53" s="312">
        <f>AVERAGE(P53:R53)</f>
        <v>9.6253030303030318</v>
      </c>
      <c r="AE53" s="164">
        <f>AVERAGE(S53:T53:U53)</f>
        <v>10.44444444444445</v>
      </c>
      <c r="AF53" s="164">
        <f>AVERAGE(V53:X53)</f>
        <v>10.862893939393933</v>
      </c>
      <c r="AG53" s="313">
        <f>AVERAGE(Y53:AC53)</f>
        <v>11.783333333333333</v>
      </c>
      <c r="AH53" s="242">
        <f>AVERAGE(P53:AC53)</f>
        <v>10.678993686868687</v>
      </c>
      <c r="AI53" s="275">
        <v>12.8</v>
      </c>
    </row>
    <row r="54" spans="1:358" ht="21.5" thickBot="1">
      <c r="A54" s="196" t="s">
        <v>41</v>
      </c>
      <c r="B54" s="88"/>
      <c r="C54" s="88"/>
      <c r="D54" s="65"/>
      <c r="E54" s="65"/>
      <c r="F54" s="20"/>
      <c r="G54" s="20"/>
      <c r="H54" s="20"/>
      <c r="I54" s="20"/>
      <c r="J54" s="109"/>
      <c r="K54" s="20"/>
      <c r="L54" s="20"/>
      <c r="M54" s="20"/>
      <c r="N54" s="20"/>
      <c r="O54" s="20"/>
      <c r="P54" s="20"/>
      <c r="Q54" s="20"/>
      <c r="R54" s="23"/>
      <c r="S54" s="24"/>
      <c r="T54" s="24"/>
      <c r="U54" s="24"/>
      <c r="V54" s="24"/>
      <c r="W54" s="23"/>
      <c r="X54" s="23"/>
      <c r="Y54" s="23"/>
      <c r="Z54" s="371"/>
      <c r="AA54" s="371"/>
      <c r="AB54" s="23"/>
      <c r="AC54" s="24"/>
      <c r="AD54" s="314"/>
      <c r="AE54" s="23"/>
      <c r="AF54" s="23"/>
      <c r="AG54" s="303"/>
      <c r="AH54" s="238"/>
      <c r="AI54" s="267"/>
    </row>
    <row r="55" spans="1:358" ht="21.5" hidden="1" outlineLevel="1" thickBot="1">
      <c r="A55" s="89" t="s">
        <v>42</v>
      </c>
      <c r="B55" s="110">
        <v>-1.1100000000000001</v>
      </c>
      <c r="C55" s="110" t="str">
        <f>C46</f>
        <v>Previous WK</v>
      </c>
      <c r="D55" s="98"/>
      <c r="E55" s="99">
        <v>-3.67</v>
      </c>
      <c r="F55" s="35"/>
      <c r="G55" s="35"/>
      <c r="H55" s="35"/>
      <c r="I55" s="35"/>
      <c r="J55" s="72"/>
      <c r="K55" s="35"/>
      <c r="L55" s="37"/>
      <c r="M55" s="37"/>
      <c r="N55" s="35"/>
      <c r="O55" s="35"/>
      <c r="P55" s="35"/>
      <c r="Q55" s="35"/>
      <c r="R55" s="38"/>
      <c r="S55" s="39"/>
      <c r="T55" s="39"/>
      <c r="U55" s="396"/>
      <c r="V55" s="39"/>
      <c r="W55" s="38"/>
      <c r="X55" s="38"/>
      <c r="Y55" s="38"/>
      <c r="Z55" s="372"/>
      <c r="AA55" s="372"/>
      <c r="AB55" s="38"/>
      <c r="AC55" s="39"/>
      <c r="AD55" s="304"/>
      <c r="AE55" s="248"/>
      <c r="AF55" s="248"/>
      <c r="AG55" s="305"/>
      <c r="AH55" s="239"/>
      <c r="AI55" s="267"/>
    </row>
    <row r="56" spans="1:358" s="77" customFormat="1" ht="19" hidden="1" outlineLevel="1" thickBot="1">
      <c r="A56" s="675"/>
      <c r="B56" s="676"/>
      <c r="C56" s="676"/>
      <c r="D56" s="41"/>
      <c r="E56" s="41"/>
      <c r="F56" s="76"/>
      <c r="G56" s="76"/>
      <c r="H56" s="76"/>
      <c r="I56" s="76"/>
      <c r="J56" s="43"/>
      <c r="K56" s="76"/>
      <c r="L56" s="76"/>
      <c r="M56" s="76"/>
      <c r="N56" s="76"/>
      <c r="O56" s="76"/>
      <c r="P56" s="222"/>
      <c r="Q56" s="76"/>
      <c r="R56" s="44"/>
      <c r="S56" s="44"/>
      <c r="T56" s="44"/>
      <c r="U56" s="44"/>
      <c r="V56" s="44"/>
      <c r="W56" s="44"/>
      <c r="X56" s="44"/>
      <c r="Y56" s="44"/>
      <c r="Z56" s="376"/>
      <c r="AA56" s="377"/>
      <c r="AB56" s="44"/>
      <c r="AC56" s="235"/>
      <c r="AD56" s="315"/>
      <c r="AE56" s="44"/>
      <c r="AF56" s="44"/>
      <c r="AG56" s="316"/>
      <c r="AH56" s="240"/>
      <c r="AI56" s="268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  <c r="KE56" s="45"/>
      <c r="KF56" s="45"/>
      <c r="KG56" s="45"/>
      <c r="KH56" s="45"/>
      <c r="KI56" s="45"/>
      <c r="KJ56" s="45"/>
      <c r="KK56" s="45"/>
      <c r="KL56" s="45"/>
      <c r="KM56" s="45"/>
      <c r="KN56" s="45"/>
      <c r="KO56" s="45"/>
      <c r="KP56" s="45"/>
      <c r="KQ56" s="45"/>
      <c r="KR56" s="45"/>
      <c r="KS56" s="45"/>
      <c r="KT56" s="45"/>
      <c r="KU56" s="45"/>
      <c r="KV56" s="45"/>
      <c r="KW56" s="45"/>
      <c r="KX56" s="45"/>
      <c r="KY56" s="45"/>
      <c r="KZ56" s="45"/>
      <c r="LA56" s="45"/>
      <c r="LB56" s="45"/>
      <c r="LC56" s="45"/>
      <c r="LD56" s="45"/>
      <c r="LE56" s="45"/>
      <c r="LF56" s="45"/>
      <c r="LG56" s="45"/>
      <c r="LH56" s="45"/>
      <c r="LI56" s="45"/>
      <c r="LJ56" s="45"/>
      <c r="LK56" s="45"/>
      <c r="LL56" s="45"/>
      <c r="LM56" s="45"/>
      <c r="LN56" s="45"/>
      <c r="LO56" s="45"/>
      <c r="LP56" s="45"/>
      <c r="LQ56" s="45"/>
      <c r="LR56" s="45"/>
      <c r="LS56" s="45"/>
      <c r="LT56" s="45"/>
      <c r="LU56" s="45"/>
      <c r="LV56" s="45"/>
      <c r="LW56" s="45"/>
      <c r="LX56" s="45"/>
      <c r="LY56" s="45"/>
      <c r="LZ56" s="45"/>
      <c r="MA56" s="45"/>
      <c r="MB56" s="45"/>
      <c r="MC56" s="45"/>
      <c r="MD56" s="45"/>
      <c r="ME56" s="45"/>
      <c r="MF56" s="45"/>
      <c r="MG56" s="45"/>
      <c r="MH56" s="45"/>
      <c r="MI56" s="45"/>
      <c r="MJ56" s="45"/>
      <c r="MK56" s="45"/>
      <c r="ML56" s="45"/>
      <c r="MM56" s="45"/>
      <c r="MN56" s="45"/>
      <c r="MO56" s="45"/>
      <c r="MP56" s="45"/>
      <c r="MQ56" s="45"/>
      <c r="MR56" s="45"/>
      <c r="MS56" s="45"/>
      <c r="MT56" s="45"/>
    </row>
    <row r="57" spans="1:358" ht="51" hidden="1" customHeight="1" outlineLevel="1">
      <c r="A57" s="47" t="s">
        <v>23</v>
      </c>
      <c r="B57" s="78">
        <f>C57-$B$55</f>
        <v>-0.8899999999999999</v>
      </c>
      <c r="C57" s="55">
        <v>-2</v>
      </c>
      <c r="D57" s="49"/>
      <c r="E57" s="49"/>
      <c r="F57" s="52"/>
      <c r="G57" s="57"/>
      <c r="H57" s="56"/>
      <c r="I57" s="56"/>
      <c r="J57" s="55"/>
      <c r="K57" s="189">
        <v>-7.5</v>
      </c>
      <c r="L57" s="191">
        <v>-7.5</v>
      </c>
      <c r="M57" s="154">
        <v>-8</v>
      </c>
      <c r="N57" s="176">
        <v>-7</v>
      </c>
      <c r="O57" s="176">
        <v>-7</v>
      </c>
      <c r="P57" s="389">
        <v>-3.13</v>
      </c>
      <c r="Q57" s="389">
        <v>-5.08</v>
      </c>
      <c r="R57" s="389">
        <v>-7.3010164638511021</v>
      </c>
      <c r="S57" s="389">
        <v>-8.77</v>
      </c>
      <c r="T57" s="388">
        <v>-9.0720209973753256</v>
      </c>
      <c r="U57" s="388">
        <v>-8.3847566213314266</v>
      </c>
      <c r="V57" s="388">
        <v>-4.3456023622047368</v>
      </c>
      <c r="W57" s="388">
        <v>-5.5233894058697146</v>
      </c>
      <c r="X57" s="189">
        <v>-4</v>
      </c>
      <c r="Y57" s="189">
        <v>-5.5</v>
      </c>
      <c r="Z57" s="185"/>
      <c r="AA57" s="186"/>
      <c r="AB57" s="189">
        <v>-6</v>
      </c>
      <c r="AC57" s="297">
        <v>-6.5</v>
      </c>
      <c r="AD57" s="308">
        <f>AVERAGE(P57:R57)</f>
        <v>-5.1703388212837007</v>
      </c>
      <c r="AE57" s="246">
        <f>AVERAGE(S57:T57:U57)</f>
        <v>-8.7422592062355839</v>
      </c>
      <c r="AF57" s="246">
        <f>AVERAGE(V57:X57)</f>
        <v>-4.6229972560248171</v>
      </c>
      <c r="AG57" s="309">
        <f>AVERAGE(Y57:AC57)</f>
        <v>-6</v>
      </c>
      <c r="AH57" s="241">
        <f>AVERAGE(P57:AC57)</f>
        <v>-6.1338988208860252</v>
      </c>
      <c r="AI57" s="267"/>
    </row>
    <row r="58" spans="1:358" ht="51" hidden="1" customHeight="1" outlineLevel="1">
      <c r="A58" s="47" t="s">
        <v>24</v>
      </c>
      <c r="B58" s="78">
        <f t="shared" ref="B58" si="33">C58-$B$43</f>
        <v>-1.2</v>
      </c>
      <c r="C58" s="111">
        <v>-1.2</v>
      </c>
      <c r="D58" s="49"/>
      <c r="E58" s="49"/>
      <c r="F58" s="56"/>
      <c r="G58" s="57"/>
      <c r="H58" s="56"/>
      <c r="I58" s="56"/>
      <c r="J58" s="111"/>
      <c r="K58" s="189">
        <v>-8.1</v>
      </c>
      <c r="L58" s="191">
        <v>-8.1</v>
      </c>
      <c r="M58" s="154">
        <v>-8.3000000000000007</v>
      </c>
      <c r="N58" s="176">
        <v>-7</v>
      </c>
      <c r="O58" s="191"/>
      <c r="P58" s="389">
        <v>-3.13</v>
      </c>
      <c r="Q58" s="389">
        <v>-5.08</v>
      </c>
      <c r="R58" s="388">
        <v>-7.3010164638511021</v>
      </c>
      <c r="S58" s="388">
        <v>-8.77</v>
      </c>
      <c r="T58" s="388">
        <v>-9.0720209973753256</v>
      </c>
      <c r="U58" s="388">
        <v>-8.3847566213314266</v>
      </c>
      <c r="V58" s="388">
        <v>-4.3456023622047368</v>
      </c>
      <c r="W58" s="388">
        <v>-5.5233894058697146</v>
      </c>
      <c r="X58" s="189">
        <v>-3.9</v>
      </c>
      <c r="Y58" s="189">
        <v>-5.5</v>
      </c>
      <c r="Z58" s="185"/>
      <c r="AA58" s="186"/>
      <c r="AB58" s="189">
        <v>-6.5</v>
      </c>
      <c r="AC58" s="297">
        <v>-6.5</v>
      </c>
      <c r="AD58" s="308">
        <f>AVERAGE(P58:R58)</f>
        <v>-5.1703388212837007</v>
      </c>
      <c r="AE58" s="246">
        <f>AVERAGE(S58:T58:U58)</f>
        <v>-8.7422592062355839</v>
      </c>
      <c r="AF58" s="246">
        <f>AVERAGE(V58:X58)</f>
        <v>-4.5896639226914839</v>
      </c>
      <c r="AG58" s="309">
        <f t="shared" ref="AG58:AG60" si="34">AVERAGE(Y58:AC58)</f>
        <v>-6.166666666666667</v>
      </c>
      <c r="AH58" s="241">
        <f>AVERAGE(P58:AC58)</f>
        <v>-6.1672321542193584</v>
      </c>
      <c r="AI58" s="267"/>
    </row>
    <row r="59" spans="1:358" ht="51" hidden="1" customHeight="1" outlineLevel="1">
      <c r="A59" s="47" t="s">
        <v>25</v>
      </c>
      <c r="B59" s="78">
        <f t="shared" ref="B59" si="35">C59-$B$55</f>
        <v>-0.3899999999999999</v>
      </c>
      <c r="C59" s="55">
        <v>-1.5</v>
      </c>
      <c r="D59" s="49"/>
      <c r="E59" s="49"/>
      <c r="F59" s="52"/>
      <c r="G59" s="57"/>
      <c r="H59" s="56"/>
      <c r="I59" s="56"/>
      <c r="J59" s="55"/>
      <c r="K59" s="189">
        <v>-8</v>
      </c>
      <c r="L59" s="191">
        <v>-8</v>
      </c>
      <c r="M59" s="189">
        <v>-8</v>
      </c>
      <c r="N59" s="176">
        <v>-7</v>
      </c>
      <c r="O59" s="176">
        <v>-6.5</v>
      </c>
      <c r="P59" s="389">
        <v>-3.13</v>
      </c>
      <c r="Q59" s="389">
        <v>-5.08</v>
      </c>
      <c r="R59" s="389">
        <v>-7.3010164638511021</v>
      </c>
      <c r="S59" s="389">
        <v>-8.77</v>
      </c>
      <c r="T59" s="388">
        <v>-9.0720209973753256</v>
      </c>
      <c r="U59" s="388">
        <v>-8.3847566213314266</v>
      </c>
      <c r="V59" s="388">
        <v>-4.3456023622047368</v>
      </c>
      <c r="W59" s="388">
        <v>-5.5233894058697146</v>
      </c>
      <c r="X59" s="189">
        <v>-4</v>
      </c>
      <c r="Y59" s="189">
        <v>-5.1426867247607309</v>
      </c>
      <c r="Z59" s="185" t="s">
        <v>214</v>
      </c>
      <c r="AA59" s="186" t="s">
        <v>214</v>
      </c>
      <c r="AB59" s="189">
        <v>-5.2990418998202538</v>
      </c>
      <c r="AC59" s="297">
        <v>-5.871837524804155</v>
      </c>
      <c r="AD59" s="308">
        <f>AVERAGE(P59:R59)</f>
        <v>-5.1703388212837007</v>
      </c>
      <c r="AE59" s="246">
        <f>AVERAGE(S59:T59:U59)</f>
        <v>-8.7422592062355839</v>
      </c>
      <c r="AF59" s="246">
        <f>AVERAGE(V59:X59)</f>
        <v>-4.6229972560248171</v>
      </c>
      <c r="AG59" s="309">
        <f t="shared" si="34"/>
        <v>-5.4378553831283796</v>
      </c>
      <c r="AH59" s="241">
        <f>AVERAGE(P59:AC59)</f>
        <v>-5.9933626666681201</v>
      </c>
      <c r="AI59" s="267"/>
    </row>
    <row r="60" spans="1:358" ht="51" hidden="1" customHeight="1" outlineLevel="1">
      <c r="A60" s="47" t="s">
        <v>26</v>
      </c>
      <c r="B60" s="78">
        <f>C60-$B$25</f>
        <v>-1.98</v>
      </c>
      <c r="C60" s="55">
        <v>-1.98</v>
      </c>
      <c r="D60" s="49"/>
      <c r="E60" s="49"/>
      <c r="F60" s="52"/>
      <c r="G60" s="51"/>
      <c r="H60" s="52"/>
      <c r="I60" s="52"/>
      <c r="J60" s="55"/>
      <c r="K60" s="181">
        <v>-9.02</v>
      </c>
      <c r="L60" s="101">
        <v>-9.02</v>
      </c>
      <c r="M60" s="101">
        <v>-9.02</v>
      </c>
      <c r="N60" s="182">
        <v>-6.67</v>
      </c>
      <c r="O60" s="182">
        <v>-6.7</v>
      </c>
      <c r="P60" s="389">
        <v>-3.13</v>
      </c>
      <c r="Q60" s="389">
        <v>-5.08</v>
      </c>
      <c r="R60" s="388">
        <v>-7.3010164638511021</v>
      </c>
      <c r="S60" s="388">
        <v>-8.77</v>
      </c>
      <c r="T60" s="388">
        <v>-9.0720209973753256</v>
      </c>
      <c r="U60" s="388">
        <v>-8.3847566213314266</v>
      </c>
      <c r="V60" s="388">
        <v>-4.3456023622047368</v>
      </c>
      <c r="W60" s="388">
        <v>-5.5233894058697146</v>
      </c>
      <c r="X60" s="189">
        <v>-4.3</v>
      </c>
      <c r="Y60" s="189">
        <v>-6.5</v>
      </c>
      <c r="Z60" s="185" t="s">
        <v>205</v>
      </c>
      <c r="AA60" s="186"/>
      <c r="AB60" s="189">
        <v>-7.8</v>
      </c>
      <c r="AC60" s="297">
        <v>-7</v>
      </c>
      <c r="AD60" s="308">
        <f>AVERAGE(P60:R60)</f>
        <v>-5.1703388212837007</v>
      </c>
      <c r="AE60" s="246">
        <f>AVERAGE(S60:T60:U60)</f>
        <v>-8.7422592062355839</v>
      </c>
      <c r="AF60" s="246">
        <f>AVERAGE(V60:X60)</f>
        <v>-4.7229972560248177</v>
      </c>
      <c r="AG60" s="309">
        <f t="shared" si="34"/>
        <v>-7.1000000000000005</v>
      </c>
      <c r="AH60" s="241">
        <f>AVERAGE(P60:AC60)</f>
        <v>-6.433898820886025</v>
      </c>
      <c r="AI60" s="267"/>
    </row>
    <row r="61" spans="1:358" s="62" customFormat="1" ht="19" hidden="1" outlineLevel="1" thickBot="1">
      <c r="A61" s="245" t="s">
        <v>75</v>
      </c>
      <c r="B61" s="58" t="s">
        <v>27</v>
      </c>
      <c r="C61" s="58" t="s">
        <v>27</v>
      </c>
      <c r="D61" s="87"/>
      <c r="E61" s="58"/>
      <c r="F61" s="59"/>
      <c r="G61" s="59"/>
      <c r="H61" s="59"/>
      <c r="I61" s="59"/>
      <c r="J61" s="59"/>
      <c r="K61" s="59">
        <f t="shared" ref="K61:AG61" si="36">AVERAGE(K57:K60)</f>
        <v>-8.1550000000000011</v>
      </c>
      <c r="L61" s="59">
        <f t="shared" si="36"/>
        <v>-8.1550000000000011</v>
      </c>
      <c r="M61" s="59">
        <f t="shared" si="36"/>
        <v>-8.33</v>
      </c>
      <c r="N61" s="59">
        <f t="shared" si="36"/>
        <v>-6.9175000000000004</v>
      </c>
      <c r="O61" s="59">
        <f t="shared" si="36"/>
        <v>-6.7333333333333334</v>
      </c>
      <c r="P61" s="414">
        <f>AVERAGE(P57:P60)</f>
        <v>-3.13</v>
      </c>
      <c r="Q61" s="414">
        <f t="shared" si="36"/>
        <v>-5.08</v>
      </c>
      <c r="R61" s="414">
        <f t="shared" si="36"/>
        <v>-7.3010164638511021</v>
      </c>
      <c r="S61" s="414">
        <f t="shared" si="36"/>
        <v>-8.77</v>
      </c>
      <c r="T61" s="414">
        <f>AVERAGE(T57:T60)</f>
        <v>-9.0720209973753256</v>
      </c>
      <c r="U61" s="414">
        <f t="shared" si="36"/>
        <v>-8.3847566213314266</v>
      </c>
      <c r="V61" s="414">
        <f t="shared" si="36"/>
        <v>-4.3456023622047368</v>
      </c>
      <c r="W61" s="414">
        <f t="shared" si="36"/>
        <v>-5.5233894058697146</v>
      </c>
      <c r="X61" s="59">
        <f t="shared" si="36"/>
        <v>-4.05</v>
      </c>
      <c r="Y61" s="59">
        <f t="shared" si="36"/>
        <v>-5.6606716811901823</v>
      </c>
      <c r="Z61" s="369"/>
      <c r="AA61" s="369"/>
      <c r="AB61" s="59">
        <f t="shared" si="36"/>
        <v>-6.3997604749550634</v>
      </c>
      <c r="AC61" s="234">
        <f t="shared" si="36"/>
        <v>-6.4679593812010392</v>
      </c>
      <c r="AD61" s="310">
        <f t="shared" si="36"/>
        <v>-5.1703388212837007</v>
      </c>
      <c r="AE61" s="59">
        <f t="shared" si="36"/>
        <v>-8.7422592062355839</v>
      </c>
      <c r="AF61" s="59">
        <f t="shared" si="36"/>
        <v>-4.6396639226914838</v>
      </c>
      <c r="AG61" s="311">
        <f t="shared" si="36"/>
        <v>-6.1761305124487622</v>
      </c>
      <c r="AH61" s="242">
        <f>AVERAGE(AH57:AH60)</f>
        <v>-6.182098115664882</v>
      </c>
      <c r="AI61" s="269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1"/>
      <c r="IX61" s="61"/>
      <c r="IY61" s="61"/>
      <c r="IZ61" s="61"/>
      <c r="JA61" s="61"/>
      <c r="JB61" s="61"/>
      <c r="JC61" s="61"/>
      <c r="JD61" s="61"/>
      <c r="JE61" s="61"/>
      <c r="JF61" s="61"/>
      <c r="JG61" s="61"/>
      <c r="JH61" s="61"/>
      <c r="JI61" s="61"/>
      <c r="JJ61" s="61"/>
      <c r="JK61" s="61"/>
      <c r="JL61" s="61"/>
      <c r="JM61" s="61"/>
      <c r="JN61" s="61"/>
      <c r="JO61" s="61"/>
      <c r="JP61" s="61"/>
      <c r="JQ61" s="61"/>
      <c r="JR61" s="61"/>
      <c r="JS61" s="61"/>
      <c r="JT61" s="61"/>
      <c r="JU61" s="61"/>
      <c r="JV61" s="61"/>
      <c r="JW61" s="61"/>
      <c r="JX61" s="61"/>
      <c r="JY61" s="61"/>
      <c r="JZ61" s="61"/>
      <c r="KA61" s="61"/>
      <c r="KB61" s="61"/>
      <c r="KC61" s="61"/>
      <c r="KD61" s="61"/>
      <c r="KE61" s="61"/>
      <c r="KF61" s="61"/>
      <c r="KG61" s="61"/>
      <c r="KH61" s="61"/>
      <c r="KI61" s="61"/>
      <c r="KJ61" s="61"/>
      <c r="KK61" s="61"/>
      <c r="KL61" s="61"/>
      <c r="KM61" s="61"/>
      <c r="KN61" s="61"/>
      <c r="KO61" s="61"/>
      <c r="KP61" s="61"/>
      <c r="KQ61" s="61"/>
      <c r="KR61" s="61"/>
      <c r="KS61" s="61"/>
      <c r="KT61" s="61"/>
      <c r="KU61" s="61"/>
      <c r="KV61" s="61"/>
      <c r="KW61" s="61"/>
      <c r="KX61" s="61"/>
      <c r="KY61" s="61"/>
      <c r="KZ61" s="61"/>
      <c r="LA61" s="61"/>
      <c r="LB61" s="61"/>
      <c r="LC61" s="61"/>
      <c r="LD61" s="61"/>
      <c r="LE61" s="61"/>
      <c r="LF61" s="61"/>
      <c r="LG61" s="61"/>
      <c r="LH61" s="61"/>
      <c r="LI61" s="61"/>
      <c r="LJ61" s="61"/>
      <c r="LK61" s="61"/>
      <c r="LL61" s="61"/>
      <c r="LM61" s="61"/>
      <c r="LN61" s="61"/>
      <c r="LO61" s="61"/>
      <c r="LP61" s="61"/>
      <c r="LQ61" s="61"/>
      <c r="LR61" s="61"/>
      <c r="LS61" s="61"/>
      <c r="LT61" s="61"/>
      <c r="LU61" s="61"/>
      <c r="LV61" s="61"/>
      <c r="LW61" s="61"/>
      <c r="LX61" s="61"/>
      <c r="LY61" s="61"/>
      <c r="LZ61" s="61"/>
      <c r="MA61" s="61"/>
      <c r="MB61" s="61"/>
      <c r="MC61" s="61"/>
      <c r="MD61" s="61"/>
      <c r="ME61" s="61"/>
      <c r="MF61" s="61"/>
      <c r="MG61" s="61"/>
      <c r="MH61" s="61"/>
      <c r="MI61" s="61"/>
      <c r="MJ61" s="61"/>
      <c r="MK61" s="61"/>
      <c r="ML61" s="61"/>
      <c r="MM61" s="61"/>
      <c r="MN61" s="61"/>
      <c r="MO61" s="61"/>
      <c r="MP61" s="61"/>
      <c r="MQ61" s="61"/>
      <c r="MR61" s="61"/>
      <c r="MS61" s="61"/>
      <c r="MT61" s="61"/>
    </row>
    <row r="62" spans="1:358" ht="19" collapsed="1" thickBot="1">
      <c r="A62" s="227" t="s">
        <v>74</v>
      </c>
      <c r="B62" s="160"/>
      <c r="C62" s="160"/>
      <c r="D62" s="161"/>
      <c r="E62" s="161"/>
      <c r="F62" s="162"/>
      <c r="G62" s="162"/>
      <c r="H62" s="162"/>
      <c r="I62" s="162"/>
      <c r="J62" s="163"/>
      <c r="K62" s="162">
        <f>K14+K61</f>
        <v>40.144999999999996</v>
      </c>
      <c r="L62" s="162">
        <f>L14+L61</f>
        <v>38.695</v>
      </c>
      <c r="M62" s="162"/>
      <c r="N62" s="164">
        <f>N61</f>
        <v>-6.9175000000000004</v>
      </c>
      <c r="O62" s="164">
        <f>O61</f>
        <v>-6.7333333333333334</v>
      </c>
      <c r="P62" s="414">
        <f>P61</f>
        <v>-3.13</v>
      </c>
      <c r="Q62" s="414">
        <f t="shared" ref="Q62" si="37">Q61</f>
        <v>-5.08</v>
      </c>
      <c r="R62" s="414">
        <f>R61</f>
        <v>-7.3010164638511021</v>
      </c>
      <c r="S62" s="414">
        <f>S61</f>
        <v>-8.77</v>
      </c>
      <c r="T62" s="414">
        <f>T61</f>
        <v>-9.0720209973753256</v>
      </c>
      <c r="U62" s="414">
        <v>-8.8000000000000007</v>
      </c>
      <c r="V62" s="414">
        <f>V61</f>
        <v>-4.3456023622047368</v>
      </c>
      <c r="W62" s="414">
        <f>W61</f>
        <v>-5.5233894058697146</v>
      </c>
      <c r="X62" s="164">
        <v>-4</v>
      </c>
      <c r="Y62" s="164">
        <v>-5.5</v>
      </c>
      <c r="Z62" s="370"/>
      <c r="AA62" s="370"/>
      <c r="AB62" s="164">
        <v>-6</v>
      </c>
      <c r="AC62" s="229">
        <f>-6.5</f>
        <v>-6.5</v>
      </c>
      <c r="AD62" s="312">
        <f>AVERAGE(P62:R62)</f>
        <v>-5.1703388212837007</v>
      </c>
      <c r="AE62" s="164">
        <f>AVERAGE(S62:T62:U62)</f>
        <v>-8.8806736657917753</v>
      </c>
      <c r="AF62" s="164">
        <f>AVERAGE(V62:X62)</f>
        <v>-4.6229972560248171</v>
      </c>
      <c r="AG62" s="313">
        <f>AVERAGE(Y62:AC62)</f>
        <v>-6</v>
      </c>
      <c r="AH62" s="242">
        <f>AVERAGE(P62:AC62)</f>
        <v>-6.168502435775074</v>
      </c>
      <c r="AI62" s="275">
        <v>-6.5</v>
      </c>
    </row>
    <row r="63" spans="1:358" ht="21.5" thickBot="1">
      <c r="A63" s="196" t="s">
        <v>45</v>
      </c>
      <c r="B63" s="112"/>
      <c r="C63" s="112"/>
      <c r="D63" s="113"/>
      <c r="E63" s="113"/>
      <c r="F63" s="20"/>
      <c r="G63" s="20"/>
      <c r="H63" s="20"/>
      <c r="I63" s="20"/>
      <c r="J63" s="114"/>
      <c r="K63" s="20"/>
      <c r="L63" s="115"/>
      <c r="M63" s="115"/>
      <c r="N63" s="20"/>
      <c r="O63" s="20"/>
      <c r="P63" s="20"/>
      <c r="Q63" s="20"/>
      <c r="R63" s="23"/>
      <c r="S63" s="24"/>
      <c r="T63" s="24"/>
      <c r="U63" s="24"/>
      <c r="V63" s="24"/>
      <c r="W63" s="23"/>
      <c r="X63" s="23"/>
      <c r="Y63" s="23"/>
      <c r="Z63" s="371"/>
      <c r="AA63" s="371"/>
      <c r="AB63" s="23"/>
      <c r="AC63" s="24"/>
      <c r="AD63" s="314"/>
      <c r="AE63" s="23"/>
      <c r="AF63" s="23"/>
      <c r="AG63" s="303"/>
      <c r="AH63" s="238"/>
      <c r="AI63" s="267"/>
    </row>
    <row r="64" spans="1:358" ht="21.5" hidden="1" outlineLevel="1" thickBot="1">
      <c r="A64" s="117" t="s">
        <v>46</v>
      </c>
      <c r="B64" s="118">
        <v>0.28000000000000003</v>
      </c>
      <c r="C64" s="118" t="str">
        <f>C55</f>
        <v>Previous WK</v>
      </c>
      <c r="D64" s="119"/>
      <c r="E64" s="120">
        <v>1.02</v>
      </c>
      <c r="F64" s="35"/>
      <c r="G64" s="35"/>
      <c r="H64" s="35"/>
      <c r="I64" s="35"/>
      <c r="J64" s="69"/>
      <c r="K64" s="35"/>
      <c r="L64" s="121"/>
      <c r="M64" s="121"/>
      <c r="N64" s="35"/>
      <c r="O64" s="35"/>
      <c r="P64" s="35"/>
      <c r="Q64" s="35"/>
      <c r="R64" s="38"/>
      <c r="S64" s="39"/>
      <c r="T64" s="39"/>
      <c r="U64" s="395"/>
      <c r="V64" s="39"/>
      <c r="W64" s="38"/>
      <c r="X64" s="38"/>
      <c r="Y64" s="38"/>
      <c r="Z64" s="384"/>
      <c r="AA64" s="384"/>
      <c r="AB64" s="38"/>
      <c r="AC64" s="39"/>
      <c r="AD64" s="304"/>
      <c r="AE64" s="248"/>
      <c r="AF64" s="248"/>
      <c r="AG64" s="305"/>
      <c r="AH64" s="239"/>
      <c r="AI64" s="267"/>
    </row>
    <row r="65" spans="1:358" s="77" customFormat="1" ht="21" hidden="1" customHeight="1" outlineLevel="1">
      <c r="A65" s="675"/>
      <c r="B65" s="676"/>
      <c r="C65" s="676"/>
      <c r="D65" s="41"/>
      <c r="E65" s="41"/>
      <c r="F65" s="76"/>
      <c r="G65" s="76"/>
      <c r="H65" s="76"/>
      <c r="I65" s="76"/>
      <c r="J65" s="43"/>
      <c r="K65" s="76"/>
      <c r="L65" s="76"/>
      <c r="M65" s="76"/>
      <c r="N65" s="76"/>
      <c r="O65" s="76"/>
      <c r="P65" s="222"/>
      <c r="Q65" s="76"/>
      <c r="R65" s="44"/>
      <c r="S65" s="44"/>
      <c r="T65" s="44"/>
      <c r="U65" s="44"/>
      <c r="V65" s="44"/>
      <c r="W65" s="44"/>
      <c r="X65" s="44"/>
      <c r="Y65" s="44"/>
      <c r="Z65" s="373"/>
      <c r="AA65" s="374"/>
      <c r="AB65" s="44"/>
      <c r="AC65" s="235"/>
      <c r="AD65" s="315"/>
      <c r="AE65" s="44"/>
      <c r="AF65" s="44"/>
      <c r="AG65" s="316"/>
      <c r="AH65" s="240"/>
      <c r="AI65" s="268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  <c r="KE65" s="45"/>
      <c r="KF65" s="45"/>
      <c r="KG65" s="45"/>
      <c r="KH65" s="45"/>
      <c r="KI65" s="45"/>
      <c r="KJ65" s="45"/>
      <c r="KK65" s="45"/>
      <c r="KL65" s="45"/>
      <c r="KM65" s="45"/>
      <c r="KN65" s="45"/>
      <c r="KO65" s="45"/>
      <c r="KP65" s="45"/>
      <c r="KQ65" s="45"/>
      <c r="KR65" s="45"/>
      <c r="KS65" s="45"/>
      <c r="KT65" s="45"/>
      <c r="KU65" s="45"/>
      <c r="KV65" s="45"/>
      <c r="KW65" s="45"/>
      <c r="KX65" s="45"/>
      <c r="KY65" s="45"/>
      <c r="KZ65" s="45"/>
      <c r="LA65" s="45"/>
      <c r="LB65" s="45"/>
      <c r="LC65" s="45"/>
      <c r="LD65" s="45"/>
      <c r="LE65" s="45"/>
      <c r="LF65" s="45"/>
      <c r="LG65" s="45"/>
      <c r="LH65" s="45"/>
      <c r="LI65" s="45"/>
      <c r="LJ65" s="45"/>
      <c r="LK65" s="45"/>
      <c r="LL65" s="45"/>
      <c r="LM65" s="45"/>
      <c r="LN65" s="45"/>
      <c r="LO65" s="45"/>
      <c r="LP65" s="45"/>
      <c r="LQ65" s="45"/>
      <c r="LR65" s="45"/>
      <c r="LS65" s="45"/>
      <c r="LT65" s="45"/>
      <c r="LU65" s="45"/>
      <c r="LV65" s="45"/>
      <c r="LW65" s="45"/>
      <c r="LX65" s="45"/>
      <c r="LY65" s="45"/>
      <c r="LZ65" s="45"/>
      <c r="MA65" s="45"/>
      <c r="MB65" s="45"/>
      <c r="MC65" s="45"/>
      <c r="MD65" s="45"/>
      <c r="ME65" s="45"/>
      <c r="MF65" s="45"/>
      <c r="MG65" s="45"/>
      <c r="MH65" s="45"/>
      <c r="MI65" s="45"/>
      <c r="MJ65" s="45"/>
      <c r="MK65" s="45"/>
      <c r="ML65" s="45"/>
      <c r="MM65" s="45"/>
      <c r="MN65" s="45"/>
      <c r="MO65" s="45"/>
      <c r="MP65" s="45"/>
      <c r="MQ65" s="45"/>
      <c r="MR65" s="45"/>
      <c r="MS65" s="45"/>
      <c r="MT65" s="45"/>
    </row>
    <row r="66" spans="1:358" ht="48.75" hidden="1" customHeight="1" outlineLevel="1">
      <c r="A66" s="47" t="s">
        <v>23</v>
      </c>
      <c r="B66" s="78">
        <f>C66-$B$64</f>
        <v>0.21999999999999997</v>
      </c>
      <c r="C66" s="123">
        <v>0.5</v>
      </c>
      <c r="D66" s="49"/>
      <c r="E66" s="49"/>
      <c r="F66" s="52"/>
      <c r="G66" s="57"/>
      <c r="H66" s="56"/>
      <c r="I66" s="56"/>
      <c r="J66" s="123"/>
      <c r="K66" s="189">
        <v>1.8</v>
      </c>
      <c r="L66" s="191">
        <v>1.8</v>
      </c>
      <c r="M66" s="191">
        <v>1.9</v>
      </c>
      <c r="N66" s="191">
        <v>2</v>
      </c>
      <c r="O66" s="191">
        <v>2</v>
      </c>
      <c r="P66" s="388">
        <v>3.5</v>
      </c>
      <c r="Q66" s="388">
        <v>3.18</v>
      </c>
      <c r="R66" s="388">
        <v>3.3497727272727289</v>
      </c>
      <c r="S66" s="388">
        <v>2.4500000000000002</v>
      </c>
      <c r="T66" s="388">
        <v>2.6066785714285672</v>
      </c>
      <c r="U66" s="388">
        <v>2.0834090909090861</v>
      </c>
      <c r="V66" s="388">
        <v>2.6369285714285553</v>
      </c>
      <c r="W66" s="388">
        <v>2.0693181818181827</v>
      </c>
      <c r="X66" s="189">
        <v>3</v>
      </c>
      <c r="Y66" s="189">
        <v>2.5</v>
      </c>
      <c r="Z66" s="255"/>
      <c r="AA66" s="255"/>
      <c r="AB66" s="189">
        <v>2.9</v>
      </c>
      <c r="AC66" s="297">
        <v>3.1</v>
      </c>
      <c r="AD66" s="308">
        <f>AVERAGE(P66:R66)</f>
        <v>3.3432575757575762</v>
      </c>
      <c r="AE66" s="246">
        <f>AVERAGE(S66:T66:U66)</f>
        <v>2.380029220779218</v>
      </c>
      <c r="AF66" s="246">
        <f>AVERAGE(V66:X66)</f>
        <v>2.5687489177489127</v>
      </c>
      <c r="AG66" s="309">
        <f>AVERAGE(Y66:AC66)</f>
        <v>2.8333333333333335</v>
      </c>
      <c r="AH66" s="241">
        <f>AVERAGE(P66:AC66)</f>
        <v>2.7813422619047596</v>
      </c>
      <c r="AI66" s="267"/>
    </row>
    <row r="67" spans="1:358" ht="48.75" hidden="1" customHeight="1" outlineLevel="1">
      <c r="A67" s="47" t="s">
        <v>24</v>
      </c>
      <c r="B67" s="78">
        <f t="shared" ref="B67" si="38">C67-$B$50</f>
        <v>0.68999999999999984</v>
      </c>
      <c r="C67" s="123">
        <v>0.6</v>
      </c>
      <c r="D67" s="49"/>
      <c r="E67" s="49"/>
      <c r="F67" s="56"/>
      <c r="G67" s="57"/>
      <c r="H67" s="56"/>
      <c r="I67" s="56"/>
      <c r="J67" s="55"/>
      <c r="K67" s="189">
        <v>1.3</v>
      </c>
      <c r="L67" s="191">
        <v>1.3</v>
      </c>
      <c r="M67" s="191">
        <v>1.7</v>
      </c>
      <c r="N67" s="191">
        <v>2</v>
      </c>
      <c r="O67" s="191"/>
      <c r="P67" s="388">
        <v>3.5</v>
      </c>
      <c r="Q67" s="388">
        <v>3.18</v>
      </c>
      <c r="R67" s="388">
        <v>3.3497727272727289</v>
      </c>
      <c r="S67" s="388">
        <v>2.4500000000000002</v>
      </c>
      <c r="T67" s="388">
        <v>2.6066785714285672</v>
      </c>
      <c r="U67" s="388">
        <v>2.0834090909090861</v>
      </c>
      <c r="V67" s="388">
        <v>2.6369285714285553</v>
      </c>
      <c r="W67" s="388">
        <v>2.0693181818181827</v>
      </c>
      <c r="X67" s="189">
        <v>2.7</v>
      </c>
      <c r="Y67" s="189">
        <v>2.6</v>
      </c>
      <c r="Z67" s="255"/>
      <c r="AA67" s="255"/>
      <c r="AB67" s="189">
        <v>2.6</v>
      </c>
      <c r="AC67" s="297">
        <v>2.8</v>
      </c>
      <c r="AD67" s="308">
        <f>AVERAGE(P67:R67)</f>
        <v>3.3432575757575762</v>
      </c>
      <c r="AE67" s="246">
        <f>AVERAGE(S67:T67:U67)</f>
        <v>2.380029220779218</v>
      </c>
      <c r="AF67" s="246">
        <f>AVERAGE(V67:X67)</f>
        <v>2.4687489177489126</v>
      </c>
      <c r="AG67" s="309">
        <f t="shared" ref="AG67:AG69" si="39">AVERAGE(Y67:AC67)</f>
        <v>2.6666666666666665</v>
      </c>
      <c r="AH67" s="241">
        <f>AVERAGE(P67:AC67)</f>
        <v>2.7146755952380932</v>
      </c>
      <c r="AI67" s="267"/>
    </row>
    <row r="68" spans="1:358" ht="48.75" hidden="1" customHeight="1" outlineLevel="1">
      <c r="A68" s="47" t="s">
        <v>25</v>
      </c>
      <c r="B68" s="78">
        <f t="shared" ref="B68" si="40">C68-$B$64</f>
        <v>0.82000000000000006</v>
      </c>
      <c r="C68" s="123">
        <v>1.1000000000000001</v>
      </c>
      <c r="D68" s="49"/>
      <c r="E68" s="49"/>
      <c r="F68" s="52"/>
      <c r="G68" s="57"/>
      <c r="H68" s="56"/>
      <c r="I68" s="56"/>
      <c r="J68" s="123"/>
      <c r="K68" s="189">
        <v>0.5</v>
      </c>
      <c r="L68" s="191">
        <v>1.7</v>
      </c>
      <c r="M68" s="189">
        <v>1.7</v>
      </c>
      <c r="N68" s="191">
        <v>1.7</v>
      </c>
      <c r="O68" s="191">
        <v>1.7</v>
      </c>
      <c r="P68" s="388">
        <v>3.5</v>
      </c>
      <c r="Q68" s="388">
        <v>3.18</v>
      </c>
      <c r="R68" s="388">
        <v>3.3497727272727289</v>
      </c>
      <c r="S68" s="388">
        <v>2.4500000000000002</v>
      </c>
      <c r="T68" s="388">
        <v>2.6066785714285672</v>
      </c>
      <c r="U68" s="388">
        <v>2.0834090909090861</v>
      </c>
      <c r="V68" s="388">
        <v>2.6369285714285553</v>
      </c>
      <c r="W68" s="388">
        <v>2.0693181818181827</v>
      </c>
      <c r="X68" s="189">
        <v>2.5</v>
      </c>
      <c r="Y68" s="189">
        <v>2.6</v>
      </c>
      <c r="Z68" s="185" t="s">
        <v>223</v>
      </c>
      <c r="AA68" s="186" t="s">
        <v>223</v>
      </c>
      <c r="AB68" s="189">
        <v>2.6</v>
      </c>
      <c r="AC68" s="297">
        <v>2.6</v>
      </c>
      <c r="AD68" s="308">
        <f>AVERAGE(P68:R68)</f>
        <v>3.3432575757575762</v>
      </c>
      <c r="AE68" s="246">
        <f>AVERAGE(S68:T68:U68)</f>
        <v>2.380029220779218</v>
      </c>
      <c r="AF68" s="246">
        <f>AVERAGE(V68:X68)</f>
        <v>2.4020822510822462</v>
      </c>
      <c r="AG68" s="309">
        <f t="shared" si="39"/>
        <v>2.6</v>
      </c>
      <c r="AH68" s="241">
        <f>AVERAGE(P68:AC68)</f>
        <v>2.68134226190476</v>
      </c>
      <c r="AI68" s="267"/>
    </row>
    <row r="69" spans="1:358" ht="48.75" hidden="1" customHeight="1" outlineLevel="1">
      <c r="A69" s="47" t="s">
        <v>26</v>
      </c>
      <c r="B69" s="78" t="e">
        <f>C69-#REF!</f>
        <v>#REF!</v>
      </c>
      <c r="C69" s="123">
        <v>1.5</v>
      </c>
      <c r="D69" s="49"/>
      <c r="E69" s="49"/>
      <c r="F69" s="52"/>
      <c r="G69" s="57"/>
      <c r="H69" s="52"/>
      <c r="I69" s="52"/>
      <c r="J69" s="123"/>
      <c r="K69" s="181">
        <v>1.2</v>
      </c>
      <c r="L69" s="182">
        <v>1.2</v>
      </c>
      <c r="M69" s="182">
        <v>1.2</v>
      </c>
      <c r="N69" s="182">
        <v>2</v>
      </c>
      <c r="O69" s="182">
        <v>2.5</v>
      </c>
      <c r="P69" s="388">
        <v>3.5</v>
      </c>
      <c r="Q69" s="388">
        <v>3.18</v>
      </c>
      <c r="R69" s="388">
        <v>3.3497727272727289</v>
      </c>
      <c r="S69" s="388">
        <v>2.4500000000000002</v>
      </c>
      <c r="T69" s="388">
        <v>2.6066785714285672</v>
      </c>
      <c r="U69" s="388">
        <v>2.0834090909090861</v>
      </c>
      <c r="V69" s="388">
        <v>2.6369285714285553</v>
      </c>
      <c r="W69" s="388">
        <v>2.0693181818181827</v>
      </c>
      <c r="X69" s="189">
        <v>2.7</v>
      </c>
      <c r="Y69" s="189">
        <v>2.7</v>
      </c>
      <c r="Z69" s="256"/>
      <c r="AA69" s="256"/>
      <c r="AB69" s="189">
        <v>2.7</v>
      </c>
      <c r="AC69" s="297">
        <v>2.7</v>
      </c>
      <c r="AD69" s="308">
        <f>AVERAGE(P69:R69)</f>
        <v>3.3432575757575762</v>
      </c>
      <c r="AE69" s="246">
        <f>AVERAGE(S69:T69:U69)</f>
        <v>2.380029220779218</v>
      </c>
      <c r="AF69" s="246">
        <f>AVERAGE(V69:X69)</f>
        <v>2.4687489177489126</v>
      </c>
      <c r="AG69" s="309">
        <f t="shared" si="39"/>
        <v>2.7000000000000006</v>
      </c>
      <c r="AH69" s="241">
        <f>AVERAGE(P69:AC69)</f>
        <v>2.7230089285714265</v>
      </c>
      <c r="AI69" s="267"/>
    </row>
    <row r="70" spans="1:358" s="62" customFormat="1" ht="19.5" hidden="1" customHeight="1" outlineLevel="1">
      <c r="A70" s="245" t="s">
        <v>75</v>
      </c>
      <c r="B70" s="58" t="s">
        <v>27</v>
      </c>
      <c r="C70" s="58" t="s">
        <v>27</v>
      </c>
      <c r="D70" s="87"/>
      <c r="E70" s="58"/>
      <c r="F70" s="59"/>
      <c r="G70" s="59"/>
      <c r="H70" s="59"/>
      <c r="I70" s="59"/>
      <c r="J70" s="59" t="e">
        <f t="shared" ref="J70" si="41">AVERAGE(J66:J69)</f>
        <v>#DIV/0!</v>
      </c>
      <c r="K70" s="59">
        <f>AVERAGE(K66:K69)</f>
        <v>1.2</v>
      </c>
      <c r="L70" s="59">
        <f>AVERAGE(L66:L69)</f>
        <v>1.5</v>
      </c>
      <c r="M70" s="59">
        <f>AVERAGE(M66:M69)</f>
        <v>1.625</v>
      </c>
      <c r="N70" s="59">
        <v>1.6</v>
      </c>
      <c r="O70" s="59">
        <f>AVERAGE(O66:O69)</f>
        <v>2.0666666666666669</v>
      </c>
      <c r="P70" s="414">
        <f>AVERAGE(P66:P69)</f>
        <v>3.5</v>
      </c>
      <c r="Q70" s="414">
        <f>AVERAGE(Q66:Q69)</f>
        <v>3.18</v>
      </c>
      <c r="R70" s="414">
        <f>AVERAGE(R66:R69)</f>
        <v>3.3497727272727289</v>
      </c>
      <c r="S70" s="414">
        <f t="shared" ref="S70:AD70" si="42">AVERAGE(S66:S69)</f>
        <v>2.4500000000000002</v>
      </c>
      <c r="T70" s="414">
        <f>AVERAGE(T66:T69)</f>
        <v>2.6066785714285672</v>
      </c>
      <c r="U70" s="414">
        <f t="shared" si="42"/>
        <v>2.0834090909090861</v>
      </c>
      <c r="V70" s="414">
        <f t="shared" si="42"/>
        <v>2.6369285714285553</v>
      </c>
      <c r="W70" s="414">
        <f t="shared" si="42"/>
        <v>2.0693181818181827</v>
      </c>
      <c r="X70" s="59">
        <f t="shared" si="42"/>
        <v>2.7249999999999996</v>
      </c>
      <c r="Y70" s="59">
        <f t="shared" si="42"/>
        <v>2.5999999999999996</v>
      </c>
      <c r="Z70" s="60"/>
      <c r="AA70" s="60"/>
      <c r="AB70" s="59">
        <f t="shared" si="42"/>
        <v>2.7</v>
      </c>
      <c r="AC70" s="234">
        <f t="shared" si="42"/>
        <v>2.8</v>
      </c>
      <c r="AD70" s="310">
        <f t="shared" si="42"/>
        <v>3.3432575757575762</v>
      </c>
      <c r="AE70" s="59">
        <f>AVERAGE(AE66:AE69)</f>
        <v>2.380029220779218</v>
      </c>
      <c r="AF70" s="59">
        <f t="shared" ref="AF70:AG70" si="43">AVERAGE(AF66:AF69)</f>
        <v>2.4770822510822463</v>
      </c>
      <c r="AG70" s="311">
        <f t="shared" si="43"/>
        <v>2.7</v>
      </c>
      <c r="AH70" s="242">
        <f>AVERAGE(AH66:AH69)</f>
        <v>2.7250922619047597</v>
      </c>
      <c r="AI70" s="269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1"/>
      <c r="IX70" s="61"/>
      <c r="IY70" s="61"/>
      <c r="IZ70" s="61"/>
      <c r="JA70" s="61"/>
      <c r="JB70" s="61"/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/>
      <c r="JP70" s="61"/>
      <c r="JQ70" s="61"/>
      <c r="JR70" s="61"/>
      <c r="JS70" s="61"/>
      <c r="JT70" s="61"/>
      <c r="JU70" s="61"/>
      <c r="JV70" s="61"/>
      <c r="JW70" s="61"/>
      <c r="JX70" s="61"/>
      <c r="JY70" s="61"/>
      <c r="JZ70" s="61"/>
      <c r="KA70" s="61"/>
      <c r="KB70" s="61"/>
      <c r="KC70" s="61"/>
      <c r="KD70" s="61"/>
      <c r="KE70" s="61"/>
      <c r="KF70" s="61"/>
      <c r="KG70" s="61"/>
      <c r="KH70" s="61"/>
      <c r="KI70" s="61"/>
      <c r="KJ70" s="61"/>
      <c r="KK70" s="61"/>
      <c r="KL70" s="61"/>
      <c r="KM70" s="61"/>
      <c r="KN70" s="61"/>
      <c r="KO70" s="61"/>
      <c r="KP70" s="61"/>
      <c r="KQ70" s="61"/>
      <c r="KR70" s="61"/>
      <c r="KS70" s="61"/>
      <c r="KT70" s="61"/>
      <c r="KU70" s="61"/>
      <c r="KV70" s="61"/>
      <c r="KW70" s="61"/>
      <c r="KX70" s="61"/>
      <c r="KY70" s="61"/>
      <c r="KZ70" s="61"/>
      <c r="LA70" s="61"/>
      <c r="LB70" s="61"/>
      <c r="LC70" s="61"/>
      <c r="LD70" s="61"/>
      <c r="LE70" s="61"/>
      <c r="LF70" s="61"/>
      <c r="LG70" s="61"/>
      <c r="LH70" s="61"/>
      <c r="LI70" s="61"/>
      <c r="LJ70" s="61"/>
      <c r="LK70" s="61"/>
      <c r="LL70" s="61"/>
      <c r="LM70" s="61"/>
      <c r="LN70" s="61"/>
      <c r="LO70" s="61"/>
      <c r="LP70" s="61"/>
      <c r="LQ70" s="61"/>
      <c r="LR70" s="61"/>
      <c r="LS70" s="61"/>
      <c r="LT70" s="61"/>
      <c r="LU70" s="61"/>
      <c r="LV70" s="61"/>
      <c r="LW70" s="61"/>
      <c r="LX70" s="61"/>
      <c r="LY70" s="61"/>
      <c r="LZ70" s="61"/>
      <c r="MA70" s="61"/>
      <c r="MB70" s="61"/>
      <c r="MC70" s="61"/>
      <c r="MD70" s="61"/>
      <c r="ME70" s="61"/>
      <c r="MF70" s="61"/>
      <c r="MG70" s="61"/>
      <c r="MH70" s="61"/>
      <c r="MI70" s="61"/>
      <c r="MJ70" s="61"/>
      <c r="MK70" s="61"/>
      <c r="ML70" s="61"/>
      <c r="MM70" s="61"/>
      <c r="MN70" s="61"/>
      <c r="MO70" s="61"/>
      <c r="MP70" s="61"/>
      <c r="MQ70" s="61"/>
      <c r="MR70" s="61"/>
      <c r="MS70" s="61"/>
      <c r="MT70" s="61"/>
    </row>
    <row r="71" spans="1:358" s="62" customFormat="1" ht="20.25" customHeight="1" collapsed="1" thickBot="1">
      <c r="A71" s="227" t="s">
        <v>74</v>
      </c>
      <c r="B71" s="160"/>
      <c r="C71" s="160"/>
      <c r="D71" s="161"/>
      <c r="E71" s="161"/>
      <c r="F71" s="162"/>
      <c r="G71" s="162"/>
      <c r="H71" s="162"/>
      <c r="I71" s="162"/>
      <c r="J71" s="163"/>
      <c r="K71" s="162"/>
      <c r="L71" s="162"/>
      <c r="M71" s="162"/>
      <c r="N71" s="164">
        <f>N70</f>
        <v>1.6</v>
      </c>
      <c r="O71" s="164">
        <f>O70</f>
        <v>2.0666666666666669</v>
      </c>
      <c r="P71" s="414">
        <f>P70</f>
        <v>3.5</v>
      </c>
      <c r="Q71" s="414">
        <f t="shared" ref="Q71" si="44">Q70</f>
        <v>3.18</v>
      </c>
      <c r="R71" s="414">
        <f>R70</f>
        <v>3.3497727272727289</v>
      </c>
      <c r="S71" s="414">
        <f>S70</f>
        <v>2.4500000000000002</v>
      </c>
      <c r="T71" s="414">
        <f>T70</f>
        <v>2.6066785714285672</v>
      </c>
      <c r="U71" s="414">
        <v>2.1</v>
      </c>
      <c r="V71" s="414">
        <f>V70</f>
        <v>2.6369285714285553</v>
      </c>
      <c r="W71" s="414">
        <f>W70</f>
        <v>2.0693181818181827</v>
      </c>
      <c r="X71" s="164">
        <v>2.7</v>
      </c>
      <c r="Y71" s="164">
        <f>Y70</f>
        <v>2.5999999999999996</v>
      </c>
      <c r="Z71" s="164"/>
      <c r="AA71" s="164"/>
      <c r="AB71" s="164">
        <f>AB70</f>
        <v>2.7</v>
      </c>
      <c r="AC71" s="229">
        <f>AC70</f>
        <v>2.8</v>
      </c>
      <c r="AD71" s="312">
        <f>AVERAGE(P71:R71)</f>
        <v>3.3432575757575762</v>
      </c>
      <c r="AE71" s="164">
        <f>AVERAGE(S71:T71:U71)</f>
        <v>2.3855595238095226</v>
      </c>
      <c r="AF71" s="164">
        <f>AVERAGE(V71:X71)</f>
        <v>2.4687489177489126</v>
      </c>
      <c r="AG71" s="313">
        <f>AVERAGE(Y71:AC71)</f>
        <v>2.6999999999999997</v>
      </c>
      <c r="AH71" s="242">
        <f>AVERAGE(P71:AC71)</f>
        <v>2.7243915043290028</v>
      </c>
      <c r="AI71" s="270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/>
      <c r="JP71" s="61"/>
      <c r="JQ71" s="61"/>
      <c r="JR71" s="61"/>
      <c r="JS71" s="61"/>
      <c r="JT71" s="61"/>
      <c r="JU71" s="61"/>
      <c r="JV71" s="61"/>
      <c r="JW71" s="61"/>
      <c r="JX71" s="61"/>
      <c r="JY71" s="61"/>
      <c r="JZ71" s="61"/>
      <c r="KA71" s="61"/>
      <c r="KB71" s="61"/>
      <c r="KC71" s="61"/>
      <c r="KD71" s="61"/>
      <c r="KE71" s="61"/>
      <c r="KF71" s="61"/>
      <c r="KG71" s="61"/>
      <c r="KH71" s="61"/>
      <c r="KI71" s="61"/>
      <c r="KJ71" s="61"/>
      <c r="KK71" s="61"/>
      <c r="KL71" s="61"/>
      <c r="KM71" s="61"/>
      <c r="KN71" s="61"/>
      <c r="KO71" s="61"/>
      <c r="KP71" s="61"/>
      <c r="KQ71" s="61"/>
      <c r="KR71" s="61"/>
      <c r="KS71" s="61"/>
      <c r="KT71" s="61"/>
      <c r="KU71" s="61"/>
      <c r="KV71" s="61"/>
      <c r="KW71" s="61"/>
      <c r="KX71" s="61"/>
      <c r="KY71" s="61"/>
      <c r="KZ71" s="61"/>
      <c r="LA71" s="61"/>
      <c r="LB71" s="61"/>
      <c r="LC71" s="61"/>
      <c r="LD71" s="61"/>
      <c r="LE71" s="61"/>
      <c r="LF71" s="61"/>
      <c r="LG71" s="61"/>
      <c r="LH71" s="61"/>
      <c r="LI71" s="61"/>
      <c r="LJ71" s="61"/>
      <c r="LK71" s="61"/>
      <c r="LL71" s="61"/>
      <c r="LM71" s="61"/>
      <c r="LN71" s="61"/>
      <c r="LO71" s="61"/>
      <c r="LP71" s="61"/>
      <c r="LQ71" s="61"/>
      <c r="LR71" s="61"/>
      <c r="LS71" s="61"/>
      <c r="LT71" s="61"/>
      <c r="LU71" s="61"/>
      <c r="LV71" s="61"/>
      <c r="LW71" s="61"/>
      <c r="LX71" s="61"/>
      <c r="LY71" s="61"/>
      <c r="LZ71" s="61"/>
      <c r="MA71" s="61"/>
      <c r="MB71" s="61"/>
      <c r="MC71" s="61"/>
      <c r="MD71" s="61"/>
      <c r="ME71" s="61"/>
      <c r="MF71" s="61"/>
      <c r="MG71" s="61"/>
      <c r="MH71" s="61"/>
      <c r="MI71" s="61"/>
      <c r="MJ71" s="61"/>
      <c r="MK71" s="61"/>
      <c r="ML71" s="61"/>
      <c r="MM71" s="61"/>
      <c r="MN71" s="61"/>
      <c r="MO71" s="61"/>
      <c r="MP71" s="61"/>
      <c r="MQ71" s="61"/>
      <c r="MR71" s="61"/>
      <c r="MS71" s="61"/>
      <c r="MT71" s="61"/>
    </row>
    <row r="72" spans="1:358" ht="21.5" thickBot="1">
      <c r="A72" s="252"/>
      <c r="F72" s="1"/>
      <c r="G72" s="1"/>
      <c r="H72" s="1"/>
      <c r="I72" s="125"/>
      <c r="K72" s="125">
        <f>K14+K70</f>
        <v>49.5</v>
      </c>
      <c r="L72" s="125">
        <f>L14+L70</f>
        <v>48.35</v>
      </c>
      <c r="M72" s="125">
        <f>M14+M70</f>
        <v>50.26</v>
      </c>
      <c r="N72" s="125"/>
      <c r="O72" s="125"/>
      <c r="P72" s="152"/>
      <c r="Q72" s="152"/>
      <c r="R72" s="406"/>
      <c r="S72" s="406"/>
      <c r="T72" s="406"/>
      <c r="U72" s="406"/>
      <c r="V72" s="406"/>
      <c r="W72" s="406"/>
      <c r="X72" s="406"/>
      <c r="Y72" s="406"/>
      <c r="Z72" s="407"/>
      <c r="AA72" s="407"/>
      <c r="AB72" s="406"/>
      <c r="AC72" s="406"/>
      <c r="AD72" s="406"/>
      <c r="AE72" s="406"/>
      <c r="AF72" s="406"/>
      <c r="AG72" s="406"/>
      <c r="AH72" s="7"/>
    </row>
    <row r="73" spans="1:358" ht="21" customHeight="1" thickBot="1">
      <c r="A73" s="364"/>
      <c r="B73" s="325"/>
      <c r="C73" s="325"/>
      <c r="D73" s="326"/>
      <c r="E73" s="326"/>
      <c r="F73" s="327" t="s">
        <v>4</v>
      </c>
      <c r="G73" s="327" t="s">
        <v>5</v>
      </c>
      <c r="H73" s="327" t="s">
        <v>6</v>
      </c>
      <c r="I73" s="327" t="s">
        <v>7</v>
      </c>
      <c r="J73" s="328" t="s">
        <v>2</v>
      </c>
      <c r="K73" s="327" t="s">
        <v>71</v>
      </c>
      <c r="L73" s="327" t="s">
        <v>72</v>
      </c>
      <c r="M73" s="327" t="s">
        <v>73</v>
      </c>
      <c r="N73" s="327" t="s">
        <v>12</v>
      </c>
      <c r="O73" s="327" t="s">
        <v>13</v>
      </c>
      <c r="P73" s="329" t="s">
        <v>14</v>
      </c>
      <c r="Q73" s="329" t="s">
        <v>15</v>
      </c>
      <c r="R73" s="329" t="s">
        <v>16</v>
      </c>
      <c r="S73" s="329" t="s">
        <v>64</v>
      </c>
      <c r="T73" s="329" t="s">
        <v>65</v>
      </c>
      <c r="U73" s="329" t="s">
        <v>66</v>
      </c>
      <c r="V73" s="329" t="s">
        <v>67</v>
      </c>
      <c r="W73" s="329" t="s">
        <v>68</v>
      </c>
      <c r="X73" s="329" t="s">
        <v>69</v>
      </c>
      <c r="Y73" s="329" t="s">
        <v>70</v>
      </c>
      <c r="Z73" s="330"/>
      <c r="AA73" s="330"/>
      <c r="AB73" s="329" t="s">
        <v>77</v>
      </c>
      <c r="AC73" s="331" t="s">
        <v>78</v>
      </c>
      <c r="AD73" s="332" t="s">
        <v>79</v>
      </c>
      <c r="AE73" s="329" t="s">
        <v>80</v>
      </c>
      <c r="AF73" s="329" t="s">
        <v>81</v>
      </c>
      <c r="AG73" s="329" t="s">
        <v>82</v>
      </c>
      <c r="AH73" s="331">
        <v>2016</v>
      </c>
    </row>
    <row r="74" spans="1:358" ht="17.25" customHeight="1">
      <c r="A74" s="418" t="s">
        <v>225</v>
      </c>
      <c r="B74" s="129" t="s">
        <v>48</v>
      </c>
      <c r="C74" s="129" t="s">
        <v>48</v>
      </c>
      <c r="D74" s="130"/>
      <c r="E74" s="130"/>
      <c r="F74" s="36"/>
      <c r="G74" s="36">
        <v>56.18</v>
      </c>
      <c r="H74" s="36">
        <v>47.690789473684205</v>
      </c>
      <c r="I74" s="36">
        <v>45.375000000000007</v>
      </c>
      <c r="J74" s="36" t="e">
        <f>J14</f>
        <v>#DIV/0!</v>
      </c>
      <c r="K74" s="36">
        <f>K14</f>
        <v>48.3</v>
      </c>
      <c r="L74" s="36">
        <f>L14</f>
        <v>46.85</v>
      </c>
      <c r="M74" s="36">
        <f>M14</f>
        <v>48.634999999999998</v>
      </c>
      <c r="N74" s="36">
        <f>N14</f>
        <v>46.25</v>
      </c>
      <c r="O74" s="36">
        <f t="shared" ref="O74:Y74" si="45">O15</f>
        <v>0</v>
      </c>
      <c r="P74" s="36">
        <f t="shared" si="45"/>
        <v>26.81</v>
      </c>
      <c r="Q74" s="36">
        <f t="shared" si="45"/>
        <v>29.30263157894737</v>
      </c>
      <c r="R74" s="36">
        <f t="shared" si="45"/>
        <v>35.141818181818174</v>
      </c>
      <c r="S74" s="36">
        <f t="shared" si="45"/>
        <v>39.03</v>
      </c>
      <c r="T74" s="36">
        <f t="shared" si="45"/>
        <v>44.268571428571427</v>
      </c>
      <c r="U74" s="36">
        <f t="shared" si="45"/>
        <v>46.4</v>
      </c>
      <c r="V74" s="36">
        <f t="shared" si="45"/>
        <v>42.464500000000008</v>
      </c>
      <c r="W74" s="36">
        <f t="shared" si="45"/>
        <v>43.702272727272721</v>
      </c>
      <c r="X74" s="36">
        <f t="shared" si="45"/>
        <v>44</v>
      </c>
      <c r="Y74" s="36">
        <f t="shared" si="45"/>
        <v>45</v>
      </c>
      <c r="Z74" s="36"/>
      <c r="AA74" s="36"/>
      <c r="AB74" s="36">
        <f t="shared" ref="AB74:AG74" si="46">AB15</f>
        <v>46</v>
      </c>
      <c r="AC74" s="322">
        <f t="shared" si="46"/>
        <v>46</v>
      </c>
      <c r="AD74" s="319">
        <f t="shared" si="46"/>
        <v>30.418149920255178</v>
      </c>
      <c r="AE74" s="258">
        <f t="shared" si="46"/>
        <v>43.232857142857142</v>
      </c>
      <c r="AF74" s="258">
        <f t="shared" si="46"/>
        <v>43.388924242424245</v>
      </c>
      <c r="AG74" s="258">
        <f t="shared" si="46"/>
        <v>45.666666666666664</v>
      </c>
      <c r="AH74" s="334">
        <f t="shared" ref="AH74:AH80" si="47">AVERAGE(P74:AC74)</f>
        <v>40.67664949305081</v>
      </c>
    </row>
    <row r="75" spans="1:358" ht="18.5">
      <c r="A75" s="419" t="s">
        <v>226</v>
      </c>
      <c r="B75" s="129" t="s">
        <v>49</v>
      </c>
      <c r="C75" s="129" t="s">
        <v>49</v>
      </c>
      <c r="D75" s="130"/>
      <c r="E75" s="130"/>
      <c r="F75" s="36"/>
      <c r="G75" s="36">
        <v>53.145899999999997</v>
      </c>
      <c r="H75" s="36">
        <v>45.764210526315786</v>
      </c>
      <c r="I75" s="36">
        <v>46.804999999999993</v>
      </c>
      <c r="J75" s="36" t="e">
        <f>J14+#REF!</f>
        <v>#DIV/0!</v>
      </c>
      <c r="K75" s="36" t="e">
        <f>K14+#REF!</f>
        <v>#REF!</v>
      </c>
      <c r="L75" s="36" t="e">
        <f>L14+#REF!</f>
        <v>#REF!</v>
      </c>
      <c r="M75" s="36">
        <f>M14+M23</f>
        <v>50.059999999999995</v>
      </c>
      <c r="N75" s="36">
        <f>N14+N24</f>
        <v>50.125</v>
      </c>
      <c r="O75" s="36">
        <f t="shared" ref="O75:Y75" si="48">O15+O24</f>
        <v>6</v>
      </c>
      <c r="P75" s="36">
        <f t="shared" si="48"/>
        <v>36.599999999999994</v>
      </c>
      <c r="Q75" s="36">
        <f t="shared" si="48"/>
        <v>33.877894736842109</v>
      </c>
      <c r="R75" s="36">
        <f t="shared" si="48"/>
        <v>39.004090909090912</v>
      </c>
      <c r="S75" s="36">
        <f t="shared" si="48"/>
        <v>42.36</v>
      </c>
      <c r="T75" s="36">
        <f t="shared" si="48"/>
        <v>44.036666666666669</v>
      </c>
      <c r="U75" s="36">
        <f t="shared" si="48"/>
        <v>45.6</v>
      </c>
      <c r="V75" s="36">
        <f t="shared" si="48"/>
        <v>41.631000000000007</v>
      </c>
      <c r="W75" s="36">
        <f t="shared" si="48"/>
        <v>39.857727272727274</v>
      </c>
      <c r="X75" s="36">
        <f t="shared" si="48"/>
        <v>42.1</v>
      </c>
      <c r="Y75" s="36">
        <f t="shared" si="48"/>
        <v>43.6</v>
      </c>
      <c r="Z75" s="36"/>
      <c r="AA75" s="36"/>
      <c r="AB75" s="36">
        <f t="shared" ref="AB75:AG75" si="49">AB15+AB24</f>
        <v>46</v>
      </c>
      <c r="AC75" s="322">
        <f t="shared" si="49"/>
        <v>46.5</v>
      </c>
      <c r="AD75" s="319">
        <f t="shared" si="49"/>
        <v>36.493995215311003</v>
      </c>
      <c r="AE75" s="258">
        <f t="shared" si="49"/>
        <v>43.998888888888892</v>
      </c>
      <c r="AF75" s="258">
        <f t="shared" si="49"/>
        <v>41.196242424242428</v>
      </c>
      <c r="AG75" s="258">
        <f t="shared" si="49"/>
        <v>45.366666666666667</v>
      </c>
      <c r="AH75" s="334">
        <f t="shared" si="47"/>
        <v>41.763948298777251</v>
      </c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</row>
    <row r="76" spans="1:358" ht="18.5">
      <c r="A76" s="419" t="s">
        <v>227</v>
      </c>
      <c r="B76" s="129">
        <v>95</v>
      </c>
      <c r="C76" s="129">
        <v>95</v>
      </c>
      <c r="D76" s="130"/>
      <c r="E76" s="130"/>
      <c r="F76" s="36"/>
      <c r="G76" s="36">
        <v>75.946299999999994</v>
      </c>
      <c r="H76" s="36">
        <v>66.004736842105288</v>
      </c>
      <c r="I76" s="36">
        <v>65.236000000000004</v>
      </c>
      <c r="J76" s="36" t="e">
        <f>J32+J14</f>
        <v>#DIV/0!</v>
      </c>
      <c r="K76" s="36">
        <f>K32+K14</f>
        <v>64.782499999999999</v>
      </c>
      <c r="L76" s="36">
        <f>L32+L14</f>
        <v>64.099999999999994</v>
      </c>
      <c r="M76" s="36">
        <f>M32+M14</f>
        <v>65.007499999999993</v>
      </c>
      <c r="N76" s="36">
        <f>N33+N14</f>
        <v>62.0625</v>
      </c>
      <c r="O76" s="36">
        <f t="shared" ref="O76:X76" si="50">O33+O15</f>
        <v>17.5</v>
      </c>
      <c r="P76" s="36">
        <f t="shared" si="50"/>
        <v>50.42</v>
      </c>
      <c r="Q76" s="36">
        <f t="shared" si="50"/>
        <v>44.510526315789477</v>
      </c>
      <c r="R76" s="36">
        <f t="shared" si="50"/>
        <v>52.771818181818183</v>
      </c>
      <c r="S76" s="36">
        <f t="shared" si="50"/>
        <v>54.59</v>
      </c>
      <c r="T76" s="36">
        <f t="shared" si="50"/>
        <v>59.165238095238095</v>
      </c>
      <c r="U76" s="36">
        <f t="shared" si="50"/>
        <v>59.4</v>
      </c>
      <c r="V76" s="36">
        <f t="shared" si="50"/>
        <v>51.939</v>
      </c>
      <c r="W76" s="36">
        <f t="shared" si="50"/>
        <v>54.23090909090908</v>
      </c>
      <c r="X76" s="36">
        <f t="shared" si="50"/>
        <v>57.6</v>
      </c>
      <c r="Y76" s="36">
        <f>Y33+Y15</f>
        <v>57</v>
      </c>
      <c r="Z76" s="36"/>
      <c r="AA76" s="36"/>
      <c r="AB76" s="36">
        <f t="shared" ref="AB76:AG76" si="51">AB33+AB15</f>
        <v>57.298535227272723</v>
      </c>
      <c r="AC76" s="322">
        <f t="shared" si="51"/>
        <v>57</v>
      </c>
      <c r="AD76" s="319">
        <f t="shared" si="51"/>
        <v>49.23411483253588</v>
      </c>
      <c r="AE76" s="258">
        <f t="shared" si="51"/>
        <v>57.718412698412699</v>
      </c>
      <c r="AF76" s="258">
        <f t="shared" si="51"/>
        <v>54.589969696969696</v>
      </c>
      <c r="AG76" s="258">
        <f t="shared" si="51"/>
        <v>57.099511742424241</v>
      </c>
      <c r="AH76" s="334">
        <f t="shared" si="47"/>
        <v>54.660502242585636</v>
      </c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</row>
    <row r="77" spans="1:358" ht="18.5">
      <c r="A77" s="419" t="s">
        <v>228</v>
      </c>
      <c r="B77" s="129" t="s">
        <v>50</v>
      </c>
      <c r="C77" s="129" t="s">
        <v>50</v>
      </c>
      <c r="D77" s="133"/>
      <c r="E77" s="133"/>
      <c r="F77" s="36"/>
      <c r="G77" s="36">
        <v>65.808999999999997</v>
      </c>
      <c r="H77" s="36">
        <v>57.075789473684203</v>
      </c>
      <c r="I77" s="36">
        <v>58.993499999999997</v>
      </c>
      <c r="J77" s="36" t="e">
        <f>J41+J14</f>
        <v>#DIV/0!</v>
      </c>
      <c r="K77" s="36">
        <f>K41+K14</f>
        <v>61.41</v>
      </c>
      <c r="L77" s="36">
        <f>L41+L14</f>
        <v>60.285000000000004</v>
      </c>
      <c r="M77" s="36">
        <f>M41+M14</f>
        <v>61.98</v>
      </c>
      <c r="N77" s="36">
        <f>N42+N14</f>
        <v>60.48</v>
      </c>
      <c r="O77" s="36">
        <f t="shared" ref="O77:Y77" si="52">O42+O15</f>
        <v>15.6</v>
      </c>
      <c r="P77" s="36">
        <f t="shared" si="52"/>
        <v>37.909999999999997</v>
      </c>
      <c r="Q77" s="36">
        <f t="shared" si="52"/>
        <v>41.013684210526321</v>
      </c>
      <c r="R77" s="36">
        <f t="shared" si="52"/>
        <v>47.38</v>
      </c>
      <c r="S77" s="36">
        <f t="shared" si="52"/>
        <v>49.53</v>
      </c>
      <c r="T77" s="36">
        <f t="shared" si="52"/>
        <v>55.170000000000009</v>
      </c>
      <c r="U77" s="36">
        <f t="shared" si="52"/>
        <v>58.3</v>
      </c>
      <c r="V77" s="36">
        <f t="shared" si="52"/>
        <v>54.385000000000005</v>
      </c>
      <c r="W77" s="36">
        <f t="shared" si="52"/>
        <v>53.518636363636368</v>
      </c>
      <c r="X77" s="36">
        <f t="shared" si="52"/>
        <v>55.2</v>
      </c>
      <c r="Y77" s="36">
        <f t="shared" si="52"/>
        <v>56.8</v>
      </c>
      <c r="Z77" s="36"/>
      <c r="AA77" s="36"/>
      <c r="AB77" s="36">
        <f t="shared" ref="AB77:AG77" si="53">AB42+AB15</f>
        <v>58.5</v>
      </c>
      <c r="AC77" s="322">
        <f t="shared" si="53"/>
        <v>59.15</v>
      </c>
      <c r="AD77" s="319">
        <f t="shared" si="53"/>
        <v>42.101228070175438</v>
      </c>
      <c r="AE77" s="258">
        <f t="shared" si="53"/>
        <v>54.333333333333336</v>
      </c>
      <c r="AF77" s="258">
        <f t="shared" si="53"/>
        <v>54.367878787878794</v>
      </c>
      <c r="AG77" s="258">
        <f t="shared" si="53"/>
        <v>58.15</v>
      </c>
      <c r="AH77" s="334">
        <f t="shared" si="47"/>
        <v>52.238110047846881</v>
      </c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</row>
    <row r="78" spans="1:358" ht="18.5">
      <c r="A78" s="419" t="s">
        <v>229</v>
      </c>
      <c r="B78" s="129" t="s">
        <v>51</v>
      </c>
      <c r="C78" s="129" t="s">
        <v>51</v>
      </c>
      <c r="D78" s="130"/>
      <c r="E78" s="130"/>
      <c r="F78" s="36"/>
      <c r="G78" s="36">
        <v>65.069999999999993</v>
      </c>
      <c r="H78" s="36">
        <v>57.116315789473688</v>
      </c>
      <c r="I78" s="36">
        <v>59.478000000000009</v>
      </c>
      <c r="J78" s="36" t="e">
        <f>J52+J14</f>
        <v>#DIV/0!</v>
      </c>
      <c r="K78" s="36">
        <f>K52+K14</f>
        <v>61.65</v>
      </c>
      <c r="L78" s="36">
        <f>L52+L14</f>
        <v>60.6</v>
      </c>
      <c r="M78" s="36">
        <f>M52+M14</f>
        <v>61.704999999999998</v>
      </c>
      <c r="N78" s="36">
        <f>N53+N14</f>
        <v>60.28</v>
      </c>
      <c r="O78" s="36">
        <f t="shared" ref="O78:Y78" si="54">O53+O15</f>
        <v>14.15</v>
      </c>
      <c r="P78" s="36">
        <f t="shared" si="54"/>
        <v>36.15</v>
      </c>
      <c r="Q78" s="36">
        <f t="shared" si="54"/>
        <v>38.462631578947367</v>
      </c>
      <c r="R78" s="36">
        <f t="shared" si="54"/>
        <v>45.517727272727271</v>
      </c>
      <c r="S78" s="36">
        <f t="shared" si="54"/>
        <v>48.08</v>
      </c>
      <c r="T78" s="36">
        <f t="shared" si="54"/>
        <v>54.851904761904777</v>
      </c>
      <c r="U78" s="36">
        <f t="shared" si="54"/>
        <v>58.099999999999994</v>
      </c>
      <c r="V78" s="36">
        <f t="shared" si="54"/>
        <v>54.279999999999987</v>
      </c>
      <c r="W78" s="36">
        <f t="shared" si="54"/>
        <v>53.475454545454539</v>
      </c>
      <c r="X78" s="36">
        <f t="shared" si="54"/>
        <v>55</v>
      </c>
      <c r="Y78" s="36">
        <f t="shared" si="54"/>
        <v>56.3</v>
      </c>
      <c r="Z78" s="36"/>
      <c r="AA78" s="36"/>
      <c r="AB78" s="36">
        <f t="shared" ref="AB78:AG78" si="55">AB53+AB15</f>
        <v>57.8</v>
      </c>
      <c r="AC78" s="322">
        <f t="shared" si="55"/>
        <v>58.25</v>
      </c>
      <c r="AD78" s="319">
        <f t="shared" si="55"/>
        <v>40.043452950558212</v>
      </c>
      <c r="AE78" s="258">
        <f t="shared" si="55"/>
        <v>53.677301587301592</v>
      </c>
      <c r="AF78" s="258">
        <f t="shared" si="55"/>
        <v>54.25181818181818</v>
      </c>
      <c r="AG78" s="258">
        <f t="shared" si="55"/>
        <v>57.449999999999996</v>
      </c>
      <c r="AH78" s="334">
        <f t="shared" si="47"/>
        <v>51.355643179919497</v>
      </c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</row>
    <row r="79" spans="1:358" ht="18.5">
      <c r="A79" s="419" t="s">
        <v>230</v>
      </c>
      <c r="B79" s="129" t="s">
        <v>52</v>
      </c>
      <c r="C79" s="129" t="s">
        <v>52</v>
      </c>
      <c r="D79" s="130"/>
      <c r="E79" s="130"/>
      <c r="F79" s="134"/>
      <c r="G79" s="134">
        <v>48.747959921259849</v>
      </c>
      <c r="H79" s="134">
        <v>38.740489017820138</v>
      </c>
      <c r="I79" s="134">
        <v>37.475669291338583</v>
      </c>
      <c r="J79" s="134" t="e">
        <f>(J61+J14)*6.35</f>
        <v>#DIV/0!</v>
      </c>
      <c r="K79" s="134">
        <f>(K61+K14)*6.35</f>
        <v>254.92074999999997</v>
      </c>
      <c r="L79" s="134">
        <f>(L61+L14)*6.35</f>
        <v>245.71324999999999</v>
      </c>
      <c r="M79" s="134">
        <f>(M61+M14)*6.35</f>
        <v>255.93674999999999</v>
      </c>
      <c r="N79" s="134">
        <f>(N62+N14)*6.35</f>
        <v>249.76137499999996</v>
      </c>
      <c r="O79" s="134">
        <f t="shared" ref="O79:Y79" si="56">(O62+O15)*6.35</f>
        <v>-42.756666666666668</v>
      </c>
      <c r="P79" s="134">
        <f t="shared" si="56"/>
        <v>150.36799999999999</v>
      </c>
      <c r="Q79" s="134">
        <f t="shared" si="56"/>
        <v>153.81371052631579</v>
      </c>
      <c r="R79" s="134">
        <f t="shared" si="56"/>
        <v>176.7890909090909</v>
      </c>
      <c r="S79" s="134">
        <f t="shared" si="56"/>
        <v>192.15100000000001</v>
      </c>
      <c r="T79" s="134">
        <f t="shared" si="56"/>
        <v>223.49809523809523</v>
      </c>
      <c r="U79" s="134">
        <f t="shared" si="56"/>
        <v>238.75999999999996</v>
      </c>
      <c r="V79" s="134">
        <f t="shared" si="56"/>
        <v>242.05499999999995</v>
      </c>
      <c r="W79" s="134">
        <f t="shared" si="56"/>
        <v>242.43590909090906</v>
      </c>
      <c r="X79" s="134">
        <f t="shared" si="56"/>
        <v>254</v>
      </c>
      <c r="Y79" s="134">
        <f t="shared" si="56"/>
        <v>250.82499999999999</v>
      </c>
      <c r="Z79" s="134"/>
      <c r="AA79" s="134"/>
      <c r="AB79" s="134">
        <f t="shared" ref="AB79:AG79" si="57">(AB62+AB15)*6.35</f>
        <v>254</v>
      </c>
      <c r="AC79" s="323">
        <f t="shared" si="57"/>
        <v>250.82499999999999</v>
      </c>
      <c r="AD79" s="320">
        <f t="shared" si="57"/>
        <v>160.32360047846888</v>
      </c>
      <c r="AE79" s="259">
        <f t="shared" si="57"/>
        <v>218.13636507936508</v>
      </c>
      <c r="AF79" s="259">
        <f t="shared" si="57"/>
        <v>246.16363636363636</v>
      </c>
      <c r="AG79" s="259">
        <f t="shared" si="57"/>
        <v>251.8833333333333</v>
      </c>
      <c r="AH79" s="334">
        <f t="shared" si="47"/>
        <v>219.12673381370089</v>
      </c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</row>
    <row r="80" spans="1:358" ht="19" thickBot="1">
      <c r="A80" s="420" t="s">
        <v>231</v>
      </c>
      <c r="B80" s="336" t="s">
        <v>53</v>
      </c>
      <c r="C80" s="336" t="s">
        <v>53</v>
      </c>
      <c r="D80" s="337"/>
      <c r="E80" s="337"/>
      <c r="F80" s="338"/>
      <c r="G80" s="338"/>
      <c r="H80" s="338"/>
      <c r="I80" s="338"/>
      <c r="J80" s="338" t="e">
        <f>J70</f>
        <v>#DIV/0!</v>
      </c>
      <c r="K80" s="338">
        <f t="shared" ref="K80:L80" si="58">K70</f>
        <v>1.2</v>
      </c>
      <c r="L80" s="338">
        <f t="shared" si="58"/>
        <v>1.5</v>
      </c>
      <c r="M80" s="338">
        <f>M70</f>
        <v>1.625</v>
      </c>
      <c r="N80" s="338">
        <f t="shared" ref="N80:Y80" si="59">N71+N15</f>
        <v>47.85</v>
      </c>
      <c r="O80" s="338">
        <f t="shared" si="59"/>
        <v>2.0666666666666669</v>
      </c>
      <c r="P80" s="338">
        <f t="shared" si="59"/>
        <v>30.31</v>
      </c>
      <c r="Q80" s="338">
        <f t="shared" si="59"/>
        <v>32.48263157894737</v>
      </c>
      <c r="R80" s="338">
        <f t="shared" si="59"/>
        <v>38.491590909090903</v>
      </c>
      <c r="S80" s="338">
        <f t="shared" si="59"/>
        <v>41.480000000000004</v>
      </c>
      <c r="T80" s="338">
        <f t="shared" si="59"/>
        <v>46.875249999999994</v>
      </c>
      <c r="U80" s="338">
        <f t="shared" si="59"/>
        <v>48.5</v>
      </c>
      <c r="V80" s="338">
        <f t="shared" si="59"/>
        <v>45.101428571428563</v>
      </c>
      <c r="W80" s="338">
        <f t="shared" si="59"/>
        <v>45.771590909090904</v>
      </c>
      <c r="X80" s="338">
        <f t="shared" si="59"/>
        <v>46.7</v>
      </c>
      <c r="Y80" s="338">
        <f t="shared" si="59"/>
        <v>47.6</v>
      </c>
      <c r="Z80" s="338"/>
      <c r="AA80" s="338"/>
      <c r="AB80" s="338">
        <f t="shared" ref="AB80:AG80" si="60">AB71+AB15</f>
        <v>48.7</v>
      </c>
      <c r="AC80" s="339">
        <f t="shared" si="60"/>
        <v>48.8</v>
      </c>
      <c r="AD80" s="340">
        <f t="shared" si="60"/>
        <v>33.761407496012751</v>
      </c>
      <c r="AE80" s="341">
        <f t="shared" si="60"/>
        <v>45.618416666666661</v>
      </c>
      <c r="AF80" s="341">
        <f t="shared" si="60"/>
        <v>45.857673160173157</v>
      </c>
      <c r="AG80" s="341">
        <f t="shared" si="60"/>
        <v>48.366666666666667</v>
      </c>
      <c r="AH80" s="342">
        <f t="shared" si="47"/>
        <v>43.401040997379816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</row>
    <row r="81" spans="1:358" ht="21.5" thickBot="1">
      <c r="A81" s="199"/>
      <c r="F81" s="135"/>
      <c r="G81" s="135"/>
      <c r="H81" s="135"/>
      <c r="I81" s="135"/>
      <c r="K81" s="135"/>
      <c r="L81" s="135"/>
      <c r="M81" s="135"/>
      <c r="N81" s="135"/>
      <c r="O81" s="135"/>
      <c r="P81" s="403"/>
      <c r="Q81" s="403"/>
      <c r="R81" s="404"/>
      <c r="S81" s="404"/>
      <c r="T81" s="404"/>
      <c r="U81" s="404"/>
      <c r="V81" s="404"/>
      <c r="W81" s="404"/>
      <c r="X81" s="404"/>
      <c r="Y81" s="404"/>
      <c r="Z81" s="405"/>
      <c r="AA81" s="405"/>
      <c r="AB81" s="404"/>
      <c r="AC81" s="404"/>
      <c r="AD81" s="137"/>
      <c r="AE81" s="137"/>
      <c r="AF81" s="137"/>
      <c r="AG81" s="137"/>
      <c r="AH81" s="7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</row>
    <row r="82" spans="1:358" ht="32.4" customHeight="1">
      <c r="A82" s="332" t="s">
        <v>232</v>
      </c>
      <c r="B82" s="343" t="s">
        <v>54</v>
      </c>
      <c r="C82" s="343" t="s">
        <v>54</v>
      </c>
      <c r="D82" s="344"/>
      <c r="E82" s="344"/>
      <c r="F82" s="329" t="s">
        <v>4</v>
      </c>
      <c r="G82" s="329" t="s">
        <v>5</v>
      </c>
      <c r="H82" s="329" t="s">
        <v>6</v>
      </c>
      <c r="I82" s="329" t="s">
        <v>7</v>
      </c>
      <c r="J82" s="328" t="s">
        <v>2</v>
      </c>
      <c r="K82" s="329" t="s">
        <v>9</v>
      </c>
      <c r="L82" s="329" t="s">
        <v>9</v>
      </c>
      <c r="M82" s="329" t="s">
        <v>9</v>
      </c>
      <c r="N82" s="329" t="s">
        <v>12</v>
      </c>
      <c r="O82" s="329" t="s">
        <v>13</v>
      </c>
      <c r="P82" s="329" t="s">
        <v>14</v>
      </c>
      <c r="Q82" s="329" t="s">
        <v>15</v>
      </c>
      <c r="R82" s="329" t="s">
        <v>16</v>
      </c>
      <c r="S82" s="329" t="s">
        <v>64</v>
      </c>
      <c r="T82" s="329" t="s">
        <v>65</v>
      </c>
      <c r="U82" s="329" t="s">
        <v>66</v>
      </c>
      <c r="V82" s="329" t="s">
        <v>67</v>
      </c>
      <c r="W82" s="329" t="s">
        <v>68</v>
      </c>
      <c r="X82" s="329" t="s">
        <v>69</v>
      </c>
      <c r="Y82" s="329" t="s">
        <v>70</v>
      </c>
      <c r="Z82" s="330"/>
      <c r="AA82" s="330"/>
      <c r="AB82" s="329" t="s">
        <v>77</v>
      </c>
      <c r="AC82" s="331" t="s">
        <v>78</v>
      </c>
      <c r="AD82" s="332" t="s">
        <v>79</v>
      </c>
      <c r="AE82" s="329" t="s">
        <v>80</v>
      </c>
      <c r="AF82" s="329" t="s">
        <v>81</v>
      </c>
      <c r="AG82" s="329" t="s">
        <v>82</v>
      </c>
      <c r="AH82" s="331">
        <v>2016</v>
      </c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</row>
    <row r="83" spans="1:358" ht="19.5" customHeight="1">
      <c r="A83" s="345" t="s">
        <v>56</v>
      </c>
      <c r="B83" s="138" t="s">
        <v>56</v>
      </c>
      <c r="C83" s="138" t="s">
        <v>56</v>
      </c>
      <c r="D83" s="142"/>
      <c r="E83" s="142"/>
      <c r="F83" s="143">
        <f t="shared" ref="F83" si="61">F74</f>
        <v>0</v>
      </c>
      <c r="G83" s="143">
        <f>G74</f>
        <v>56.18</v>
      </c>
      <c r="H83" s="143">
        <f t="shared" ref="H83" si="62">H74</f>
        <v>47.690789473684205</v>
      </c>
      <c r="I83" s="143">
        <f>I74</f>
        <v>45.375000000000007</v>
      </c>
      <c r="J83" s="143" t="e">
        <f>J74</f>
        <v>#DIV/0!</v>
      </c>
      <c r="K83" s="143">
        <f t="shared" ref="K83:L83" si="63">K74</f>
        <v>48.3</v>
      </c>
      <c r="L83" s="143">
        <f t="shared" si="63"/>
        <v>46.85</v>
      </c>
      <c r="M83" s="143">
        <f>M74</f>
        <v>48.634999999999998</v>
      </c>
      <c r="N83" s="143">
        <f>N74</f>
        <v>46.25</v>
      </c>
      <c r="O83" s="143">
        <f>O74</f>
        <v>0</v>
      </c>
      <c r="P83" s="143">
        <f>P74</f>
        <v>26.81</v>
      </c>
      <c r="Q83" s="143">
        <f>Q74</f>
        <v>29.30263157894737</v>
      </c>
      <c r="R83" s="143">
        <f t="shared" ref="R83:AG83" si="64">R74</f>
        <v>35.141818181818174</v>
      </c>
      <c r="S83" s="143">
        <f t="shared" si="64"/>
        <v>39.03</v>
      </c>
      <c r="T83" s="143">
        <f>T74</f>
        <v>44.268571428571427</v>
      </c>
      <c r="U83" s="143">
        <f t="shared" si="64"/>
        <v>46.4</v>
      </c>
      <c r="V83" s="143">
        <f t="shared" si="64"/>
        <v>42.464500000000008</v>
      </c>
      <c r="W83" s="143">
        <f t="shared" si="64"/>
        <v>43.702272727272721</v>
      </c>
      <c r="X83" s="143">
        <f t="shared" si="64"/>
        <v>44</v>
      </c>
      <c r="Y83" s="143">
        <f t="shared" si="64"/>
        <v>45</v>
      </c>
      <c r="Z83" s="361"/>
      <c r="AA83" s="361"/>
      <c r="AB83" s="143">
        <f t="shared" si="64"/>
        <v>46</v>
      </c>
      <c r="AC83" s="353">
        <f t="shared" si="64"/>
        <v>46</v>
      </c>
      <c r="AD83" s="321">
        <f t="shared" si="64"/>
        <v>30.418149920255178</v>
      </c>
      <c r="AE83" s="260">
        <f t="shared" si="64"/>
        <v>43.232857142857142</v>
      </c>
      <c r="AF83" s="260">
        <f t="shared" si="64"/>
        <v>43.388924242424245</v>
      </c>
      <c r="AG83" s="260">
        <f t="shared" si="64"/>
        <v>45.666666666666664</v>
      </c>
      <c r="AH83" s="334">
        <f t="shared" ref="AH83:AH89" si="65">AVERAGE(P83:AC83)</f>
        <v>40.67664949305081</v>
      </c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</row>
    <row r="84" spans="1:358" ht="19.5" customHeight="1">
      <c r="A84" s="345" t="s">
        <v>57</v>
      </c>
      <c r="B84" s="138" t="s">
        <v>57</v>
      </c>
      <c r="C84" s="138" t="s">
        <v>57</v>
      </c>
      <c r="D84" s="142"/>
      <c r="E84" s="142"/>
      <c r="F84" s="143">
        <f t="shared" ref="F84" si="66">F75-F74</f>
        <v>0</v>
      </c>
      <c r="G84" s="143">
        <f>G75-G74</f>
        <v>-3.0341000000000022</v>
      </c>
      <c r="H84" s="143">
        <f t="shared" ref="H84" si="67">H75-H74</f>
        <v>-1.9265789473684194</v>
      </c>
      <c r="I84" s="143">
        <f>I75-I74</f>
        <v>1.4299999999999855</v>
      </c>
      <c r="J84" s="143" t="e">
        <f>J75-J74</f>
        <v>#DIV/0!</v>
      </c>
      <c r="K84" s="143" t="e">
        <f t="shared" ref="K84:L84" si="68">K75-K74</f>
        <v>#REF!</v>
      </c>
      <c r="L84" s="143" t="e">
        <f t="shared" si="68"/>
        <v>#REF!</v>
      </c>
      <c r="M84" s="143">
        <f>M75-M74</f>
        <v>1.4249999999999972</v>
      </c>
      <c r="N84" s="143">
        <f>N75-N74</f>
        <v>3.875</v>
      </c>
      <c r="O84" s="143">
        <f>O75-O74</f>
        <v>6</v>
      </c>
      <c r="P84" s="143">
        <f>P75-P74</f>
        <v>9.7899999999999956</v>
      </c>
      <c r="Q84" s="143">
        <f>Q75-Q74</f>
        <v>4.5752631578947387</v>
      </c>
      <c r="R84" s="143">
        <f t="shared" ref="R84:AG84" si="69">R75-R74</f>
        <v>3.8622727272727388</v>
      </c>
      <c r="S84" s="143">
        <f t="shared" si="69"/>
        <v>3.3299999999999983</v>
      </c>
      <c r="T84" s="143">
        <f>T75-T74</f>
        <v>-0.23190476190475806</v>
      </c>
      <c r="U84" s="143">
        <f t="shared" si="69"/>
        <v>-0.79999999999999716</v>
      </c>
      <c r="V84" s="143">
        <f t="shared" si="69"/>
        <v>-0.8335000000000008</v>
      </c>
      <c r="W84" s="143">
        <f t="shared" si="69"/>
        <v>-3.8445454545454467</v>
      </c>
      <c r="X84" s="143">
        <f t="shared" si="69"/>
        <v>-1.8999999999999986</v>
      </c>
      <c r="Y84" s="143">
        <f t="shared" si="69"/>
        <v>-1.3999999999999986</v>
      </c>
      <c r="Z84" s="361"/>
      <c r="AA84" s="361"/>
      <c r="AB84" s="143">
        <f t="shared" si="69"/>
        <v>0</v>
      </c>
      <c r="AC84" s="353">
        <f t="shared" si="69"/>
        <v>0.5</v>
      </c>
      <c r="AD84" s="321">
        <f t="shared" si="69"/>
        <v>6.0758452950558244</v>
      </c>
      <c r="AE84" s="260">
        <f t="shared" si="69"/>
        <v>0.76603174603175006</v>
      </c>
      <c r="AF84" s="260">
        <f t="shared" si="69"/>
        <v>-2.1926818181818177</v>
      </c>
      <c r="AG84" s="260">
        <f t="shared" si="69"/>
        <v>-0.29999999999999716</v>
      </c>
      <c r="AH84" s="334">
        <f t="shared" si="65"/>
        <v>1.0872988057264392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</row>
    <row r="85" spans="1:358" ht="19.5" customHeight="1">
      <c r="A85" s="345" t="s">
        <v>58</v>
      </c>
      <c r="B85" s="138" t="s">
        <v>58</v>
      </c>
      <c r="C85" s="138" t="s">
        <v>58</v>
      </c>
      <c r="D85" s="142"/>
      <c r="E85" s="142"/>
      <c r="F85" s="143">
        <f t="shared" ref="F85" si="70">F76-F74</f>
        <v>0</v>
      </c>
      <c r="G85" s="143">
        <f>G76-G74</f>
        <v>19.766299999999994</v>
      </c>
      <c r="H85" s="143">
        <f t="shared" ref="H85" si="71">H76-H74</f>
        <v>18.313947368421083</v>
      </c>
      <c r="I85" s="143">
        <f>I76-I74</f>
        <v>19.860999999999997</v>
      </c>
      <c r="J85" s="143" t="e">
        <f>J76-J74</f>
        <v>#DIV/0!</v>
      </c>
      <c r="K85" s="143">
        <f t="shared" ref="K85:M85" si="72">K76-K74</f>
        <v>16.482500000000002</v>
      </c>
      <c r="L85" s="143">
        <f t="shared" si="72"/>
        <v>17.249999999999993</v>
      </c>
      <c r="M85" s="143">
        <f t="shared" si="72"/>
        <v>16.372499999999995</v>
      </c>
      <c r="N85" s="143">
        <f>N76-N74</f>
        <v>15.8125</v>
      </c>
      <c r="O85" s="143">
        <f>O76-O74</f>
        <v>17.5</v>
      </c>
      <c r="P85" s="143">
        <f>P76-P74</f>
        <v>23.610000000000003</v>
      </c>
      <c r="Q85" s="143">
        <f t="shared" ref="Q85" si="73">Q76-Q74</f>
        <v>15.207894736842107</v>
      </c>
      <c r="R85" s="143">
        <f>R76-R74</f>
        <v>17.63000000000001</v>
      </c>
      <c r="S85" s="143">
        <f t="shared" ref="S85:AG85" si="74">S76-S74</f>
        <v>15.560000000000002</v>
      </c>
      <c r="T85" s="143">
        <f>T76-T74</f>
        <v>14.896666666666668</v>
      </c>
      <c r="U85" s="143">
        <f t="shared" si="74"/>
        <v>13</v>
      </c>
      <c r="V85" s="143">
        <f t="shared" si="74"/>
        <v>9.4744999999999919</v>
      </c>
      <c r="W85" s="143">
        <f t="shared" si="74"/>
        <v>10.528636363636359</v>
      </c>
      <c r="X85" s="143">
        <f t="shared" si="74"/>
        <v>13.600000000000001</v>
      </c>
      <c r="Y85" s="143">
        <f t="shared" si="74"/>
        <v>12</v>
      </c>
      <c r="Z85" s="361"/>
      <c r="AA85" s="361"/>
      <c r="AB85" s="143">
        <f t="shared" si="74"/>
        <v>11.298535227272723</v>
      </c>
      <c r="AC85" s="353">
        <f t="shared" si="74"/>
        <v>11</v>
      </c>
      <c r="AD85" s="321">
        <f t="shared" si="74"/>
        <v>18.815964912280702</v>
      </c>
      <c r="AE85" s="260">
        <f t="shared" si="74"/>
        <v>14.485555555555557</v>
      </c>
      <c r="AF85" s="260">
        <f t="shared" si="74"/>
        <v>11.201045454545451</v>
      </c>
      <c r="AG85" s="260">
        <f t="shared" si="74"/>
        <v>11.432845075757577</v>
      </c>
      <c r="AH85" s="334">
        <f t="shared" si="65"/>
        <v>13.983852749534819</v>
      </c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</row>
    <row r="86" spans="1:358" ht="19.5" customHeight="1">
      <c r="A86" s="345" t="s">
        <v>59</v>
      </c>
      <c r="B86" s="138" t="s">
        <v>59</v>
      </c>
      <c r="C86" s="138" t="s">
        <v>59</v>
      </c>
      <c r="D86" s="142"/>
      <c r="E86" s="142"/>
      <c r="F86" s="143">
        <f t="shared" ref="F86" si="75">F77-F74</f>
        <v>0</v>
      </c>
      <c r="G86" s="143">
        <f>G77-G74</f>
        <v>9.6289999999999978</v>
      </c>
      <c r="H86" s="143">
        <f t="shared" ref="H86" si="76">H77-H74</f>
        <v>9.384999999999998</v>
      </c>
      <c r="I86" s="143">
        <f>I77-I74</f>
        <v>13.61849999999999</v>
      </c>
      <c r="J86" s="143" t="e">
        <f>J77-J74</f>
        <v>#DIV/0!</v>
      </c>
      <c r="K86" s="143">
        <f t="shared" ref="K86:M86" si="77">K77-K74</f>
        <v>13.11</v>
      </c>
      <c r="L86" s="143">
        <f t="shared" si="77"/>
        <v>13.435000000000002</v>
      </c>
      <c r="M86" s="143">
        <f t="shared" si="77"/>
        <v>13.344999999999999</v>
      </c>
      <c r="N86" s="143">
        <f>N77-N74</f>
        <v>14.229999999999997</v>
      </c>
      <c r="O86" s="143">
        <f>O77-O74</f>
        <v>15.6</v>
      </c>
      <c r="P86" s="143">
        <f>P77-P74</f>
        <v>11.099999999999998</v>
      </c>
      <c r="Q86" s="143">
        <f>Q77-Q74</f>
        <v>11.711052631578951</v>
      </c>
      <c r="R86" s="143">
        <f t="shared" ref="R86:AG86" si="78">R77-R74</f>
        <v>12.238181818181829</v>
      </c>
      <c r="S86" s="143">
        <f t="shared" si="78"/>
        <v>10.5</v>
      </c>
      <c r="T86" s="143">
        <f>T77-T74</f>
        <v>10.901428571428582</v>
      </c>
      <c r="U86" s="143">
        <f t="shared" si="78"/>
        <v>11.899999999999999</v>
      </c>
      <c r="V86" s="143">
        <f t="shared" si="78"/>
        <v>11.920499999999997</v>
      </c>
      <c r="W86" s="143">
        <f t="shared" si="78"/>
        <v>9.8163636363636471</v>
      </c>
      <c r="X86" s="143">
        <f t="shared" si="78"/>
        <v>11.200000000000003</v>
      </c>
      <c r="Y86" s="143">
        <f t="shared" si="78"/>
        <v>11.799999999999997</v>
      </c>
      <c r="Z86" s="361"/>
      <c r="AA86" s="361"/>
      <c r="AB86" s="143">
        <f t="shared" si="78"/>
        <v>12.5</v>
      </c>
      <c r="AC86" s="353">
        <f t="shared" si="78"/>
        <v>13.149999999999999</v>
      </c>
      <c r="AD86" s="321">
        <f t="shared" si="78"/>
        <v>11.683078149920259</v>
      </c>
      <c r="AE86" s="260">
        <f t="shared" si="78"/>
        <v>11.100476190476193</v>
      </c>
      <c r="AF86" s="260">
        <f t="shared" si="78"/>
        <v>10.978954545454549</v>
      </c>
      <c r="AG86" s="260">
        <f t="shared" si="78"/>
        <v>12.483333333333334</v>
      </c>
      <c r="AH86" s="334">
        <f t="shared" si="65"/>
        <v>11.561460554796083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</row>
    <row r="87" spans="1:358" ht="19.5" customHeight="1">
      <c r="A87" s="345" t="s">
        <v>60</v>
      </c>
      <c r="B87" s="138" t="s">
        <v>60</v>
      </c>
      <c r="C87" s="138" t="s">
        <v>60</v>
      </c>
      <c r="D87" s="142"/>
      <c r="E87" s="142"/>
      <c r="F87" s="143">
        <f t="shared" ref="F87" si="79">F78-F74</f>
        <v>0</v>
      </c>
      <c r="G87" s="143">
        <f>G78-G74</f>
        <v>8.8899999999999935</v>
      </c>
      <c r="H87" s="143">
        <f t="shared" ref="H87" si="80">H78-H74</f>
        <v>9.4255263157894831</v>
      </c>
      <c r="I87" s="143">
        <f>I78-I74</f>
        <v>14.103000000000002</v>
      </c>
      <c r="J87" s="143" t="e">
        <f>J78-J74</f>
        <v>#DIV/0!</v>
      </c>
      <c r="K87" s="143">
        <f t="shared" ref="K87:M87" si="81">K78-K74</f>
        <v>13.350000000000001</v>
      </c>
      <c r="L87" s="143">
        <f t="shared" si="81"/>
        <v>13.75</v>
      </c>
      <c r="M87" s="143">
        <f t="shared" si="81"/>
        <v>13.07</v>
      </c>
      <c r="N87" s="143">
        <f>N78-N74</f>
        <v>14.030000000000001</v>
      </c>
      <c r="O87" s="143">
        <f>O78-O74</f>
        <v>14.15</v>
      </c>
      <c r="P87" s="143">
        <f>P78-P74</f>
        <v>9.34</v>
      </c>
      <c r="Q87" s="143">
        <f>Q78-Q74</f>
        <v>9.1599999999999966</v>
      </c>
      <c r="R87" s="143">
        <f t="shared" ref="R87:AG87" si="82">R78-R74</f>
        <v>10.375909090909097</v>
      </c>
      <c r="S87" s="143">
        <f t="shared" si="82"/>
        <v>9.0499999999999972</v>
      </c>
      <c r="T87" s="143">
        <f>T78-T74</f>
        <v>10.58333333333335</v>
      </c>
      <c r="U87" s="143">
        <f t="shared" si="82"/>
        <v>11.699999999999996</v>
      </c>
      <c r="V87" s="143">
        <f t="shared" si="82"/>
        <v>11.815499999999979</v>
      </c>
      <c r="W87" s="143">
        <f t="shared" si="82"/>
        <v>9.7731818181818184</v>
      </c>
      <c r="X87" s="143">
        <f t="shared" si="82"/>
        <v>11</v>
      </c>
      <c r="Y87" s="143">
        <f t="shared" si="82"/>
        <v>11.299999999999997</v>
      </c>
      <c r="Z87" s="361"/>
      <c r="AA87" s="361"/>
      <c r="AB87" s="143">
        <f t="shared" si="82"/>
        <v>11.799999999999997</v>
      </c>
      <c r="AC87" s="353">
        <f t="shared" si="82"/>
        <v>12.25</v>
      </c>
      <c r="AD87" s="321">
        <f t="shared" si="82"/>
        <v>9.6253030303030336</v>
      </c>
      <c r="AE87" s="260">
        <f t="shared" si="82"/>
        <v>10.44444444444445</v>
      </c>
      <c r="AF87" s="260">
        <f t="shared" si="82"/>
        <v>10.862893939393935</v>
      </c>
      <c r="AG87" s="260">
        <f t="shared" si="82"/>
        <v>11.783333333333331</v>
      </c>
      <c r="AH87" s="334">
        <f t="shared" si="65"/>
        <v>10.678993686868687</v>
      </c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</row>
    <row r="88" spans="1:358" ht="19.5" customHeight="1">
      <c r="A88" s="345" t="s">
        <v>61</v>
      </c>
      <c r="B88" s="138" t="s">
        <v>61</v>
      </c>
      <c r="C88" s="138" t="s">
        <v>61</v>
      </c>
      <c r="D88" s="142"/>
      <c r="E88" s="142"/>
      <c r="F88" s="143">
        <f>F61</f>
        <v>0</v>
      </c>
      <c r="G88" s="143">
        <f>G79-G74</f>
        <v>-7.432040078740151</v>
      </c>
      <c r="H88" s="143">
        <f t="shared" ref="H88:I88" si="83">H79-H74</f>
        <v>-8.9503004558640669</v>
      </c>
      <c r="I88" s="143">
        <f t="shared" si="83"/>
        <v>-7.8993307086614237</v>
      </c>
      <c r="J88" s="143">
        <f>J61</f>
        <v>0</v>
      </c>
      <c r="K88" s="143">
        <f>K61</f>
        <v>-8.1550000000000011</v>
      </c>
      <c r="L88" s="143">
        <f>L61</f>
        <v>-8.1550000000000011</v>
      </c>
      <c r="M88" s="143">
        <f>M61</f>
        <v>-8.33</v>
      </c>
      <c r="N88" s="143">
        <f>N61</f>
        <v>-6.9175000000000004</v>
      </c>
      <c r="O88" s="143">
        <f t="shared" ref="O88:AC88" si="84">O62</f>
        <v>-6.7333333333333334</v>
      </c>
      <c r="P88" s="143">
        <f t="shared" si="84"/>
        <v>-3.13</v>
      </c>
      <c r="Q88" s="143">
        <f t="shared" si="84"/>
        <v>-5.08</v>
      </c>
      <c r="R88" s="143">
        <f t="shared" si="84"/>
        <v>-7.3010164638511021</v>
      </c>
      <c r="S88" s="143">
        <f t="shared" si="84"/>
        <v>-8.77</v>
      </c>
      <c r="T88" s="143">
        <f t="shared" si="84"/>
        <v>-9.0720209973753256</v>
      </c>
      <c r="U88" s="143">
        <f t="shared" si="84"/>
        <v>-8.8000000000000007</v>
      </c>
      <c r="V88" s="143">
        <f t="shared" si="84"/>
        <v>-4.3456023622047368</v>
      </c>
      <c r="W88" s="143">
        <f t="shared" si="84"/>
        <v>-5.5233894058697146</v>
      </c>
      <c r="X88" s="143">
        <f t="shared" si="84"/>
        <v>-4</v>
      </c>
      <c r="Y88" s="143">
        <f t="shared" si="84"/>
        <v>-5.5</v>
      </c>
      <c r="Z88" s="143"/>
      <c r="AA88" s="143"/>
      <c r="AB88" s="143">
        <f t="shared" si="84"/>
        <v>-6</v>
      </c>
      <c r="AC88" s="353">
        <f t="shared" si="84"/>
        <v>-6.5</v>
      </c>
      <c r="AD88" s="365">
        <f>AD61</f>
        <v>-5.1703388212837007</v>
      </c>
      <c r="AE88" s="260">
        <f>AE61</f>
        <v>-8.7422592062355839</v>
      </c>
      <c r="AF88" s="260">
        <f>AF79-AF74</f>
        <v>202.7747121212121</v>
      </c>
      <c r="AG88" s="358">
        <f>AG79-AG74</f>
        <v>206.21666666666664</v>
      </c>
      <c r="AH88" s="334">
        <f t="shared" si="65"/>
        <v>-6.168502435775074</v>
      </c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</row>
    <row r="89" spans="1:358" ht="36.75" customHeight="1" thickBot="1">
      <c r="A89" s="346" t="s">
        <v>62</v>
      </c>
      <c r="B89" s="347" t="s">
        <v>62</v>
      </c>
      <c r="C89" s="347" t="s">
        <v>62</v>
      </c>
      <c r="D89" s="348"/>
      <c r="E89" s="348"/>
      <c r="F89" s="349">
        <f t="shared" ref="F89" si="85">F70</f>
        <v>0</v>
      </c>
      <c r="G89" s="349">
        <f>G70</f>
        <v>0</v>
      </c>
      <c r="H89" s="349">
        <f t="shared" ref="H89" si="86">H70</f>
        <v>0</v>
      </c>
      <c r="I89" s="349">
        <f>I70</f>
        <v>0</v>
      </c>
      <c r="J89" s="349" t="e">
        <f>J70</f>
        <v>#DIV/0!</v>
      </c>
      <c r="K89" s="349">
        <f t="shared" ref="K89:M89" si="87">K70</f>
        <v>1.2</v>
      </c>
      <c r="L89" s="349">
        <f t="shared" si="87"/>
        <v>1.5</v>
      </c>
      <c r="M89" s="349">
        <f t="shared" si="87"/>
        <v>1.625</v>
      </c>
      <c r="N89" s="349">
        <f>N80-N74</f>
        <v>1.6000000000000014</v>
      </c>
      <c r="O89" s="349">
        <f>O80-O74</f>
        <v>2.0666666666666669</v>
      </c>
      <c r="P89" s="349">
        <f>P80-P74</f>
        <v>3.5</v>
      </c>
      <c r="Q89" s="349">
        <f>Q80-Q74</f>
        <v>3.1799999999999997</v>
      </c>
      <c r="R89" s="349">
        <f t="shared" ref="R89:AG89" si="88">R80-R74</f>
        <v>3.3497727272727289</v>
      </c>
      <c r="S89" s="349">
        <f t="shared" si="88"/>
        <v>2.4500000000000028</v>
      </c>
      <c r="T89" s="349">
        <f>T80-T74</f>
        <v>2.6066785714285672</v>
      </c>
      <c r="U89" s="349">
        <f t="shared" si="88"/>
        <v>2.1000000000000014</v>
      </c>
      <c r="V89" s="349">
        <f t="shared" si="88"/>
        <v>2.6369285714285553</v>
      </c>
      <c r="W89" s="349">
        <f t="shared" si="88"/>
        <v>2.0693181818181827</v>
      </c>
      <c r="X89" s="349">
        <f t="shared" si="88"/>
        <v>2.7000000000000028</v>
      </c>
      <c r="Y89" s="349">
        <f t="shared" si="88"/>
        <v>2.6000000000000014</v>
      </c>
      <c r="Z89" s="362"/>
      <c r="AA89" s="362"/>
      <c r="AB89" s="349">
        <f t="shared" si="88"/>
        <v>2.7000000000000028</v>
      </c>
      <c r="AC89" s="354">
        <f t="shared" si="88"/>
        <v>2.7999999999999972</v>
      </c>
      <c r="AD89" s="351">
        <f>AD80-AD74</f>
        <v>3.3432575757575727</v>
      </c>
      <c r="AE89" s="352">
        <f>AE80-AE74</f>
        <v>2.3855595238095191</v>
      </c>
      <c r="AF89" s="352">
        <f>AF80-AF74</f>
        <v>2.4687489177489113</v>
      </c>
      <c r="AG89" s="352">
        <f t="shared" si="88"/>
        <v>2.7000000000000028</v>
      </c>
      <c r="AH89" s="342">
        <f t="shared" si="65"/>
        <v>2.7243915043290037</v>
      </c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</row>
    <row r="90" spans="1:358">
      <c r="A90" s="426"/>
      <c r="B90" s="276"/>
      <c r="C90" s="276"/>
      <c r="D90" s="152"/>
      <c r="E90" s="152"/>
      <c r="F90" s="277"/>
      <c r="G90" s="277"/>
      <c r="H90" s="277"/>
      <c r="I90" s="277"/>
      <c r="J90" s="278"/>
      <c r="K90" s="277"/>
      <c r="L90" s="277"/>
      <c r="M90" s="277"/>
      <c r="N90" s="277"/>
      <c r="O90" s="277"/>
      <c r="P90" s="277"/>
      <c r="Q90" s="277"/>
      <c r="R90" s="279"/>
      <c r="S90" s="279"/>
      <c r="T90" s="279"/>
      <c r="U90" s="279"/>
      <c r="V90" s="279"/>
      <c r="W90" s="279"/>
      <c r="X90" s="279"/>
      <c r="Y90" s="279"/>
      <c r="Z90" s="280"/>
      <c r="AA90" s="280"/>
      <c r="AB90" s="279"/>
      <c r="AC90" s="279"/>
      <c r="AD90" s="279"/>
      <c r="AE90" s="279"/>
      <c r="AF90" s="279"/>
      <c r="AG90" s="279"/>
      <c r="AH90" s="7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</row>
    <row r="91" spans="1:358" ht="111" hidden="1">
      <c r="A91" s="426"/>
      <c r="B91" s="281"/>
      <c r="C91" s="281"/>
      <c r="D91" s="282"/>
      <c r="E91" s="282"/>
      <c r="F91" s="283" t="s">
        <v>4</v>
      </c>
      <c r="G91" s="283" t="s">
        <v>5</v>
      </c>
      <c r="H91" s="283" t="s">
        <v>6</v>
      </c>
      <c r="I91" s="283" t="s">
        <v>7</v>
      </c>
      <c r="J91" s="284"/>
      <c r="K91" s="283" t="s">
        <v>9</v>
      </c>
      <c r="L91" s="283" t="s">
        <v>9</v>
      </c>
      <c r="M91" s="283" t="s">
        <v>70</v>
      </c>
      <c r="N91" s="283" t="s">
        <v>12</v>
      </c>
      <c r="O91" s="283" t="s">
        <v>13</v>
      </c>
      <c r="P91" s="283" t="s">
        <v>13</v>
      </c>
      <c r="Q91" s="283" t="s">
        <v>13</v>
      </c>
      <c r="R91" s="283"/>
      <c r="S91" s="283"/>
      <c r="T91" s="283"/>
      <c r="U91" s="283"/>
      <c r="V91" s="283" t="s">
        <v>17</v>
      </c>
      <c r="W91" s="286"/>
      <c r="X91" s="286"/>
      <c r="Y91" s="286"/>
      <c r="Z91" s="285"/>
      <c r="AA91" s="285"/>
      <c r="AB91" s="286"/>
      <c r="AC91" s="286"/>
      <c r="AD91" s="283" t="s">
        <v>55</v>
      </c>
      <c r="AE91" s="283" t="s">
        <v>55</v>
      </c>
      <c r="AF91" s="283"/>
      <c r="AG91" s="283" t="s">
        <v>55</v>
      </c>
      <c r="AH91" s="7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</row>
    <row r="92" spans="1:358" hidden="1">
      <c r="A92" s="426"/>
      <c r="B92" s="287">
        <v>0.03</v>
      </c>
      <c r="C92" s="287">
        <v>0.03</v>
      </c>
      <c r="D92" s="288"/>
      <c r="E92" s="288"/>
      <c r="F92" s="289">
        <f>$B$92*$J$92</f>
        <v>-0.6</v>
      </c>
      <c r="G92" s="289">
        <f>$B$92*$J$92</f>
        <v>-0.6</v>
      </c>
      <c r="H92" s="289">
        <f>$B$92*$J$92</f>
        <v>-0.6</v>
      </c>
      <c r="I92" s="289">
        <f>$B$92*$J$92</f>
        <v>-0.6</v>
      </c>
      <c r="J92" s="290">
        <v>-20</v>
      </c>
      <c r="K92" s="289">
        <f t="shared" ref="K92:P92" si="89">$B$92*$J$92</f>
        <v>-0.6</v>
      </c>
      <c r="L92" s="289">
        <f t="shared" si="89"/>
        <v>-0.6</v>
      </c>
      <c r="M92" s="289">
        <f t="shared" si="89"/>
        <v>-0.6</v>
      </c>
      <c r="N92" s="289">
        <f t="shared" si="89"/>
        <v>-0.6</v>
      </c>
      <c r="O92" s="289">
        <f t="shared" si="89"/>
        <v>-0.6</v>
      </c>
      <c r="P92" s="289">
        <f t="shared" si="89"/>
        <v>-0.6</v>
      </c>
      <c r="Q92" s="289">
        <f>$B$92*$J$92</f>
        <v>-0.6</v>
      </c>
      <c r="R92" s="291"/>
      <c r="S92" s="291"/>
      <c r="T92" s="291"/>
      <c r="U92" s="291"/>
      <c r="V92" s="291">
        <v>0.94499999999999995</v>
      </c>
      <c r="W92" s="291"/>
      <c r="X92" s="291"/>
      <c r="Y92" s="291"/>
      <c r="Z92" s="292"/>
      <c r="AA92" s="292"/>
      <c r="AB92" s="291"/>
      <c r="AC92" s="291"/>
      <c r="AD92" s="289">
        <f>$B$92*$J$92</f>
        <v>-0.6</v>
      </c>
      <c r="AE92" s="289">
        <f>$B$92*$J$92</f>
        <v>-0.6</v>
      </c>
      <c r="AF92" s="289"/>
      <c r="AG92" s="289">
        <f>$B$92*$J$92</f>
        <v>-0.6</v>
      </c>
      <c r="AH92" s="7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</row>
    <row r="93" spans="1:358" hidden="1">
      <c r="A93" s="426"/>
      <c r="B93" s="287">
        <v>0.03</v>
      </c>
      <c r="C93" s="287">
        <v>0.03</v>
      </c>
      <c r="D93" s="288"/>
      <c r="E93" s="288"/>
      <c r="F93" s="289">
        <f t="shared" ref="F93:I96" si="90">$B93*(F75-F$74-1.7)</f>
        <v>-5.0999999999999997E-2</v>
      </c>
      <c r="G93" s="289">
        <f t="shared" si="90"/>
        <v>-0.14202300000000007</v>
      </c>
      <c r="H93" s="289">
        <f t="shared" si="90"/>
        <v>-0.10879736842105259</v>
      </c>
      <c r="I93" s="289">
        <f t="shared" si="90"/>
        <v>-8.1000000000004332E-3</v>
      </c>
      <c r="J93" s="290"/>
      <c r="K93" s="289" t="e">
        <f t="shared" ref="K93:P96" si="91">$B93*(K75-K$74-1.7)</f>
        <v>#REF!</v>
      </c>
      <c r="L93" s="289" t="e">
        <f t="shared" si="91"/>
        <v>#REF!</v>
      </c>
      <c r="M93" s="289">
        <f t="shared" si="91"/>
        <v>-8.2500000000000837E-3</v>
      </c>
      <c r="N93" s="289">
        <f t="shared" si="91"/>
        <v>6.5249999999999989E-2</v>
      </c>
      <c r="O93" s="289">
        <f t="shared" si="91"/>
        <v>0.129</v>
      </c>
      <c r="P93" s="289">
        <f t="shared" si="91"/>
        <v>0.24269999999999989</v>
      </c>
      <c r="Q93" s="289">
        <f>$B93*(Q75-Q$74-1.7)</f>
        <v>8.6257894736842158E-2</v>
      </c>
      <c r="R93" s="291"/>
      <c r="S93" s="291"/>
      <c r="T93" s="291"/>
      <c r="U93" s="291"/>
      <c r="V93" s="291" t="e">
        <v>#REF!</v>
      </c>
      <c r="W93" s="291"/>
      <c r="X93" s="291"/>
      <c r="Y93" s="291"/>
      <c r="Z93" s="292"/>
      <c r="AA93" s="292"/>
      <c r="AB93" s="291"/>
      <c r="AC93" s="291"/>
      <c r="AD93" s="289">
        <f t="shared" ref="AD93:AG96" si="92">$B93*(AD75-AD$74-1.7)</f>
        <v>0.13127535885167471</v>
      </c>
      <c r="AE93" s="289">
        <f t="shared" si="92"/>
        <v>-2.8019047619047496E-2</v>
      </c>
      <c r="AF93" s="289"/>
      <c r="AG93" s="289">
        <f t="shared" si="92"/>
        <v>-5.9999999999999915E-2</v>
      </c>
      <c r="AH93" s="7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</row>
    <row r="94" spans="1:358" hidden="1">
      <c r="A94" s="426"/>
      <c r="B94" s="287">
        <v>0.16</v>
      </c>
      <c r="C94" s="287">
        <v>0.16</v>
      </c>
      <c r="D94" s="288"/>
      <c r="E94" s="288"/>
      <c r="F94" s="289">
        <f t="shared" si="90"/>
        <v>-0.27200000000000002</v>
      </c>
      <c r="G94" s="289">
        <f t="shared" si="90"/>
        <v>2.8906079999999994</v>
      </c>
      <c r="H94" s="289">
        <f t="shared" si="90"/>
        <v>2.6582315789473734</v>
      </c>
      <c r="I94" s="289">
        <f t="shared" si="90"/>
        <v>2.9057599999999999</v>
      </c>
      <c r="J94" s="290"/>
      <c r="K94" s="289">
        <f t="shared" si="91"/>
        <v>2.3652000000000006</v>
      </c>
      <c r="L94" s="289">
        <f t="shared" si="91"/>
        <v>2.4879999999999991</v>
      </c>
      <c r="M94" s="289">
        <f t="shared" si="91"/>
        <v>2.3475999999999995</v>
      </c>
      <c r="N94" s="289">
        <f t="shared" si="91"/>
        <v>2.258</v>
      </c>
      <c r="O94" s="289">
        <f t="shared" si="91"/>
        <v>2.528</v>
      </c>
      <c r="P94" s="289">
        <f t="shared" si="91"/>
        <v>3.5056000000000007</v>
      </c>
      <c r="Q94" s="289">
        <f>$B94*(Q76-Q$74-1.7)</f>
        <v>2.1612631578947372</v>
      </c>
      <c r="R94" s="291"/>
      <c r="S94" s="291"/>
      <c r="T94" s="291"/>
      <c r="U94" s="291"/>
      <c r="V94" s="291" t="e">
        <v>#REF!</v>
      </c>
      <c r="W94" s="291"/>
      <c r="X94" s="291"/>
      <c r="Y94" s="291"/>
      <c r="Z94" s="292"/>
      <c r="AA94" s="292"/>
      <c r="AB94" s="291"/>
      <c r="AC94" s="291"/>
      <c r="AD94" s="289">
        <f t="shared" si="92"/>
        <v>2.7385543859649126</v>
      </c>
      <c r="AE94" s="289">
        <f t="shared" si="92"/>
        <v>2.0456888888888893</v>
      </c>
      <c r="AF94" s="289"/>
      <c r="AG94" s="289">
        <f t="shared" si="92"/>
        <v>1.5572552121212124</v>
      </c>
      <c r="AH94" s="7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</row>
    <row r="95" spans="1:358" hidden="1">
      <c r="A95" s="252"/>
      <c r="B95" s="287">
        <v>0.15</v>
      </c>
      <c r="C95" s="287">
        <v>0.15</v>
      </c>
      <c r="D95" s="288"/>
      <c r="E95" s="288"/>
      <c r="F95" s="289">
        <f t="shared" si="90"/>
        <v>-0.255</v>
      </c>
      <c r="G95" s="289">
        <f t="shared" si="90"/>
        <v>1.1893499999999997</v>
      </c>
      <c r="H95" s="289">
        <f t="shared" si="90"/>
        <v>1.1527499999999997</v>
      </c>
      <c r="I95" s="289">
        <f t="shared" si="90"/>
        <v>1.7877749999999986</v>
      </c>
      <c r="J95" s="290"/>
      <c r="K95" s="289">
        <f t="shared" si="91"/>
        <v>1.7115</v>
      </c>
      <c r="L95" s="289">
        <f t="shared" si="91"/>
        <v>1.7602500000000003</v>
      </c>
      <c r="M95" s="289">
        <f t="shared" si="91"/>
        <v>1.7467499999999998</v>
      </c>
      <c r="N95" s="289">
        <f t="shared" si="91"/>
        <v>1.8794999999999995</v>
      </c>
      <c r="O95" s="289">
        <f t="shared" si="91"/>
        <v>2.085</v>
      </c>
      <c r="P95" s="289">
        <f t="shared" si="91"/>
        <v>1.4099999999999997</v>
      </c>
      <c r="Q95" s="289">
        <f>$B95*(Q77-Q$74-1.7)</f>
        <v>1.5016578947368429</v>
      </c>
      <c r="R95" s="291"/>
      <c r="S95" s="291"/>
      <c r="T95" s="291"/>
      <c r="U95" s="291"/>
      <c r="V95" s="291" t="e">
        <v>#REF!</v>
      </c>
      <c r="W95" s="291"/>
      <c r="X95" s="291"/>
      <c r="Y95" s="291"/>
      <c r="Z95" s="292"/>
      <c r="AA95" s="292"/>
      <c r="AB95" s="291"/>
      <c r="AC95" s="291"/>
      <c r="AD95" s="289">
        <f t="shared" si="92"/>
        <v>1.4974617224880389</v>
      </c>
      <c r="AE95" s="289">
        <f t="shared" si="92"/>
        <v>1.4100714285714291</v>
      </c>
      <c r="AF95" s="289"/>
      <c r="AG95" s="289">
        <f t="shared" si="92"/>
        <v>1.6175000000000002</v>
      </c>
      <c r="AH95" s="7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</row>
    <row r="96" spans="1:358" hidden="1">
      <c r="A96" s="252"/>
      <c r="B96" s="287">
        <v>0.39</v>
      </c>
      <c r="C96" s="287">
        <v>0.39</v>
      </c>
      <c r="D96" s="288"/>
      <c r="E96" s="288"/>
      <c r="F96" s="289">
        <f t="shared" si="90"/>
        <v>-0.66300000000000003</v>
      </c>
      <c r="G96" s="289">
        <f t="shared" si="90"/>
        <v>2.8040999999999974</v>
      </c>
      <c r="H96" s="289">
        <f t="shared" si="90"/>
        <v>3.0129552631578984</v>
      </c>
      <c r="I96" s="289">
        <f t="shared" si="90"/>
        <v>4.8371700000000013</v>
      </c>
      <c r="J96" s="290"/>
      <c r="K96" s="289">
        <f t="shared" si="91"/>
        <v>4.5435000000000008</v>
      </c>
      <c r="L96" s="289">
        <f t="shared" si="91"/>
        <v>4.6995000000000005</v>
      </c>
      <c r="M96" s="289">
        <f t="shared" si="91"/>
        <v>4.4343000000000004</v>
      </c>
      <c r="N96" s="289">
        <f t="shared" si="91"/>
        <v>4.8087000000000009</v>
      </c>
      <c r="O96" s="289">
        <f t="shared" si="91"/>
        <v>4.8555000000000001</v>
      </c>
      <c r="P96" s="289">
        <f t="shared" si="91"/>
        <v>2.9796</v>
      </c>
      <c r="Q96" s="289">
        <f>$B96*(Q78-Q$74-1.7)</f>
        <v>2.9093999999999989</v>
      </c>
      <c r="R96" s="291"/>
      <c r="S96" s="291"/>
      <c r="T96" s="291"/>
      <c r="U96" s="291"/>
      <c r="V96" s="291" t="e">
        <v>#REF!</v>
      </c>
      <c r="W96" s="291"/>
      <c r="X96" s="291"/>
      <c r="Y96" s="291"/>
      <c r="Z96" s="292"/>
      <c r="AA96" s="292"/>
      <c r="AB96" s="291"/>
      <c r="AC96" s="291"/>
      <c r="AD96" s="289">
        <f t="shared" si="92"/>
        <v>3.0908681818181831</v>
      </c>
      <c r="AE96" s="289">
        <f t="shared" si="92"/>
        <v>3.4103333333333361</v>
      </c>
      <c r="AF96" s="289"/>
      <c r="AG96" s="289">
        <f t="shared" si="92"/>
        <v>3.9324999999999997</v>
      </c>
      <c r="AH96" s="7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</row>
    <row r="97" spans="1:358" hidden="1">
      <c r="A97" s="252"/>
      <c r="B97" s="287">
        <v>0.12</v>
      </c>
      <c r="C97" s="287">
        <v>0.12</v>
      </c>
      <c r="D97" s="288"/>
      <c r="E97" s="288"/>
      <c r="F97" s="289">
        <f>$B$97*((F79/6.5)-(F$74-1.7))</f>
        <v>0.20399999999999999</v>
      </c>
      <c r="G97" s="289">
        <f>$B$97*((G79/6.5)-(G$74-1.7))</f>
        <v>-5.637637662992125</v>
      </c>
      <c r="H97" s="289">
        <f>$B$97*((H79/6.5)-(H$74-1.7))</f>
        <v>-4.8036857088208089</v>
      </c>
      <c r="I97" s="289">
        <f>$B$97*((I79/6.5)-(I$74-1.7))</f>
        <v>-4.5491414900060576</v>
      </c>
      <c r="J97" s="290"/>
      <c r="K97" s="289">
        <f t="shared" ref="K97:M97" si="93">$B$97*((K79/6.5)-(K$74-1.7))</f>
        <v>-0.88577076923076925</v>
      </c>
      <c r="L97" s="289">
        <f t="shared" si="93"/>
        <v>-0.88175538461538472</v>
      </c>
      <c r="M97" s="289">
        <f t="shared" si="93"/>
        <v>-0.90721384615384548</v>
      </c>
      <c r="N97" s="289">
        <f>$B$97*((N79/6.5)-(N$74-1.7))</f>
        <v>-0.73502076923076998</v>
      </c>
      <c r="O97" s="289">
        <f>$B$97*((O79/6.5)-(O$74-1.7))</f>
        <v>-0.58535384615384611</v>
      </c>
      <c r="P97" s="289">
        <f>$B$97*((P79/6.5)-(P$74-1.7))</f>
        <v>-0.23717538461538468</v>
      </c>
      <c r="Q97" s="289">
        <f>$B$97*((Q79/6.5)-(Q$74-1.7))</f>
        <v>-0.47267805668016233</v>
      </c>
      <c r="R97" s="291"/>
      <c r="S97" s="291"/>
      <c r="T97" s="291"/>
      <c r="U97" s="291"/>
      <c r="V97" s="291" t="e">
        <v>#REF!</v>
      </c>
      <c r="W97" s="291"/>
      <c r="X97" s="291"/>
      <c r="Y97" s="291"/>
      <c r="Z97" s="292"/>
      <c r="AA97" s="292"/>
      <c r="AB97" s="291"/>
      <c r="AC97" s="291"/>
      <c r="AD97" s="289">
        <f t="shared" ref="AD97:AG97" si="94">$B$97*((AD79/6.5)-(AD$74-1.7))</f>
        <v>-0.48635767390504225</v>
      </c>
      <c r="AE97" s="289">
        <f t="shared" si="94"/>
        <v>-0.9568099633699626</v>
      </c>
      <c r="AF97" s="289"/>
      <c r="AG97" s="289">
        <f t="shared" si="94"/>
        <v>-0.62584615384615372</v>
      </c>
      <c r="AH97" s="7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</row>
    <row r="98" spans="1:358" hidden="1">
      <c r="A98" s="252"/>
      <c r="B98" s="287">
        <v>0.03</v>
      </c>
      <c r="C98" s="287">
        <v>0.03</v>
      </c>
      <c r="D98" s="288"/>
      <c r="E98" s="288"/>
      <c r="F98" s="289">
        <f>$B98*(F81-F$74-1.7)</f>
        <v>-5.0999999999999997E-2</v>
      </c>
      <c r="G98" s="289">
        <f>$B98*(G81-G$74-1.7)</f>
        <v>-1.7363999999999999</v>
      </c>
      <c r="H98" s="289">
        <f>$B98*(H81-H$74-1.7)</f>
        <v>-1.4817236842105261</v>
      </c>
      <c r="I98" s="289">
        <f>$B98*(I81-I$74-1.7)</f>
        <v>-1.4122500000000002</v>
      </c>
      <c r="J98" s="290"/>
      <c r="K98" s="289">
        <f t="shared" ref="K98:M98" si="95">$B98*(K81-K$74-1.7)</f>
        <v>-1.5</v>
      </c>
      <c r="L98" s="289">
        <f t="shared" si="95"/>
        <v>-1.4565000000000001</v>
      </c>
      <c r="M98" s="289">
        <f t="shared" si="95"/>
        <v>-1.5100499999999999</v>
      </c>
      <c r="N98" s="289">
        <f>$B98*(N81-N$74-1.7)</f>
        <v>-1.4385000000000001</v>
      </c>
      <c r="O98" s="289">
        <f>$B98*(O81-O$74-1.7)</f>
        <v>-5.0999999999999997E-2</v>
      </c>
      <c r="P98" s="289">
        <f>$B98*(P81-P$74-1.7)</f>
        <v>-0.85529999999999995</v>
      </c>
      <c r="Q98" s="289">
        <f>$B98*(Q81-Q$74-1.7)</f>
        <v>-0.93007894736842101</v>
      </c>
      <c r="R98" s="291"/>
      <c r="S98" s="291"/>
      <c r="T98" s="291"/>
      <c r="U98" s="291"/>
      <c r="V98" s="291" t="e">
        <v>#REF!</v>
      </c>
      <c r="W98" s="291"/>
      <c r="X98" s="291"/>
      <c r="Y98" s="291"/>
      <c r="Z98" s="292"/>
      <c r="AA98" s="292"/>
      <c r="AB98" s="291"/>
      <c r="AC98" s="291"/>
      <c r="AD98" s="289">
        <f t="shared" ref="AD98:AG98" si="96">$B98*(AD81-AD$74-1.7)</f>
        <v>-0.96354449760765526</v>
      </c>
      <c r="AE98" s="289">
        <f t="shared" si="96"/>
        <v>-1.3479857142857143</v>
      </c>
      <c r="AF98" s="289"/>
      <c r="AG98" s="289">
        <f t="shared" si="96"/>
        <v>-1.421</v>
      </c>
      <c r="AH98" s="7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</row>
    <row r="99" spans="1:358" hidden="1">
      <c r="A99" s="252"/>
      <c r="B99" s="287">
        <v>0.09</v>
      </c>
      <c r="C99" s="287">
        <v>0.09</v>
      </c>
      <c r="D99" s="288"/>
      <c r="E99" s="288"/>
      <c r="F99" s="289"/>
      <c r="G99" s="289"/>
      <c r="H99" s="289"/>
      <c r="I99" s="289"/>
      <c r="J99" s="290"/>
      <c r="K99" s="289"/>
      <c r="L99" s="289"/>
      <c r="M99" s="289"/>
      <c r="N99" s="289"/>
      <c r="O99" s="289"/>
      <c r="P99" s="289"/>
      <c r="Q99" s="289"/>
      <c r="R99" s="291"/>
      <c r="S99" s="291"/>
      <c r="T99" s="291"/>
      <c r="U99" s="291"/>
      <c r="V99" s="291"/>
      <c r="W99" s="291"/>
      <c r="X99" s="291"/>
      <c r="Y99" s="291"/>
      <c r="Z99" s="292"/>
      <c r="AA99" s="292"/>
      <c r="AB99" s="291"/>
      <c r="AC99" s="291"/>
      <c r="AD99" s="289"/>
      <c r="AE99" s="289"/>
      <c r="AF99" s="289"/>
      <c r="AG99" s="289"/>
      <c r="AH99" s="7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</row>
    <row r="100" spans="1:358" hidden="1">
      <c r="A100" s="252"/>
      <c r="B100" s="293"/>
      <c r="C100" s="293"/>
      <c r="D100" s="294"/>
      <c r="E100" s="294"/>
      <c r="F100" s="289">
        <f>SUM(F92:F98)</f>
        <v>-1.6879999999999999</v>
      </c>
      <c r="G100" s="289">
        <f>SUM(G92:G98)</f>
        <v>-1.2320026629921286</v>
      </c>
      <c r="H100" s="289">
        <f t="shared" ref="H100" si="97">SUM(H92:H98)</f>
        <v>-0.17026991934711599</v>
      </c>
      <c r="I100" s="289">
        <f>SUM(I92:I98)</f>
        <v>2.9612135099939429</v>
      </c>
      <c r="J100" s="290"/>
      <c r="K100" s="289" t="e">
        <f t="shared" ref="K100:M100" si="98">SUM(K92:K98)</f>
        <v>#REF!</v>
      </c>
      <c r="L100" s="289" t="e">
        <f t="shared" si="98"/>
        <v>#REF!</v>
      </c>
      <c r="M100" s="289">
        <f t="shared" si="98"/>
        <v>5.503136153846155</v>
      </c>
      <c r="N100" s="289">
        <f>SUM(N92:N98)</f>
        <v>6.2379292307692298</v>
      </c>
      <c r="O100" s="289">
        <f>SUM(O92:O98)</f>
        <v>8.3611461538461516</v>
      </c>
      <c r="P100" s="289">
        <f>SUM(P92:P98)</f>
        <v>6.4454246153846162</v>
      </c>
      <c r="Q100" s="289">
        <f t="shared" ref="Q100" si="99">SUM(Q92:Q98)</f>
        <v>4.6558219433198378</v>
      </c>
      <c r="R100" s="291"/>
      <c r="S100" s="291"/>
      <c r="T100" s="291"/>
      <c r="U100" s="291"/>
      <c r="V100" s="291" t="e">
        <v>#REF!</v>
      </c>
      <c r="W100" s="291"/>
      <c r="X100" s="291"/>
      <c r="Y100" s="291"/>
      <c r="Z100" s="292"/>
      <c r="AA100" s="292"/>
      <c r="AB100" s="291"/>
      <c r="AC100" s="291"/>
      <c r="AD100" s="289">
        <f t="shared" ref="AD100:AG100" si="100">SUM(AD92:AD98)</f>
        <v>5.4082574776101122</v>
      </c>
      <c r="AE100" s="289">
        <f t="shared" si="100"/>
        <v>3.9332789255189295</v>
      </c>
      <c r="AF100" s="289"/>
      <c r="AG100" s="289">
        <f t="shared" si="100"/>
        <v>4.4004090582750583</v>
      </c>
      <c r="AH100" s="7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</row>
    <row r="101" spans="1:358">
      <c r="A101" s="252"/>
      <c r="B101" s="276"/>
      <c r="C101" s="276"/>
      <c r="D101" s="152"/>
      <c r="E101" s="152"/>
      <c r="F101" s="277"/>
      <c r="G101" s="277"/>
      <c r="H101" s="277"/>
      <c r="I101" s="277"/>
      <c r="J101" s="278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9"/>
      <c r="W101" s="279"/>
      <c r="X101" s="279"/>
      <c r="Y101" s="279"/>
      <c r="Z101" s="280"/>
      <c r="AA101" s="280"/>
      <c r="AB101" s="279"/>
      <c r="AC101" s="279"/>
      <c r="AD101" s="279"/>
      <c r="AE101" s="279"/>
      <c r="AF101" s="279"/>
      <c r="AG101" s="279"/>
      <c r="AH101" s="7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</row>
    <row r="102" spans="1:358">
      <c r="A102" s="252"/>
      <c r="B102" s="276"/>
      <c r="C102" s="276"/>
      <c r="D102" s="152"/>
      <c r="E102" s="152"/>
      <c r="F102" s="277"/>
      <c r="G102" s="277"/>
      <c r="H102" s="277"/>
      <c r="I102" s="277"/>
      <c r="J102" s="278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9"/>
      <c r="W102" s="279"/>
      <c r="X102" s="279"/>
      <c r="Y102" s="279"/>
      <c r="Z102" s="280"/>
      <c r="AA102" s="280"/>
      <c r="AB102" s="279"/>
      <c r="AC102" s="279"/>
      <c r="AD102" s="279"/>
      <c r="AE102" s="279"/>
      <c r="AF102" s="279"/>
      <c r="AG102" s="279"/>
      <c r="AH102" s="7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</row>
    <row r="103" spans="1:358">
      <c r="A103" s="252"/>
      <c r="B103" s="276"/>
      <c r="C103" s="276"/>
      <c r="D103" s="152"/>
      <c r="E103" s="152"/>
      <c r="F103" s="277"/>
      <c r="G103" s="277"/>
      <c r="H103" s="277"/>
      <c r="I103" s="277"/>
      <c r="J103" s="278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9"/>
      <c r="W103" s="279"/>
      <c r="X103" s="279"/>
      <c r="Y103" s="279"/>
      <c r="Z103" s="280"/>
      <c r="AA103" s="280"/>
      <c r="AB103" s="279"/>
      <c r="AC103" s="279"/>
      <c r="AD103" s="279"/>
      <c r="AE103" s="279"/>
      <c r="AF103" s="279"/>
      <c r="AG103" s="279"/>
      <c r="AH103" s="7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</row>
    <row r="104" spans="1:358">
      <c r="A104" s="295"/>
      <c r="B104" s="276"/>
      <c r="C104" s="276"/>
      <c r="D104" s="152"/>
      <c r="E104" s="152"/>
      <c r="F104" s="277"/>
      <c r="G104" s="277"/>
      <c r="H104" s="277"/>
      <c r="I104" s="277"/>
      <c r="J104" s="278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277"/>
      <c r="V104" s="279"/>
      <c r="W104" s="279"/>
      <c r="X104" s="279"/>
      <c r="Y104" s="279"/>
      <c r="Z104" s="280"/>
      <c r="AA104" s="280"/>
      <c r="AB104" s="279"/>
      <c r="AC104" s="279"/>
      <c r="AD104" s="279"/>
      <c r="AE104" s="279"/>
      <c r="AF104" s="279"/>
      <c r="AG104" s="279"/>
      <c r="AH104" s="7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</row>
    <row r="105" spans="1:358">
      <c r="A105" s="295"/>
      <c r="B105" s="276"/>
      <c r="C105" s="276"/>
      <c r="D105" s="152"/>
      <c r="E105" s="152"/>
      <c r="F105" s="277"/>
      <c r="G105" s="277"/>
      <c r="H105" s="277"/>
      <c r="I105" s="277"/>
      <c r="J105" s="278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9"/>
      <c r="W105" s="279"/>
      <c r="X105" s="279"/>
      <c r="Y105" s="279"/>
      <c r="Z105" s="280"/>
      <c r="AA105" s="280"/>
      <c r="AB105" s="279"/>
      <c r="AC105" s="279"/>
      <c r="AD105" s="279"/>
      <c r="AE105" s="279"/>
      <c r="AF105" s="279"/>
      <c r="AG105" s="279"/>
      <c r="AH105" s="7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</row>
    <row r="106" spans="1:358">
      <c r="A106" s="295"/>
      <c r="B106" s="276"/>
      <c r="C106" s="276"/>
      <c r="D106" s="152"/>
      <c r="E106" s="152"/>
      <c r="F106" s="277"/>
      <c r="G106" s="277"/>
      <c r="H106" s="277"/>
      <c r="I106" s="277"/>
      <c r="J106" s="278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277"/>
      <c r="V106" s="279"/>
      <c r="W106" s="279"/>
      <c r="X106" s="279"/>
      <c r="Y106" s="279"/>
      <c r="Z106" s="280"/>
      <c r="AA106" s="280"/>
      <c r="AB106" s="279"/>
      <c r="AC106" s="279"/>
      <c r="AD106" s="279"/>
      <c r="AE106" s="279"/>
      <c r="AF106" s="279"/>
      <c r="AG106" s="279"/>
      <c r="AH106" s="7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</row>
    <row r="107" spans="1:358">
      <c r="A107" s="295"/>
      <c r="B107" s="276"/>
      <c r="C107" s="276"/>
      <c r="D107" s="152"/>
      <c r="E107" s="152"/>
      <c r="F107" s="277"/>
      <c r="G107" s="277"/>
      <c r="H107" s="277"/>
      <c r="I107" s="277"/>
      <c r="J107" s="278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277"/>
      <c r="V107" s="279"/>
      <c r="W107" s="279"/>
      <c r="X107" s="279"/>
      <c r="Y107" s="279"/>
      <c r="Z107" s="280"/>
      <c r="AA107" s="280"/>
      <c r="AB107" s="279"/>
      <c r="AC107" s="279"/>
      <c r="AD107" s="279"/>
      <c r="AE107" s="279"/>
      <c r="AF107" s="279"/>
      <c r="AG107" s="279"/>
      <c r="AH107" s="7"/>
    </row>
    <row r="108" spans="1:358">
      <c r="A108" s="252"/>
      <c r="B108" s="276"/>
      <c r="C108" s="276"/>
      <c r="D108" s="152"/>
      <c r="E108" s="152"/>
      <c r="F108" s="277"/>
      <c r="G108" s="277"/>
      <c r="H108" s="277"/>
      <c r="I108" s="277"/>
      <c r="J108" s="278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9"/>
      <c r="W108" s="279"/>
      <c r="X108" s="279"/>
      <c r="Y108" s="279"/>
      <c r="Z108" s="280"/>
      <c r="AA108" s="280"/>
      <c r="AB108" s="279"/>
      <c r="AC108" s="279"/>
      <c r="AD108" s="279"/>
      <c r="AE108" s="279"/>
      <c r="AF108" s="279"/>
      <c r="AG108" s="279"/>
      <c r="AH108" s="7"/>
    </row>
    <row r="109" spans="1:358">
      <c r="A109" s="252"/>
      <c r="B109" s="276"/>
      <c r="C109" s="276"/>
      <c r="D109" s="152"/>
      <c r="E109" s="152"/>
      <c r="F109" s="277"/>
      <c r="G109" s="277"/>
      <c r="H109" s="277"/>
      <c r="I109" s="277"/>
      <c r="J109" s="278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9"/>
      <c r="W109" s="279"/>
      <c r="X109" s="279"/>
      <c r="Y109" s="279"/>
      <c r="Z109" s="280"/>
      <c r="AA109" s="280"/>
      <c r="AB109" s="279"/>
      <c r="AC109" s="279"/>
      <c r="AD109" s="279"/>
      <c r="AE109" s="279"/>
      <c r="AF109" s="279"/>
      <c r="AG109" s="279"/>
      <c r="AH109" s="7"/>
    </row>
    <row r="110" spans="1:358">
      <c r="A110" s="426"/>
      <c r="B110" s="276"/>
      <c r="C110" s="276"/>
      <c r="D110" s="152"/>
      <c r="E110" s="152"/>
      <c r="F110" s="277"/>
      <c r="G110" s="277"/>
      <c r="H110" s="277"/>
      <c r="I110" s="277"/>
      <c r="J110" s="278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9"/>
      <c r="W110" s="279"/>
      <c r="X110" s="279"/>
      <c r="Y110" s="279"/>
      <c r="Z110" s="280"/>
      <c r="AA110" s="280"/>
      <c r="AB110" s="279"/>
      <c r="AC110" s="279"/>
      <c r="AD110" s="279"/>
      <c r="AE110" s="279"/>
      <c r="AF110" s="279"/>
      <c r="AG110" s="279"/>
      <c r="AH110" s="7"/>
    </row>
    <row r="111" spans="1:358">
      <c r="A111" s="426"/>
      <c r="B111" s="276"/>
      <c r="C111" s="276"/>
      <c r="D111" s="152"/>
      <c r="E111" s="152"/>
      <c r="F111" s="277"/>
      <c r="G111" s="277"/>
      <c r="H111" s="277"/>
      <c r="I111" s="277"/>
      <c r="J111" s="278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9"/>
      <c r="W111" s="279"/>
      <c r="X111" s="279"/>
      <c r="Y111" s="279"/>
      <c r="Z111" s="280"/>
      <c r="AA111" s="280"/>
      <c r="AB111" s="279"/>
      <c r="AC111" s="279"/>
      <c r="AD111" s="279"/>
      <c r="AE111" s="279"/>
      <c r="AF111" s="279"/>
      <c r="AG111" s="279"/>
      <c r="AH111" s="7"/>
    </row>
    <row r="112" spans="1:358" s="1" customFormat="1">
      <c r="A112" s="252"/>
      <c r="B112" s="276"/>
      <c r="C112" s="276"/>
      <c r="D112" s="152"/>
      <c r="E112" s="152"/>
      <c r="F112" s="277"/>
      <c r="G112" s="277"/>
      <c r="H112" s="277"/>
      <c r="I112" s="277"/>
      <c r="J112" s="278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277"/>
      <c r="V112" s="279"/>
      <c r="W112" s="279"/>
      <c r="X112" s="279"/>
      <c r="Y112" s="279"/>
      <c r="Z112" s="280"/>
      <c r="AA112" s="280"/>
      <c r="AB112" s="279"/>
      <c r="AC112" s="279"/>
      <c r="AD112" s="279"/>
      <c r="AE112" s="279"/>
      <c r="AF112" s="279"/>
      <c r="AG112" s="279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52"/>
      <c r="AX112" s="152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  <c r="BK112" s="152"/>
      <c r="BL112" s="152"/>
      <c r="BM112" s="152"/>
      <c r="BN112" s="152"/>
      <c r="BO112" s="152"/>
      <c r="BP112" s="152"/>
      <c r="BQ112" s="152"/>
      <c r="BR112" s="152"/>
      <c r="BS112" s="152"/>
      <c r="BT112" s="152"/>
      <c r="BU112" s="152"/>
      <c r="BV112" s="152"/>
      <c r="BW112" s="152"/>
      <c r="BX112" s="152"/>
      <c r="BY112" s="152"/>
      <c r="BZ112" s="152"/>
      <c r="CA112" s="152"/>
      <c r="CB112" s="152"/>
      <c r="CC112" s="152"/>
      <c r="CD112" s="152"/>
      <c r="CE112" s="152"/>
      <c r="CF112" s="152"/>
      <c r="CG112" s="152"/>
      <c r="CH112" s="152"/>
      <c r="CI112" s="152"/>
      <c r="CJ112" s="152"/>
      <c r="CK112" s="152"/>
      <c r="CL112" s="152"/>
      <c r="CM112" s="152"/>
      <c r="CN112" s="152"/>
      <c r="CO112" s="152"/>
      <c r="CP112" s="152"/>
      <c r="CQ112" s="152"/>
      <c r="CR112" s="152"/>
      <c r="CS112" s="152"/>
      <c r="CT112" s="152"/>
      <c r="CU112" s="152"/>
      <c r="CV112" s="152"/>
      <c r="CW112" s="152"/>
      <c r="CX112" s="152"/>
      <c r="CY112" s="152"/>
      <c r="CZ112" s="152"/>
      <c r="DA112" s="152"/>
      <c r="DB112" s="152"/>
      <c r="DC112" s="152"/>
      <c r="DD112" s="152"/>
      <c r="DE112" s="152"/>
      <c r="DF112" s="152"/>
      <c r="DG112" s="152"/>
      <c r="DH112" s="152"/>
      <c r="DI112" s="152"/>
      <c r="DJ112" s="152"/>
      <c r="DK112" s="152"/>
      <c r="DL112" s="152"/>
      <c r="DM112" s="152"/>
      <c r="DN112" s="152"/>
      <c r="DO112" s="152"/>
      <c r="DP112" s="152"/>
      <c r="DQ112" s="152"/>
      <c r="DR112" s="152"/>
      <c r="DS112" s="152"/>
      <c r="DT112" s="152"/>
      <c r="DU112" s="152"/>
      <c r="DV112" s="152"/>
      <c r="DW112" s="152"/>
      <c r="DX112" s="152"/>
      <c r="DY112" s="152"/>
      <c r="DZ112" s="152"/>
      <c r="EA112" s="152"/>
      <c r="EB112" s="152"/>
      <c r="EC112" s="152"/>
      <c r="ED112" s="152"/>
      <c r="EE112" s="152"/>
      <c r="EF112" s="152"/>
      <c r="EG112" s="152"/>
      <c r="EH112" s="152"/>
      <c r="EI112" s="152"/>
      <c r="EJ112" s="152"/>
      <c r="EK112" s="152"/>
      <c r="EL112" s="152"/>
      <c r="EM112" s="152"/>
      <c r="EN112" s="152"/>
      <c r="EO112" s="152"/>
      <c r="EP112" s="152"/>
      <c r="EQ112" s="152"/>
      <c r="ER112" s="152"/>
      <c r="ES112" s="152"/>
      <c r="ET112" s="152"/>
      <c r="EU112" s="152"/>
      <c r="EV112" s="152"/>
      <c r="EW112" s="152"/>
      <c r="EX112" s="152"/>
      <c r="EY112" s="152"/>
      <c r="EZ112" s="152"/>
      <c r="FA112" s="152"/>
      <c r="FB112" s="152"/>
      <c r="FC112" s="152"/>
      <c r="FD112" s="152"/>
      <c r="FE112" s="152"/>
      <c r="FF112" s="152"/>
      <c r="FG112" s="152"/>
      <c r="FH112" s="152"/>
      <c r="FI112" s="152"/>
      <c r="FJ112" s="152"/>
      <c r="FK112" s="152"/>
      <c r="FL112" s="152"/>
      <c r="FM112" s="152"/>
      <c r="FN112" s="152"/>
      <c r="FO112" s="152"/>
      <c r="FP112" s="152"/>
      <c r="FQ112" s="152"/>
      <c r="FR112" s="152"/>
      <c r="FS112" s="152"/>
      <c r="FT112" s="152"/>
      <c r="FU112" s="152"/>
      <c r="FV112" s="152"/>
      <c r="FW112" s="152"/>
      <c r="FX112" s="152"/>
      <c r="FY112" s="152"/>
      <c r="FZ112" s="152"/>
      <c r="GA112" s="152"/>
      <c r="GB112" s="152"/>
      <c r="GC112" s="152"/>
      <c r="GD112" s="152"/>
      <c r="GE112" s="152"/>
      <c r="GF112" s="152"/>
      <c r="GG112" s="152"/>
      <c r="GH112" s="152"/>
      <c r="GI112" s="152"/>
      <c r="GJ112" s="152"/>
      <c r="GK112" s="152"/>
      <c r="GL112" s="152"/>
      <c r="GM112" s="152"/>
      <c r="GN112" s="152"/>
      <c r="GO112" s="152"/>
      <c r="GP112" s="152"/>
      <c r="GQ112" s="152"/>
      <c r="GR112" s="152"/>
      <c r="GS112" s="152"/>
      <c r="GT112" s="152"/>
      <c r="GU112" s="152"/>
      <c r="GV112" s="152"/>
      <c r="GW112" s="152"/>
      <c r="GX112" s="152"/>
      <c r="GY112" s="152"/>
      <c r="GZ112" s="152"/>
      <c r="HA112" s="152"/>
      <c r="HB112" s="152"/>
      <c r="HC112" s="152"/>
      <c r="HD112" s="152"/>
      <c r="HE112" s="152"/>
      <c r="HF112" s="152"/>
      <c r="HG112" s="152"/>
      <c r="HH112" s="152"/>
      <c r="HI112" s="152"/>
      <c r="HJ112" s="152"/>
      <c r="HK112" s="152"/>
      <c r="HL112" s="152"/>
      <c r="HM112" s="152"/>
      <c r="HN112" s="152"/>
      <c r="HO112" s="152"/>
      <c r="HP112" s="152"/>
      <c r="HQ112" s="152"/>
      <c r="HR112" s="152"/>
      <c r="HS112" s="152"/>
      <c r="HT112" s="152"/>
      <c r="HU112" s="152"/>
      <c r="HV112" s="152"/>
      <c r="HW112" s="152"/>
      <c r="HX112" s="152"/>
      <c r="HY112" s="152"/>
      <c r="HZ112" s="152"/>
      <c r="IA112" s="152"/>
      <c r="IB112" s="152"/>
      <c r="IC112" s="152"/>
      <c r="ID112" s="152"/>
      <c r="IE112" s="152"/>
      <c r="IF112" s="152"/>
      <c r="IG112" s="152"/>
      <c r="IH112" s="152"/>
      <c r="II112" s="152"/>
      <c r="IJ112" s="152"/>
      <c r="IK112" s="152"/>
      <c r="IL112" s="152"/>
      <c r="IM112" s="152"/>
      <c r="IN112" s="152"/>
      <c r="IO112" s="152"/>
      <c r="IP112" s="152"/>
      <c r="IQ112" s="152"/>
      <c r="IR112" s="152"/>
      <c r="IS112" s="152"/>
      <c r="IT112" s="152"/>
      <c r="IU112" s="152"/>
      <c r="IV112" s="152"/>
      <c r="IW112" s="152"/>
      <c r="IX112" s="152"/>
      <c r="IY112" s="152"/>
      <c r="IZ112" s="152"/>
      <c r="JA112" s="152"/>
      <c r="JB112" s="152"/>
      <c r="JC112" s="152"/>
      <c r="JD112" s="152"/>
      <c r="JE112" s="152"/>
      <c r="JF112" s="152"/>
      <c r="JG112" s="152"/>
      <c r="JH112" s="152"/>
      <c r="JI112" s="152"/>
      <c r="JJ112" s="152"/>
      <c r="JK112" s="152"/>
      <c r="JL112" s="152"/>
      <c r="JM112" s="152"/>
      <c r="JN112" s="152"/>
      <c r="JO112" s="152"/>
      <c r="JP112" s="152"/>
      <c r="JQ112" s="152"/>
      <c r="JR112" s="152"/>
      <c r="JS112" s="152"/>
      <c r="JT112" s="152"/>
      <c r="JU112" s="152"/>
      <c r="JV112" s="152"/>
      <c r="JW112" s="152"/>
      <c r="JX112" s="152"/>
      <c r="JY112" s="152"/>
      <c r="JZ112" s="152"/>
      <c r="KA112" s="152"/>
      <c r="KB112" s="152"/>
      <c r="KC112" s="152"/>
      <c r="KD112" s="152"/>
      <c r="KE112" s="152"/>
      <c r="KF112" s="152"/>
      <c r="KG112" s="152"/>
      <c r="KH112" s="152"/>
      <c r="KI112" s="152"/>
      <c r="KJ112" s="152"/>
      <c r="KK112" s="152"/>
      <c r="KL112" s="152"/>
      <c r="KM112" s="152"/>
      <c r="KN112" s="152"/>
      <c r="KO112" s="152"/>
      <c r="KP112" s="152"/>
      <c r="KQ112" s="152"/>
      <c r="KR112" s="152"/>
      <c r="KS112" s="152"/>
      <c r="KT112" s="152"/>
      <c r="KU112" s="152"/>
      <c r="KV112" s="152"/>
      <c r="KW112" s="152"/>
      <c r="KX112" s="152"/>
      <c r="KY112" s="152"/>
      <c r="KZ112" s="152"/>
      <c r="LA112" s="152"/>
      <c r="LB112" s="152"/>
      <c r="LC112" s="152"/>
      <c r="LD112" s="152"/>
      <c r="LE112" s="152"/>
      <c r="LF112" s="152"/>
      <c r="LG112" s="152"/>
      <c r="LH112" s="152"/>
      <c r="LI112" s="152"/>
      <c r="LJ112" s="152"/>
      <c r="LK112" s="152"/>
      <c r="LL112" s="152"/>
      <c r="LM112" s="152"/>
      <c r="LN112" s="152"/>
      <c r="LO112" s="152"/>
      <c r="LP112" s="152"/>
      <c r="LQ112" s="152"/>
      <c r="LR112" s="152"/>
      <c r="LS112" s="152"/>
      <c r="LT112" s="152"/>
      <c r="LU112" s="152"/>
      <c r="LV112" s="152"/>
      <c r="LW112" s="152"/>
      <c r="LX112" s="152"/>
      <c r="LY112" s="152"/>
      <c r="LZ112" s="152"/>
      <c r="MA112" s="152"/>
      <c r="MB112" s="152"/>
      <c r="MC112" s="152"/>
      <c r="MD112" s="152"/>
      <c r="ME112" s="152"/>
      <c r="MF112" s="152"/>
      <c r="MG112" s="152"/>
      <c r="MH112" s="152"/>
      <c r="MI112" s="152"/>
      <c r="MJ112" s="152"/>
      <c r="MK112" s="152"/>
      <c r="ML112" s="152"/>
      <c r="MM112" s="152"/>
      <c r="MN112" s="152"/>
      <c r="MO112" s="152"/>
      <c r="MP112" s="152"/>
      <c r="MQ112" s="152"/>
      <c r="MR112" s="152"/>
      <c r="MS112" s="152"/>
      <c r="MT112" s="152"/>
    </row>
    <row r="113" spans="1:358" s="1" customFormat="1">
      <c r="A113" s="252"/>
      <c r="B113" s="276"/>
      <c r="C113" s="276"/>
      <c r="D113" s="152"/>
      <c r="E113" s="152"/>
      <c r="F113" s="277"/>
      <c r="G113" s="277"/>
      <c r="H113" s="277"/>
      <c r="I113" s="277"/>
      <c r="J113" s="278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277"/>
      <c r="V113" s="279"/>
      <c r="W113" s="279"/>
      <c r="X113" s="279"/>
      <c r="Y113" s="279"/>
      <c r="Z113" s="280"/>
      <c r="AA113" s="280"/>
      <c r="AB113" s="279"/>
      <c r="AC113" s="279"/>
      <c r="AD113" s="279"/>
      <c r="AE113" s="279"/>
      <c r="AF113" s="279"/>
      <c r="AG113" s="279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52"/>
      <c r="AX113" s="152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  <c r="BK113" s="152"/>
      <c r="BL113" s="152"/>
      <c r="BM113" s="152"/>
      <c r="BN113" s="152"/>
      <c r="BO113" s="152"/>
      <c r="BP113" s="152"/>
      <c r="BQ113" s="152"/>
      <c r="BR113" s="152"/>
      <c r="BS113" s="152"/>
      <c r="BT113" s="152"/>
      <c r="BU113" s="152"/>
      <c r="BV113" s="152"/>
      <c r="BW113" s="152"/>
      <c r="BX113" s="152"/>
      <c r="BY113" s="152"/>
      <c r="BZ113" s="152"/>
      <c r="CA113" s="152"/>
      <c r="CB113" s="152"/>
      <c r="CC113" s="152"/>
      <c r="CD113" s="152"/>
      <c r="CE113" s="152"/>
      <c r="CF113" s="152"/>
      <c r="CG113" s="152"/>
      <c r="CH113" s="152"/>
      <c r="CI113" s="152"/>
      <c r="CJ113" s="152"/>
      <c r="CK113" s="152"/>
      <c r="CL113" s="152"/>
      <c r="CM113" s="152"/>
      <c r="CN113" s="152"/>
      <c r="CO113" s="152"/>
      <c r="CP113" s="152"/>
      <c r="CQ113" s="152"/>
      <c r="CR113" s="152"/>
      <c r="CS113" s="152"/>
      <c r="CT113" s="152"/>
      <c r="CU113" s="152"/>
      <c r="CV113" s="152"/>
      <c r="CW113" s="152"/>
      <c r="CX113" s="152"/>
      <c r="CY113" s="152"/>
      <c r="CZ113" s="152"/>
      <c r="DA113" s="152"/>
      <c r="DB113" s="152"/>
      <c r="DC113" s="152"/>
      <c r="DD113" s="152"/>
      <c r="DE113" s="152"/>
      <c r="DF113" s="152"/>
      <c r="DG113" s="152"/>
      <c r="DH113" s="152"/>
      <c r="DI113" s="152"/>
      <c r="DJ113" s="152"/>
      <c r="DK113" s="152"/>
      <c r="DL113" s="152"/>
      <c r="DM113" s="152"/>
      <c r="DN113" s="152"/>
      <c r="DO113" s="152"/>
      <c r="DP113" s="152"/>
      <c r="DQ113" s="152"/>
      <c r="DR113" s="152"/>
      <c r="DS113" s="152"/>
      <c r="DT113" s="152"/>
      <c r="DU113" s="152"/>
      <c r="DV113" s="152"/>
      <c r="DW113" s="152"/>
      <c r="DX113" s="152"/>
      <c r="DY113" s="152"/>
      <c r="DZ113" s="152"/>
      <c r="EA113" s="152"/>
      <c r="EB113" s="152"/>
      <c r="EC113" s="152"/>
      <c r="ED113" s="152"/>
      <c r="EE113" s="152"/>
      <c r="EF113" s="152"/>
      <c r="EG113" s="152"/>
      <c r="EH113" s="152"/>
      <c r="EI113" s="152"/>
      <c r="EJ113" s="152"/>
      <c r="EK113" s="152"/>
      <c r="EL113" s="152"/>
      <c r="EM113" s="152"/>
      <c r="EN113" s="152"/>
      <c r="EO113" s="152"/>
      <c r="EP113" s="152"/>
      <c r="EQ113" s="152"/>
      <c r="ER113" s="152"/>
      <c r="ES113" s="152"/>
      <c r="ET113" s="152"/>
      <c r="EU113" s="152"/>
      <c r="EV113" s="152"/>
      <c r="EW113" s="152"/>
      <c r="EX113" s="152"/>
      <c r="EY113" s="152"/>
      <c r="EZ113" s="152"/>
      <c r="FA113" s="152"/>
      <c r="FB113" s="152"/>
      <c r="FC113" s="152"/>
      <c r="FD113" s="152"/>
      <c r="FE113" s="152"/>
      <c r="FF113" s="152"/>
      <c r="FG113" s="152"/>
      <c r="FH113" s="152"/>
      <c r="FI113" s="152"/>
      <c r="FJ113" s="152"/>
      <c r="FK113" s="152"/>
      <c r="FL113" s="152"/>
      <c r="FM113" s="152"/>
      <c r="FN113" s="152"/>
      <c r="FO113" s="152"/>
      <c r="FP113" s="152"/>
      <c r="FQ113" s="152"/>
      <c r="FR113" s="152"/>
      <c r="FS113" s="152"/>
      <c r="FT113" s="152"/>
      <c r="FU113" s="152"/>
      <c r="FV113" s="152"/>
      <c r="FW113" s="152"/>
      <c r="FX113" s="152"/>
      <c r="FY113" s="152"/>
      <c r="FZ113" s="152"/>
      <c r="GA113" s="152"/>
      <c r="GB113" s="152"/>
      <c r="GC113" s="152"/>
      <c r="GD113" s="152"/>
      <c r="GE113" s="152"/>
      <c r="GF113" s="152"/>
      <c r="GG113" s="152"/>
      <c r="GH113" s="152"/>
      <c r="GI113" s="152"/>
      <c r="GJ113" s="152"/>
      <c r="GK113" s="152"/>
      <c r="GL113" s="152"/>
      <c r="GM113" s="152"/>
      <c r="GN113" s="152"/>
      <c r="GO113" s="152"/>
      <c r="GP113" s="152"/>
      <c r="GQ113" s="152"/>
      <c r="GR113" s="152"/>
      <c r="GS113" s="152"/>
      <c r="GT113" s="152"/>
      <c r="GU113" s="152"/>
      <c r="GV113" s="152"/>
      <c r="GW113" s="152"/>
      <c r="GX113" s="152"/>
      <c r="GY113" s="152"/>
      <c r="GZ113" s="152"/>
      <c r="HA113" s="152"/>
      <c r="HB113" s="152"/>
      <c r="HC113" s="152"/>
      <c r="HD113" s="152"/>
      <c r="HE113" s="152"/>
      <c r="HF113" s="152"/>
      <c r="HG113" s="152"/>
      <c r="HH113" s="152"/>
      <c r="HI113" s="152"/>
      <c r="HJ113" s="152"/>
      <c r="HK113" s="152"/>
      <c r="HL113" s="152"/>
      <c r="HM113" s="152"/>
      <c r="HN113" s="152"/>
      <c r="HO113" s="152"/>
      <c r="HP113" s="152"/>
      <c r="HQ113" s="152"/>
      <c r="HR113" s="152"/>
      <c r="HS113" s="152"/>
      <c r="HT113" s="152"/>
      <c r="HU113" s="152"/>
      <c r="HV113" s="152"/>
      <c r="HW113" s="152"/>
      <c r="HX113" s="152"/>
      <c r="HY113" s="152"/>
      <c r="HZ113" s="152"/>
      <c r="IA113" s="152"/>
      <c r="IB113" s="152"/>
      <c r="IC113" s="152"/>
      <c r="ID113" s="152"/>
      <c r="IE113" s="152"/>
      <c r="IF113" s="152"/>
      <c r="IG113" s="152"/>
      <c r="IH113" s="152"/>
      <c r="II113" s="152"/>
      <c r="IJ113" s="152"/>
      <c r="IK113" s="152"/>
      <c r="IL113" s="152"/>
      <c r="IM113" s="152"/>
      <c r="IN113" s="152"/>
      <c r="IO113" s="152"/>
      <c r="IP113" s="152"/>
      <c r="IQ113" s="152"/>
      <c r="IR113" s="152"/>
      <c r="IS113" s="152"/>
      <c r="IT113" s="152"/>
      <c r="IU113" s="152"/>
      <c r="IV113" s="152"/>
      <c r="IW113" s="152"/>
      <c r="IX113" s="152"/>
      <c r="IY113" s="152"/>
      <c r="IZ113" s="152"/>
      <c r="JA113" s="152"/>
      <c r="JB113" s="152"/>
      <c r="JC113" s="152"/>
      <c r="JD113" s="152"/>
      <c r="JE113" s="152"/>
      <c r="JF113" s="152"/>
      <c r="JG113" s="152"/>
      <c r="JH113" s="152"/>
      <c r="JI113" s="152"/>
      <c r="JJ113" s="152"/>
      <c r="JK113" s="152"/>
      <c r="JL113" s="152"/>
      <c r="JM113" s="152"/>
      <c r="JN113" s="152"/>
      <c r="JO113" s="152"/>
      <c r="JP113" s="152"/>
      <c r="JQ113" s="152"/>
      <c r="JR113" s="152"/>
      <c r="JS113" s="152"/>
      <c r="JT113" s="152"/>
      <c r="JU113" s="152"/>
      <c r="JV113" s="152"/>
      <c r="JW113" s="152"/>
      <c r="JX113" s="152"/>
      <c r="JY113" s="152"/>
      <c r="JZ113" s="152"/>
      <c r="KA113" s="152"/>
      <c r="KB113" s="152"/>
      <c r="KC113" s="152"/>
      <c r="KD113" s="152"/>
      <c r="KE113" s="152"/>
      <c r="KF113" s="152"/>
      <c r="KG113" s="152"/>
      <c r="KH113" s="152"/>
      <c r="KI113" s="152"/>
      <c r="KJ113" s="152"/>
      <c r="KK113" s="152"/>
      <c r="KL113" s="152"/>
      <c r="KM113" s="152"/>
      <c r="KN113" s="152"/>
      <c r="KO113" s="152"/>
      <c r="KP113" s="152"/>
      <c r="KQ113" s="152"/>
      <c r="KR113" s="152"/>
      <c r="KS113" s="152"/>
      <c r="KT113" s="152"/>
      <c r="KU113" s="152"/>
      <c r="KV113" s="152"/>
      <c r="KW113" s="152"/>
      <c r="KX113" s="152"/>
      <c r="KY113" s="152"/>
      <c r="KZ113" s="152"/>
      <c r="LA113" s="152"/>
      <c r="LB113" s="152"/>
      <c r="LC113" s="152"/>
      <c r="LD113" s="152"/>
      <c r="LE113" s="152"/>
      <c r="LF113" s="152"/>
      <c r="LG113" s="152"/>
      <c r="LH113" s="152"/>
      <c r="LI113" s="152"/>
      <c r="LJ113" s="152"/>
      <c r="LK113" s="152"/>
      <c r="LL113" s="152"/>
      <c r="LM113" s="152"/>
      <c r="LN113" s="152"/>
      <c r="LO113" s="152"/>
      <c r="LP113" s="152"/>
      <c r="LQ113" s="152"/>
      <c r="LR113" s="152"/>
      <c r="LS113" s="152"/>
      <c r="LT113" s="152"/>
      <c r="LU113" s="152"/>
      <c r="LV113" s="152"/>
      <c r="LW113" s="152"/>
      <c r="LX113" s="152"/>
      <c r="LY113" s="152"/>
      <c r="LZ113" s="152"/>
      <c r="MA113" s="152"/>
      <c r="MB113" s="152"/>
      <c r="MC113" s="152"/>
      <c r="MD113" s="152"/>
      <c r="ME113" s="152"/>
      <c r="MF113" s="152"/>
      <c r="MG113" s="152"/>
      <c r="MH113" s="152"/>
      <c r="MI113" s="152"/>
      <c r="MJ113" s="152"/>
      <c r="MK113" s="152"/>
      <c r="ML113" s="152"/>
      <c r="MM113" s="152"/>
      <c r="MN113" s="152"/>
      <c r="MO113" s="152"/>
      <c r="MP113" s="152"/>
      <c r="MQ113" s="152"/>
      <c r="MR113" s="152"/>
      <c r="MS113" s="152"/>
      <c r="MT113" s="152"/>
    </row>
    <row r="114" spans="1:358" s="1" customFormat="1">
      <c r="A114" s="252"/>
      <c r="B114" s="276"/>
      <c r="C114" s="276"/>
      <c r="D114" s="152"/>
      <c r="E114" s="152"/>
      <c r="F114" s="277"/>
      <c r="G114" s="277"/>
      <c r="H114" s="277"/>
      <c r="I114" s="277"/>
      <c r="J114" s="278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277"/>
      <c r="V114" s="279"/>
      <c r="W114" s="279"/>
      <c r="X114" s="279"/>
      <c r="Y114" s="279"/>
      <c r="Z114" s="280"/>
      <c r="AA114" s="280"/>
      <c r="AB114" s="279"/>
      <c r="AC114" s="279"/>
      <c r="AD114" s="279"/>
      <c r="AE114" s="279"/>
      <c r="AF114" s="279"/>
      <c r="AG114" s="279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52"/>
      <c r="AX114" s="152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  <c r="BK114" s="152"/>
      <c r="BL114" s="152"/>
      <c r="BM114" s="152"/>
      <c r="BN114" s="152"/>
      <c r="BO114" s="152"/>
      <c r="BP114" s="152"/>
      <c r="BQ114" s="152"/>
      <c r="BR114" s="152"/>
      <c r="BS114" s="152"/>
      <c r="BT114" s="152"/>
      <c r="BU114" s="152"/>
      <c r="BV114" s="152"/>
      <c r="BW114" s="152"/>
      <c r="BX114" s="152"/>
      <c r="BY114" s="152"/>
      <c r="BZ114" s="152"/>
      <c r="CA114" s="152"/>
      <c r="CB114" s="152"/>
      <c r="CC114" s="152"/>
      <c r="CD114" s="152"/>
      <c r="CE114" s="152"/>
      <c r="CF114" s="152"/>
      <c r="CG114" s="152"/>
      <c r="CH114" s="152"/>
      <c r="CI114" s="152"/>
      <c r="CJ114" s="152"/>
      <c r="CK114" s="152"/>
      <c r="CL114" s="152"/>
      <c r="CM114" s="152"/>
      <c r="CN114" s="152"/>
      <c r="CO114" s="152"/>
      <c r="CP114" s="152"/>
      <c r="CQ114" s="152"/>
      <c r="CR114" s="152"/>
      <c r="CS114" s="152"/>
      <c r="CT114" s="152"/>
      <c r="CU114" s="152"/>
      <c r="CV114" s="152"/>
      <c r="CW114" s="152"/>
      <c r="CX114" s="152"/>
      <c r="CY114" s="152"/>
      <c r="CZ114" s="152"/>
      <c r="DA114" s="152"/>
      <c r="DB114" s="152"/>
      <c r="DC114" s="152"/>
      <c r="DD114" s="152"/>
      <c r="DE114" s="152"/>
      <c r="DF114" s="152"/>
      <c r="DG114" s="152"/>
      <c r="DH114" s="152"/>
      <c r="DI114" s="152"/>
      <c r="DJ114" s="152"/>
      <c r="DK114" s="152"/>
      <c r="DL114" s="152"/>
      <c r="DM114" s="152"/>
      <c r="DN114" s="152"/>
      <c r="DO114" s="152"/>
      <c r="DP114" s="152"/>
      <c r="DQ114" s="152"/>
      <c r="DR114" s="152"/>
      <c r="DS114" s="152"/>
      <c r="DT114" s="152"/>
      <c r="DU114" s="152"/>
      <c r="DV114" s="152"/>
      <c r="DW114" s="152"/>
      <c r="DX114" s="152"/>
      <c r="DY114" s="152"/>
      <c r="DZ114" s="152"/>
      <c r="EA114" s="152"/>
      <c r="EB114" s="152"/>
      <c r="EC114" s="152"/>
      <c r="ED114" s="152"/>
      <c r="EE114" s="152"/>
      <c r="EF114" s="152"/>
      <c r="EG114" s="152"/>
      <c r="EH114" s="152"/>
      <c r="EI114" s="152"/>
      <c r="EJ114" s="152"/>
      <c r="EK114" s="152"/>
      <c r="EL114" s="152"/>
      <c r="EM114" s="152"/>
      <c r="EN114" s="152"/>
      <c r="EO114" s="152"/>
      <c r="EP114" s="152"/>
      <c r="EQ114" s="152"/>
      <c r="ER114" s="152"/>
      <c r="ES114" s="152"/>
      <c r="ET114" s="152"/>
      <c r="EU114" s="152"/>
      <c r="EV114" s="152"/>
      <c r="EW114" s="152"/>
      <c r="EX114" s="152"/>
      <c r="EY114" s="152"/>
      <c r="EZ114" s="152"/>
      <c r="FA114" s="152"/>
      <c r="FB114" s="152"/>
      <c r="FC114" s="152"/>
      <c r="FD114" s="152"/>
      <c r="FE114" s="152"/>
      <c r="FF114" s="152"/>
      <c r="FG114" s="152"/>
      <c r="FH114" s="152"/>
      <c r="FI114" s="152"/>
      <c r="FJ114" s="152"/>
      <c r="FK114" s="152"/>
      <c r="FL114" s="152"/>
      <c r="FM114" s="152"/>
      <c r="FN114" s="152"/>
      <c r="FO114" s="152"/>
      <c r="FP114" s="152"/>
      <c r="FQ114" s="152"/>
      <c r="FR114" s="152"/>
      <c r="FS114" s="152"/>
      <c r="FT114" s="152"/>
      <c r="FU114" s="152"/>
      <c r="FV114" s="152"/>
      <c r="FW114" s="152"/>
      <c r="FX114" s="152"/>
      <c r="FY114" s="152"/>
      <c r="FZ114" s="152"/>
      <c r="GA114" s="152"/>
      <c r="GB114" s="152"/>
      <c r="GC114" s="152"/>
      <c r="GD114" s="152"/>
      <c r="GE114" s="152"/>
      <c r="GF114" s="152"/>
      <c r="GG114" s="152"/>
      <c r="GH114" s="152"/>
      <c r="GI114" s="152"/>
      <c r="GJ114" s="152"/>
      <c r="GK114" s="152"/>
      <c r="GL114" s="152"/>
      <c r="GM114" s="152"/>
      <c r="GN114" s="152"/>
      <c r="GO114" s="152"/>
      <c r="GP114" s="152"/>
      <c r="GQ114" s="152"/>
      <c r="GR114" s="152"/>
      <c r="GS114" s="152"/>
      <c r="GT114" s="152"/>
      <c r="GU114" s="152"/>
      <c r="GV114" s="152"/>
      <c r="GW114" s="152"/>
      <c r="GX114" s="152"/>
      <c r="GY114" s="152"/>
      <c r="GZ114" s="152"/>
      <c r="HA114" s="152"/>
      <c r="HB114" s="152"/>
      <c r="HC114" s="152"/>
      <c r="HD114" s="152"/>
      <c r="HE114" s="152"/>
      <c r="HF114" s="152"/>
      <c r="HG114" s="152"/>
      <c r="HH114" s="152"/>
      <c r="HI114" s="152"/>
      <c r="HJ114" s="152"/>
      <c r="HK114" s="152"/>
      <c r="HL114" s="152"/>
      <c r="HM114" s="152"/>
      <c r="HN114" s="152"/>
      <c r="HO114" s="152"/>
      <c r="HP114" s="152"/>
      <c r="HQ114" s="152"/>
      <c r="HR114" s="152"/>
      <c r="HS114" s="152"/>
      <c r="HT114" s="152"/>
      <c r="HU114" s="152"/>
      <c r="HV114" s="152"/>
      <c r="HW114" s="152"/>
      <c r="HX114" s="152"/>
      <c r="HY114" s="152"/>
      <c r="HZ114" s="152"/>
      <c r="IA114" s="152"/>
      <c r="IB114" s="152"/>
      <c r="IC114" s="152"/>
      <c r="ID114" s="152"/>
      <c r="IE114" s="152"/>
      <c r="IF114" s="152"/>
      <c r="IG114" s="152"/>
      <c r="IH114" s="152"/>
      <c r="II114" s="152"/>
      <c r="IJ114" s="152"/>
      <c r="IK114" s="152"/>
      <c r="IL114" s="152"/>
      <c r="IM114" s="152"/>
      <c r="IN114" s="152"/>
      <c r="IO114" s="152"/>
      <c r="IP114" s="152"/>
      <c r="IQ114" s="152"/>
      <c r="IR114" s="152"/>
      <c r="IS114" s="152"/>
      <c r="IT114" s="152"/>
      <c r="IU114" s="152"/>
      <c r="IV114" s="152"/>
      <c r="IW114" s="152"/>
      <c r="IX114" s="152"/>
      <c r="IY114" s="152"/>
      <c r="IZ114" s="152"/>
      <c r="JA114" s="152"/>
      <c r="JB114" s="152"/>
      <c r="JC114" s="152"/>
      <c r="JD114" s="152"/>
      <c r="JE114" s="152"/>
      <c r="JF114" s="152"/>
      <c r="JG114" s="152"/>
      <c r="JH114" s="152"/>
      <c r="JI114" s="152"/>
      <c r="JJ114" s="152"/>
      <c r="JK114" s="152"/>
      <c r="JL114" s="152"/>
      <c r="JM114" s="152"/>
      <c r="JN114" s="152"/>
      <c r="JO114" s="152"/>
      <c r="JP114" s="152"/>
      <c r="JQ114" s="152"/>
      <c r="JR114" s="152"/>
      <c r="JS114" s="152"/>
      <c r="JT114" s="152"/>
      <c r="JU114" s="152"/>
      <c r="JV114" s="152"/>
      <c r="JW114" s="152"/>
      <c r="JX114" s="152"/>
      <c r="JY114" s="152"/>
      <c r="JZ114" s="152"/>
      <c r="KA114" s="152"/>
      <c r="KB114" s="152"/>
      <c r="KC114" s="152"/>
      <c r="KD114" s="152"/>
      <c r="KE114" s="152"/>
      <c r="KF114" s="152"/>
      <c r="KG114" s="152"/>
      <c r="KH114" s="152"/>
      <c r="KI114" s="152"/>
      <c r="KJ114" s="152"/>
      <c r="KK114" s="152"/>
      <c r="KL114" s="152"/>
      <c r="KM114" s="152"/>
      <c r="KN114" s="152"/>
      <c r="KO114" s="152"/>
      <c r="KP114" s="152"/>
      <c r="KQ114" s="152"/>
      <c r="KR114" s="152"/>
      <c r="KS114" s="152"/>
      <c r="KT114" s="152"/>
      <c r="KU114" s="152"/>
      <c r="KV114" s="152"/>
      <c r="KW114" s="152"/>
      <c r="KX114" s="152"/>
      <c r="KY114" s="152"/>
      <c r="KZ114" s="152"/>
      <c r="LA114" s="152"/>
      <c r="LB114" s="152"/>
      <c r="LC114" s="152"/>
      <c r="LD114" s="152"/>
      <c r="LE114" s="152"/>
      <c r="LF114" s="152"/>
      <c r="LG114" s="152"/>
      <c r="LH114" s="152"/>
      <c r="LI114" s="152"/>
      <c r="LJ114" s="152"/>
      <c r="LK114" s="152"/>
      <c r="LL114" s="152"/>
      <c r="LM114" s="152"/>
      <c r="LN114" s="152"/>
      <c r="LO114" s="152"/>
      <c r="LP114" s="152"/>
      <c r="LQ114" s="152"/>
      <c r="LR114" s="152"/>
      <c r="LS114" s="152"/>
      <c r="LT114" s="152"/>
      <c r="LU114" s="152"/>
      <c r="LV114" s="152"/>
      <c r="LW114" s="152"/>
      <c r="LX114" s="152"/>
      <c r="LY114" s="152"/>
      <c r="LZ114" s="152"/>
      <c r="MA114" s="152"/>
      <c r="MB114" s="152"/>
      <c r="MC114" s="152"/>
      <c r="MD114" s="152"/>
      <c r="ME114" s="152"/>
      <c r="MF114" s="152"/>
      <c r="MG114" s="152"/>
      <c r="MH114" s="152"/>
      <c r="MI114" s="152"/>
      <c r="MJ114" s="152"/>
      <c r="MK114" s="152"/>
      <c r="ML114" s="152"/>
      <c r="MM114" s="152"/>
      <c r="MN114" s="152"/>
      <c r="MO114" s="152"/>
      <c r="MP114" s="152"/>
      <c r="MQ114" s="152"/>
      <c r="MR114" s="152"/>
      <c r="MS114" s="152"/>
      <c r="MT114" s="152"/>
    </row>
    <row r="115" spans="1:358" s="1" customFormat="1">
      <c r="A115" s="252"/>
      <c r="B115" s="276"/>
      <c r="C115" s="276"/>
      <c r="D115" s="152"/>
      <c r="E115" s="152"/>
      <c r="F115" s="277"/>
      <c r="G115" s="277"/>
      <c r="H115" s="277"/>
      <c r="I115" s="277"/>
      <c r="J115" s="278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277"/>
      <c r="V115" s="279"/>
      <c r="W115" s="279"/>
      <c r="X115" s="279"/>
      <c r="Y115" s="279"/>
      <c r="Z115" s="280"/>
      <c r="AA115" s="280"/>
      <c r="AB115" s="279"/>
      <c r="AC115" s="279"/>
      <c r="AD115" s="279"/>
      <c r="AE115" s="279"/>
      <c r="AF115" s="279"/>
      <c r="AG115" s="279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52"/>
      <c r="AX115" s="152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  <c r="BK115" s="152"/>
      <c r="BL115" s="152"/>
      <c r="BM115" s="152"/>
      <c r="BN115" s="152"/>
      <c r="BO115" s="152"/>
      <c r="BP115" s="152"/>
      <c r="BQ115" s="152"/>
      <c r="BR115" s="152"/>
      <c r="BS115" s="152"/>
      <c r="BT115" s="152"/>
      <c r="BU115" s="152"/>
      <c r="BV115" s="152"/>
      <c r="BW115" s="152"/>
      <c r="BX115" s="152"/>
      <c r="BY115" s="152"/>
      <c r="BZ115" s="152"/>
      <c r="CA115" s="152"/>
      <c r="CB115" s="152"/>
      <c r="CC115" s="152"/>
      <c r="CD115" s="152"/>
      <c r="CE115" s="152"/>
      <c r="CF115" s="152"/>
      <c r="CG115" s="152"/>
      <c r="CH115" s="152"/>
      <c r="CI115" s="152"/>
      <c r="CJ115" s="152"/>
      <c r="CK115" s="152"/>
      <c r="CL115" s="152"/>
      <c r="CM115" s="152"/>
      <c r="CN115" s="152"/>
      <c r="CO115" s="152"/>
      <c r="CP115" s="152"/>
      <c r="CQ115" s="152"/>
      <c r="CR115" s="152"/>
      <c r="CS115" s="152"/>
      <c r="CT115" s="152"/>
      <c r="CU115" s="152"/>
      <c r="CV115" s="152"/>
      <c r="CW115" s="152"/>
      <c r="CX115" s="152"/>
      <c r="CY115" s="152"/>
      <c r="CZ115" s="152"/>
      <c r="DA115" s="152"/>
      <c r="DB115" s="152"/>
      <c r="DC115" s="152"/>
      <c r="DD115" s="152"/>
      <c r="DE115" s="152"/>
      <c r="DF115" s="152"/>
      <c r="DG115" s="152"/>
      <c r="DH115" s="152"/>
      <c r="DI115" s="152"/>
      <c r="DJ115" s="152"/>
      <c r="DK115" s="152"/>
      <c r="DL115" s="152"/>
      <c r="DM115" s="152"/>
      <c r="DN115" s="152"/>
      <c r="DO115" s="152"/>
      <c r="DP115" s="152"/>
      <c r="DQ115" s="152"/>
      <c r="DR115" s="152"/>
      <c r="DS115" s="152"/>
      <c r="DT115" s="152"/>
      <c r="DU115" s="152"/>
      <c r="DV115" s="152"/>
      <c r="DW115" s="152"/>
      <c r="DX115" s="152"/>
      <c r="DY115" s="152"/>
      <c r="DZ115" s="152"/>
      <c r="EA115" s="152"/>
      <c r="EB115" s="152"/>
      <c r="EC115" s="152"/>
      <c r="ED115" s="152"/>
      <c r="EE115" s="152"/>
      <c r="EF115" s="152"/>
      <c r="EG115" s="152"/>
      <c r="EH115" s="152"/>
      <c r="EI115" s="152"/>
      <c r="EJ115" s="152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52"/>
      <c r="EW115" s="152"/>
      <c r="EX115" s="152"/>
      <c r="EY115" s="152"/>
      <c r="EZ115" s="152"/>
      <c r="FA115" s="152"/>
      <c r="FB115" s="152"/>
      <c r="FC115" s="152"/>
      <c r="FD115" s="152"/>
      <c r="FE115" s="152"/>
      <c r="FF115" s="152"/>
      <c r="FG115" s="152"/>
      <c r="FH115" s="152"/>
      <c r="FI115" s="152"/>
      <c r="FJ115" s="152"/>
      <c r="FK115" s="152"/>
      <c r="FL115" s="152"/>
      <c r="FM115" s="152"/>
      <c r="FN115" s="152"/>
      <c r="FO115" s="152"/>
      <c r="FP115" s="152"/>
      <c r="FQ115" s="152"/>
      <c r="FR115" s="152"/>
      <c r="FS115" s="152"/>
      <c r="FT115" s="152"/>
      <c r="FU115" s="152"/>
      <c r="FV115" s="152"/>
      <c r="FW115" s="152"/>
      <c r="FX115" s="152"/>
      <c r="FY115" s="152"/>
      <c r="FZ115" s="152"/>
      <c r="GA115" s="152"/>
      <c r="GB115" s="152"/>
      <c r="GC115" s="152"/>
      <c r="GD115" s="152"/>
      <c r="GE115" s="152"/>
      <c r="GF115" s="152"/>
      <c r="GG115" s="152"/>
      <c r="GH115" s="152"/>
      <c r="GI115" s="152"/>
      <c r="GJ115" s="152"/>
      <c r="GK115" s="152"/>
      <c r="GL115" s="152"/>
      <c r="GM115" s="152"/>
      <c r="GN115" s="152"/>
      <c r="GO115" s="152"/>
      <c r="GP115" s="152"/>
      <c r="GQ115" s="152"/>
      <c r="GR115" s="152"/>
      <c r="GS115" s="152"/>
      <c r="GT115" s="152"/>
      <c r="GU115" s="152"/>
      <c r="GV115" s="152"/>
      <c r="GW115" s="152"/>
      <c r="GX115" s="152"/>
      <c r="GY115" s="152"/>
      <c r="GZ115" s="152"/>
      <c r="HA115" s="152"/>
      <c r="HB115" s="152"/>
      <c r="HC115" s="152"/>
      <c r="HD115" s="152"/>
      <c r="HE115" s="152"/>
      <c r="HF115" s="152"/>
      <c r="HG115" s="152"/>
      <c r="HH115" s="152"/>
      <c r="HI115" s="152"/>
      <c r="HJ115" s="152"/>
      <c r="HK115" s="152"/>
      <c r="HL115" s="152"/>
      <c r="HM115" s="152"/>
      <c r="HN115" s="152"/>
      <c r="HO115" s="152"/>
      <c r="HP115" s="152"/>
      <c r="HQ115" s="152"/>
      <c r="HR115" s="152"/>
      <c r="HS115" s="152"/>
      <c r="HT115" s="152"/>
      <c r="HU115" s="152"/>
      <c r="HV115" s="152"/>
      <c r="HW115" s="152"/>
      <c r="HX115" s="152"/>
      <c r="HY115" s="152"/>
      <c r="HZ115" s="152"/>
      <c r="IA115" s="152"/>
      <c r="IB115" s="152"/>
      <c r="IC115" s="152"/>
      <c r="ID115" s="152"/>
      <c r="IE115" s="152"/>
      <c r="IF115" s="152"/>
      <c r="IG115" s="152"/>
      <c r="IH115" s="152"/>
      <c r="II115" s="152"/>
      <c r="IJ115" s="152"/>
      <c r="IK115" s="152"/>
      <c r="IL115" s="152"/>
      <c r="IM115" s="152"/>
      <c r="IN115" s="152"/>
      <c r="IO115" s="152"/>
      <c r="IP115" s="152"/>
      <c r="IQ115" s="152"/>
      <c r="IR115" s="152"/>
      <c r="IS115" s="152"/>
      <c r="IT115" s="152"/>
      <c r="IU115" s="152"/>
      <c r="IV115" s="152"/>
      <c r="IW115" s="152"/>
      <c r="IX115" s="152"/>
      <c r="IY115" s="152"/>
      <c r="IZ115" s="152"/>
      <c r="JA115" s="152"/>
      <c r="JB115" s="152"/>
      <c r="JC115" s="152"/>
      <c r="JD115" s="152"/>
      <c r="JE115" s="152"/>
      <c r="JF115" s="152"/>
      <c r="JG115" s="152"/>
      <c r="JH115" s="152"/>
      <c r="JI115" s="152"/>
      <c r="JJ115" s="152"/>
      <c r="JK115" s="152"/>
      <c r="JL115" s="152"/>
      <c r="JM115" s="152"/>
      <c r="JN115" s="152"/>
      <c r="JO115" s="152"/>
      <c r="JP115" s="152"/>
      <c r="JQ115" s="152"/>
      <c r="JR115" s="152"/>
      <c r="JS115" s="152"/>
      <c r="JT115" s="152"/>
      <c r="JU115" s="152"/>
      <c r="JV115" s="152"/>
      <c r="JW115" s="152"/>
      <c r="JX115" s="152"/>
      <c r="JY115" s="152"/>
      <c r="JZ115" s="152"/>
      <c r="KA115" s="152"/>
      <c r="KB115" s="152"/>
      <c r="KC115" s="152"/>
      <c r="KD115" s="152"/>
      <c r="KE115" s="152"/>
      <c r="KF115" s="152"/>
      <c r="KG115" s="152"/>
      <c r="KH115" s="152"/>
      <c r="KI115" s="152"/>
      <c r="KJ115" s="152"/>
      <c r="KK115" s="152"/>
      <c r="KL115" s="152"/>
      <c r="KM115" s="152"/>
      <c r="KN115" s="152"/>
      <c r="KO115" s="152"/>
      <c r="KP115" s="152"/>
      <c r="KQ115" s="152"/>
      <c r="KR115" s="152"/>
      <c r="KS115" s="152"/>
      <c r="KT115" s="152"/>
      <c r="KU115" s="152"/>
      <c r="KV115" s="152"/>
      <c r="KW115" s="152"/>
      <c r="KX115" s="152"/>
      <c r="KY115" s="152"/>
      <c r="KZ115" s="152"/>
      <c r="LA115" s="152"/>
      <c r="LB115" s="152"/>
      <c r="LC115" s="152"/>
      <c r="LD115" s="152"/>
      <c r="LE115" s="152"/>
      <c r="LF115" s="152"/>
      <c r="LG115" s="152"/>
      <c r="LH115" s="152"/>
      <c r="LI115" s="152"/>
      <c r="LJ115" s="152"/>
      <c r="LK115" s="152"/>
      <c r="LL115" s="152"/>
      <c r="LM115" s="152"/>
      <c r="LN115" s="152"/>
      <c r="LO115" s="152"/>
      <c r="LP115" s="152"/>
      <c r="LQ115" s="152"/>
      <c r="LR115" s="152"/>
      <c r="LS115" s="152"/>
      <c r="LT115" s="152"/>
      <c r="LU115" s="152"/>
      <c r="LV115" s="152"/>
      <c r="LW115" s="152"/>
      <c r="LX115" s="152"/>
      <c r="LY115" s="152"/>
      <c r="LZ115" s="152"/>
      <c r="MA115" s="152"/>
      <c r="MB115" s="152"/>
      <c r="MC115" s="152"/>
      <c r="MD115" s="152"/>
      <c r="ME115" s="152"/>
      <c r="MF115" s="152"/>
      <c r="MG115" s="152"/>
      <c r="MH115" s="152"/>
      <c r="MI115" s="152"/>
      <c r="MJ115" s="152"/>
      <c r="MK115" s="152"/>
      <c r="ML115" s="152"/>
      <c r="MM115" s="152"/>
      <c r="MN115" s="152"/>
      <c r="MO115" s="152"/>
      <c r="MP115" s="152"/>
      <c r="MQ115" s="152"/>
      <c r="MR115" s="152"/>
      <c r="MS115" s="152"/>
      <c r="MT115" s="152"/>
    </row>
    <row r="116" spans="1:358" s="1" customFormat="1">
      <c r="A116" s="252"/>
      <c r="B116" s="276"/>
      <c r="C116" s="276"/>
      <c r="D116" s="152"/>
      <c r="E116" s="152"/>
      <c r="F116" s="277"/>
      <c r="G116" s="277"/>
      <c r="H116" s="277"/>
      <c r="I116" s="277"/>
      <c r="J116" s="278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277"/>
      <c r="V116" s="279"/>
      <c r="W116" s="279"/>
      <c r="X116" s="279"/>
      <c r="Y116" s="279"/>
      <c r="Z116" s="280"/>
      <c r="AA116" s="280"/>
      <c r="AB116" s="279"/>
      <c r="AC116" s="279"/>
      <c r="AD116" s="279"/>
      <c r="AE116" s="279"/>
      <c r="AF116" s="279"/>
      <c r="AG116" s="279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  <c r="BK116" s="152"/>
      <c r="BL116" s="152"/>
      <c r="BM116" s="152"/>
      <c r="BN116" s="152"/>
      <c r="BO116" s="152"/>
      <c r="BP116" s="152"/>
      <c r="BQ116" s="152"/>
      <c r="BR116" s="152"/>
      <c r="BS116" s="152"/>
      <c r="BT116" s="152"/>
      <c r="BU116" s="152"/>
      <c r="BV116" s="152"/>
      <c r="BW116" s="152"/>
      <c r="BX116" s="152"/>
      <c r="BY116" s="152"/>
      <c r="BZ116" s="152"/>
      <c r="CA116" s="152"/>
      <c r="CB116" s="152"/>
      <c r="CC116" s="152"/>
      <c r="CD116" s="152"/>
      <c r="CE116" s="152"/>
      <c r="CF116" s="152"/>
      <c r="CG116" s="152"/>
      <c r="CH116" s="152"/>
      <c r="CI116" s="152"/>
      <c r="CJ116" s="152"/>
      <c r="CK116" s="152"/>
      <c r="CL116" s="152"/>
      <c r="CM116" s="152"/>
      <c r="CN116" s="152"/>
      <c r="CO116" s="152"/>
      <c r="CP116" s="152"/>
      <c r="CQ116" s="152"/>
      <c r="CR116" s="152"/>
      <c r="CS116" s="152"/>
      <c r="CT116" s="152"/>
      <c r="CU116" s="152"/>
      <c r="CV116" s="152"/>
      <c r="CW116" s="152"/>
      <c r="CX116" s="152"/>
      <c r="CY116" s="152"/>
      <c r="CZ116" s="152"/>
      <c r="DA116" s="152"/>
      <c r="DB116" s="152"/>
      <c r="DC116" s="152"/>
      <c r="DD116" s="152"/>
      <c r="DE116" s="152"/>
      <c r="DF116" s="152"/>
      <c r="DG116" s="152"/>
      <c r="DH116" s="152"/>
      <c r="DI116" s="152"/>
      <c r="DJ116" s="152"/>
      <c r="DK116" s="152"/>
      <c r="DL116" s="152"/>
      <c r="DM116" s="152"/>
      <c r="DN116" s="152"/>
      <c r="DO116" s="152"/>
      <c r="DP116" s="152"/>
      <c r="DQ116" s="152"/>
      <c r="DR116" s="152"/>
      <c r="DS116" s="152"/>
      <c r="DT116" s="152"/>
      <c r="DU116" s="152"/>
      <c r="DV116" s="152"/>
      <c r="DW116" s="152"/>
      <c r="DX116" s="152"/>
      <c r="DY116" s="152"/>
      <c r="DZ116" s="152"/>
      <c r="EA116" s="152"/>
      <c r="EB116" s="152"/>
      <c r="EC116" s="152"/>
      <c r="ED116" s="152"/>
      <c r="EE116" s="152"/>
      <c r="EF116" s="152"/>
      <c r="EG116" s="152"/>
      <c r="EH116" s="152"/>
      <c r="EI116" s="152"/>
      <c r="EJ116" s="152"/>
      <c r="EK116" s="152"/>
      <c r="EL116" s="152"/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52"/>
      <c r="EW116" s="152"/>
      <c r="EX116" s="152"/>
      <c r="EY116" s="152"/>
      <c r="EZ116" s="152"/>
      <c r="FA116" s="152"/>
      <c r="FB116" s="152"/>
      <c r="FC116" s="152"/>
      <c r="FD116" s="152"/>
      <c r="FE116" s="152"/>
      <c r="FF116" s="152"/>
      <c r="FG116" s="152"/>
      <c r="FH116" s="152"/>
      <c r="FI116" s="152"/>
      <c r="FJ116" s="152"/>
      <c r="FK116" s="152"/>
      <c r="FL116" s="152"/>
      <c r="FM116" s="152"/>
      <c r="FN116" s="152"/>
      <c r="FO116" s="152"/>
      <c r="FP116" s="152"/>
      <c r="FQ116" s="152"/>
      <c r="FR116" s="152"/>
      <c r="FS116" s="152"/>
      <c r="FT116" s="152"/>
      <c r="FU116" s="152"/>
      <c r="FV116" s="152"/>
      <c r="FW116" s="152"/>
      <c r="FX116" s="152"/>
      <c r="FY116" s="152"/>
      <c r="FZ116" s="152"/>
      <c r="GA116" s="152"/>
      <c r="GB116" s="152"/>
      <c r="GC116" s="152"/>
      <c r="GD116" s="152"/>
      <c r="GE116" s="152"/>
      <c r="GF116" s="152"/>
      <c r="GG116" s="152"/>
      <c r="GH116" s="152"/>
      <c r="GI116" s="152"/>
      <c r="GJ116" s="152"/>
      <c r="GK116" s="152"/>
      <c r="GL116" s="152"/>
      <c r="GM116" s="152"/>
      <c r="GN116" s="152"/>
      <c r="GO116" s="152"/>
      <c r="GP116" s="152"/>
      <c r="GQ116" s="152"/>
      <c r="GR116" s="152"/>
      <c r="GS116" s="152"/>
      <c r="GT116" s="152"/>
      <c r="GU116" s="152"/>
      <c r="GV116" s="152"/>
      <c r="GW116" s="152"/>
      <c r="GX116" s="152"/>
      <c r="GY116" s="152"/>
      <c r="GZ116" s="152"/>
      <c r="HA116" s="152"/>
      <c r="HB116" s="152"/>
      <c r="HC116" s="152"/>
      <c r="HD116" s="152"/>
      <c r="HE116" s="152"/>
      <c r="HF116" s="152"/>
      <c r="HG116" s="152"/>
      <c r="HH116" s="152"/>
      <c r="HI116" s="152"/>
      <c r="HJ116" s="152"/>
      <c r="HK116" s="152"/>
      <c r="HL116" s="152"/>
      <c r="HM116" s="152"/>
      <c r="HN116" s="152"/>
      <c r="HO116" s="152"/>
      <c r="HP116" s="152"/>
      <c r="HQ116" s="152"/>
      <c r="HR116" s="152"/>
      <c r="HS116" s="152"/>
      <c r="HT116" s="152"/>
      <c r="HU116" s="152"/>
      <c r="HV116" s="152"/>
      <c r="HW116" s="152"/>
      <c r="HX116" s="152"/>
      <c r="HY116" s="152"/>
      <c r="HZ116" s="152"/>
      <c r="IA116" s="152"/>
      <c r="IB116" s="152"/>
      <c r="IC116" s="152"/>
      <c r="ID116" s="152"/>
      <c r="IE116" s="152"/>
      <c r="IF116" s="152"/>
      <c r="IG116" s="152"/>
      <c r="IH116" s="152"/>
      <c r="II116" s="152"/>
      <c r="IJ116" s="152"/>
      <c r="IK116" s="152"/>
      <c r="IL116" s="152"/>
      <c r="IM116" s="152"/>
      <c r="IN116" s="152"/>
      <c r="IO116" s="152"/>
      <c r="IP116" s="152"/>
      <c r="IQ116" s="152"/>
      <c r="IR116" s="152"/>
      <c r="IS116" s="152"/>
      <c r="IT116" s="152"/>
      <c r="IU116" s="152"/>
      <c r="IV116" s="152"/>
      <c r="IW116" s="152"/>
      <c r="IX116" s="152"/>
      <c r="IY116" s="152"/>
      <c r="IZ116" s="152"/>
      <c r="JA116" s="152"/>
      <c r="JB116" s="152"/>
      <c r="JC116" s="152"/>
      <c r="JD116" s="152"/>
      <c r="JE116" s="152"/>
      <c r="JF116" s="152"/>
      <c r="JG116" s="152"/>
      <c r="JH116" s="152"/>
      <c r="JI116" s="152"/>
      <c r="JJ116" s="152"/>
      <c r="JK116" s="152"/>
      <c r="JL116" s="152"/>
      <c r="JM116" s="152"/>
      <c r="JN116" s="152"/>
      <c r="JO116" s="152"/>
      <c r="JP116" s="152"/>
      <c r="JQ116" s="152"/>
      <c r="JR116" s="152"/>
      <c r="JS116" s="152"/>
      <c r="JT116" s="152"/>
      <c r="JU116" s="152"/>
      <c r="JV116" s="152"/>
      <c r="JW116" s="152"/>
      <c r="JX116" s="152"/>
      <c r="JY116" s="152"/>
      <c r="JZ116" s="152"/>
      <c r="KA116" s="152"/>
      <c r="KB116" s="152"/>
      <c r="KC116" s="152"/>
      <c r="KD116" s="152"/>
      <c r="KE116" s="152"/>
      <c r="KF116" s="152"/>
      <c r="KG116" s="152"/>
      <c r="KH116" s="152"/>
      <c r="KI116" s="152"/>
      <c r="KJ116" s="152"/>
      <c r="KK116" s="152"/>
      <c r="KL116" s="152"/>
      <c r="KM116" s="152"/>
      <c r="KN116" s="152"/>
      <c r="KO116" s="152"/>
      <c r="KP116" s="152"/>
      <c r="KQ116" s="152"/>
      <c r="KR116" s="152"/>
      <c r="KS116" s="152"/>
      <c r="KT116" s="152"/>
      <c r="KU116" s="152"/>
      <c r="KV116" s="152"/>
      <c r="KW116" s="152"/>
      <c r="KX116" s="152"/>
      <c r="KY116" s="152"/>
      <c r="KZ116" s="152"/>
      <c r="LA116" s="152"/>
      <c r="LB116" s="152"/>
      <c r="LC116" s="152"/>
      <c r="LD116" s="152"/>
      <c r="LE116" s="152"/>
      <c r="LF116" s="152"/>
      <c r="LG116" s="152"/>
      <c r="LH116" s="152"/>
      <c r="LI116" s="152"/>
      <c r="LJ116" s="152"/>
      <c r="LK116" s="152"/>
      <c r="LL116" s="152"/>
      <c r="LM116" s="152"/>
      <c r="LN116" s="152"/>
      <c r="LO116" s="152"/>
      <c r="LP116" s="152"/>
      <c r="LQ116" s="152"/>
      <c r="LR116" s="152"/>
      <c r="LS116" s="152"/>
      <c r="LT116" s="152"/>
      <c r="LU116" s="152"/>
      <c r="LV116" s="152"/>
      <c r="LW116" s="152"/>
      <c r="LX116" s="152"/>
      <c r="LY116" s="152"/>
      <c r="LZ116" s="152"/>
      <c r="MA116" s="152"/>
      <c r="MB116" s="152"/>
      <c r="MC116" s="152"/>
      <c r="MD116" s="152"/>
      <c r="ME116" s="152"/>
      <c r="MF116" s="152"/>
      <c r="MG116" s="152"/>
      <c r="MH116" s="152"/>
      <c r="MI116" s="152"/>
      <c r="MJ116" s="152"/>
      <c r="MK116" s="152"/>
      <c r="ML116" s="152"/>
      <c r="MM116" s="152"/>
      <c r="MN116" s="152"/>
      <c r="MO116" s="152"/>
      <c r="MP116" s="152"/>
      <c r="MQ116" s="152"/>
      <c r="MR116" s="152"/>
      <c r="MS116" s="152"/>
      <c r="MT116" s="152"/>
    </row>
    <row r="117" spans="1:358" s="1" customFormat="1">
      <c r="A117" s="252"/>
      <c r="B117" s="276"/>
      <c r="C117" s="276"/>
      <c r="D117" s="152"/>
      <c r="E117" s="152"/>
      <c r="F117" s="277"/>
      <c r="G117" s="277"/>
      <c r="H117" s="277"/>
      <c r="I117" s="277"/>
      <c r="J117" s="278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277"/>
      <c r="V117" s="279"/>
      <c r="W117" s="279"/>
      <c r="X117" s="279"/>
      <c r="Y117" s="279"/>
      <c r="Z117" s="280"/>
      <c r="AA117" s="280"/>
      <c r="AB117" s="279"/>
      <c r="AC117" s="279"/>
      <c r="AD117" s="279"/>
      <c r="AE117" s="279"/>
      <c r="AF117" s="279"/>
      <c r="AG117" s="279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52"/>
      <c r="AX117" s="152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  <c r="BK117" s="152"/>
      <c r="BL117" s="152"/>
      <c r="BM117" s="152"/>
      <c r="BN117" s="152"/>
      <c r="BO117" s="152"/>
      <c r="BP117" s="152"/>
      <c r="BQ117" s="152"/>
      <c r="BR117" s="152"/>
      <c r="BS117" s="152"/>
      <c r="BT117" s="152"/>
      <c r="BU117" s="152"/>
      <c r="BV117" s="152"/>
      <c r="BW117" s="152"/>
      <c r="BX117" s="152"/>
      <c r="BY117" s="152"/>
      <c r="BZ117" s="152"/>
      <c r="CA117" s="152"/>
      <c r="CB117" s="152"/>
      <c r="CC117" s="152"/>
      <c r="CD117" s="152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52"/>
      <c r="CO117" s="152"/>
      <c r="CP117" s="152"/>
      <c r="CQ117" s="152"/>
      <c r="CR117" s="152"/>
      <c r="CS117" s="152"/>
      <c r="CT117" s="152"/>
      <c r="CU117" s="152"/>
      <c r="CV117" s="152"/>
      <c r="CW117" s="152"/>
      <c r="CX117" s="152"/>
      <c r="CY117" s="152"/>
      <c r="CZ117" s="152"/>
      <c r="DA117" s="152"/>
      <c r="DB117" s="152"/>
      <c r="DC117" s="152"/>
      <c r="DD117" s="152"/>
      <c r="DE117" s="152"/>
      <c r="DF117" s="152"/>
      <c r="DG117" s="152"/>
      <c r="DH117" s="152"/>
      <c r="DI117" s="152"/>
      <c r="DJ117" s="152"/>
      <c r="DK117" s="152"/>
      <c r="DL117" s="152"/>
      <c r="DM117" s="152"/>
      <c r="DN117" s="152"/>
      <c r="DO117" s="152"/>
      <c r="DP117" s="152"/>
      <c r="DQ117" s="152"/>
      <c r="DR117" s="152"/>
      <c r="DS117" s="152"/>
      <c r="DT117" s="152"/>
      <c r="DU117" s="152"/>
      <c r="DV117" s="152"/>
      <c r="DW117" s="152"/>
      <c r="DX117" s="152"/>
      <c r="DY117" s="152"/>
      <c r="DZ117" s="152"/>
      <c r="EA117" s="152"/>
      <c r="EB117" s="152"/>
      <c r="EC117" s="152"/>
      <c r="ED117" s="152"/>
      <c r="EE117" s="152"/>
      <c r="EF117" s="152"/>
      <c r="EG117" s="152"/>
      <c r="EH117" s="152"/>
      <c r="EI117" s="152"/>
      <c r="EJ117" s="152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52"/>
      <c r="EW117" s="152"/>
      <c r="EX117" s="152"/>
      <c r="EY117" s="152"/>
      <c r="EZ117" s="152"/>
      <c r="FA117" s="152"/>
      <c r="FB117" s="152"/>
      <c r="FC117" s="152"/>
      <c r="FD117" s="152"/>
      <c r="FE117" s="152"/>
      <c r="FF117" s="152"/>
      <c r="FG117" s="152"/>
      <c r="FH117" s="152"/>
      <c r="FI117" s="152"/>
      <c r="FJ117" s="152"/>
      <c r="FK117" s="152"/>
      <c r="FL117" s="152"/>
      <c r="FM117" s="152"/>
      <c r="FN117" s="152"/>
      <c r="FO117" s="152"/>
      <c r="FP117" s="152"/>
      <c r="FQ117" s="152"/>
      <c r="FR117" s="152"/>
      <c r="FS117" s="152"/>
      <c r="FT117" s="152"/>
      <c r="FU117" s="152"/>
      <c r="FV117" s="152"/>
      <c r="FW117" s="152"/>
      <c r="FX117" s="152"/>
      <c r="FY117" s="152"/>
      <c r="FZ117" s="152"/>
      <c r="GA117" s="152"/>
      <c r="GB117" s="152"/>
      <c r="GC117" s="152"/>
      <c r="GD117" s="152"/>
      <c r="GE117" s="152"/>
      <c r="GF117" s="152"/>
      <c r="GG117" s="152"/>
      <c r="GH117" s="152"/>
      <c r="GI117" s="152"/>
      <c r="GJ117" s="152"/>
      <c r="GK117" s="152"/>
      <c r="GL117" s="152"/>
      <c r="GM117" s="152"/>
      <c r="GN117" s="152"/>
      <c r="GO117" s="152"/>
      <c r="GP117" s="152"/>
      <c r="GQ117" s="152"/>
      <c r="GR117" s="152"/>
      <c r="GS117" s="152"/>
      <c r="GT117" s="152"/>
      <c r="GU117" s="152"/>
      <c r="GV117" s="152"/>
      <c r="GW117" s="152"/>
      <c r="GX117" s="152"/>
      <c r="GY117" s="152"/>
      <c r="GZ117" s="152"/>
      <c r="HA117" s="152"/>
      <c r="HB117" s="152"/>
      <c r="HC117" s="152"/>
      <c r="HD117" s="152"/>
      <c r="HE117" s="152"/>
      <c r="HF117" s="152"/>
      <c r="HG117" s="152"/>
      <c r="HH117" s="152"/>
      <c r="HI117" s="152"/>
      <c r="HJ117" s="152"/>
      <c r="HK117" s="152"/>
      <c r="HL117" s="152"/>
      <c r="HM117" s="152"/>
      <c r="HN117" s="152"/>
      <c r="HO117" s="152"/>
      <c r="HP117" s="152"/>
      <c r="HQ117" s="152"/>
      <c r="HR117" s="152"/>
      <c r="HS117" s="152"/>
      <c r="HT117" s="152"/>
      <c r="HU117" s="152"/>
      <c r="HV117" s="152"/>
      <c r="HW117" s="152"/>
      <c r="HX117" s="152"/>
      <c r="HY117" s="152"/>
      <c r="HZ117" s="152"/>
      <c r="IA117" s="152"/>
      <c r="IB117" s="152"/>
      <c r="IC117" s="152"/>
      <c r="ID117" s="152"/>
      <c r="IE117" s="152"/>
      <c r="IF117" s="152"/>
      <c r="IG117" s="152"/>
      <c r="IH117" s="152"/>
      <c r="II117" s="152"/>
      <c r="IJ117" s="152"/>
      <c r="IK117" s="152"/>
      <c r="IL117" s="152"/>
      <c r="IM117" s="152"/>
      <c r="IN117" s="152"/>
      <c r="IO117" s="152"/>
      <c r="IP117" s="152"/>
      <c r="IQ117" s="152"/>
      <c r="IR117" s="152"/>
      <c r="IS117" s="152"/>
      <c r="IT117" s="152"/>
      <c r="IU117" s="152"/>
      <c r="IV117" s="152"/>
      <c r="IW117" s="152"/>
      <c r="IX117" s="152"/>
      <c r="IY117" s="152"/>
      <c r="IZ117" s="152"/>
      <c r="JA117" s="152"/>
      <c r="JB117" s="152"/>
      <c r="JC117" s="152"/>
      <c r="JD117" s="152"/>
      <c r="JE117" s="152"/>
      <c r="JF117" s="152"/>
      <c r="JG117" s="152"/>
      <c r="JH117" s="152"/>
      <c r="JI117" s="152"/>
      <c r="JJ117" s="152"/>
      <c r="JK117" s="152"/>
      <c r="JL117" s="152"/>
      <c r="JM117" s="152"/>
      <c r="JN117" s="152"/>
      <c r="JO117" s="152"/>
      <c r="JP117" s="152"/>
      <c r="JQ117" s="152"/>
      <c r="JR117" s="152"/>
      <c r="JS117" s="152"/>
      <c r="JT117" s="152"/>
      <c r="JU117" s="152"/>
      <c r="JV117" s="152"/>
      <c r="JW117" s="152"/>
      <c r="JX117" s="152"/>
      <c r="JY117" s="152"/>
      <c r="JZ117" s="152"/>
      <c r="KA117" s="152"/>
      <c r="KB117" s="152"/>
      <c r="KC117" s="152"/>
      <c r="KD117" s="152"/>
      <c r="KE117" s="152"/>
      <c r="KF117" s="152"/>
      <c r="KG117" s="152"/>
      <c r="KH117" s="152"/>
      <c r="KI117" s="152"/>
      <c r="KJ117" s="152"/>
      <c r="KK117" s="152"/>
      <c r="KL117" s="152"/>
      <c r="KM117" s="152"/>
      <c r="KN117" s="152"/>
      <c r="KO117" s="152"/>
      <c r="KP117" s="152"/>
      <c r="KQ117" s="152"/>
      <c r="KR117" s="152"/>
      <c r="KS117" s="152"/>
      <c r="KT117" s="152"/>
      <c r="KU117" s="152"/>
      <c r="KV117" s="152"/>
      <c r="KW117" s="152"/>
      <c r="KX117" s="152"/>
      <c r="KY117" s="152"/>
      <c r="KZ117" s="152"/>
      <c r="LA117" s="152"/>
      <c r="LB117" s="152"/>
      <c r="LC117" s="152"/>
      <c r="LD117" s="152"/>
      <c r="LE117" s="152"/>
      <c r="LF117" s="152"/>
      <c r="LG117" s="152"/>
      <c r="LH117" s="152"/>
      <c r="LI117" s="152"/>
      <c r="LJ117" s="152"/>
      <c r="LK117" s="152"/>
      <c r="LL117" s="152"/>
      <c r="LM117" s="152"/>
      <c r="LN117" s="152"/>
      <c r="LO117" s="152"/>
      <c r="LP117" s="152"/>
      <c r="LQ117" s="152"/>
      <c r="LR117" s="152"/>
      <c r="LS117" s="152"/>
      <c r="LT117" s="152"/>
      <c r="LU117" s="152"/>
      <c r="LV117" s="152"/>
      <c r="LW117" s="152"/>
      <c r="LX117" s="152"/>
      <c r="LY117" s="152"/>
      <c r="LZ117" s="152"/>
      <c r="MA117" s="152"/>
      <c r="MB117" s="152"/>
      <c r="MC117" s="152"/>
      <c r="MD117" s="152"/>
      <c r="ME117" s="152"/>
      <c r="MF117" s="152"/>
      <c r="MG117" s="152"/>
      <c r="MH117" s="152"/>
      <c r="MI117" s="152"/>
      <c r="MJ117" s="152"/>
      <c r="MK117" s="152"/>
      <c r="ML117" s="152"/>
      <c r="MM117" s="152"/>
      <c r="MN117" s="152"/>
      <c r="MO117" s="152"/>
      <c r="MP117" s="152"/>
      <c r="MQ117" s="152"/>
      <c r="MR117" s="152"/>
      <c r="MS117" s="152"/>
      <c r="MT117" s="152"/>
    </row>
    <row r="118" spans="1:358" s="1" customFormat="1">
      <c r="A118" s="252"/>
      <c r="B118" s="276"/>
      <c r="C118" s="276"/>
      <c r="D118" s="152"/>
      <c r="E118" s="152"/>
      <c r="F118" s="277"/>
      <c r="G118" s="277"/>
      <c r="H118" s="277"/>
      <c r="I118" s="277"/>
      <c r="J118" s="278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77"/>
      <c r="V118" s="279"/>
      <c r="W118" s="279"/>
      <c r="X118" s="279"/>
      <c r="Y118" s="279"/>
      <c r="Z118" s="280"/>
      <c r="AA118" s="280"/>
      <c r="AB118" s="279"/>
      <c r="AC118" s="279"/>
      <c r="AD118" s="279"/>
      <c r="AE118" s="279"/>
      <c r="AF118" s="279"/>
      <c r="AG118" s="279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52"/>
      <c r="AX118" s="152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  <c r="BK118" s="152"/>
      <c r="BL118" s="152"/>
      <c r="BM118" s="152"/>
      <c r="BN118" s="152"/>
      <c r="BO118" s="152"/>
      <c r="BP118" s="152"/>
      <c r="BQ118" s="152"/>
      <c r="BR118" s="152"/>
      <c r="BS118" s="152"/>
      <c r="BT118" s="152"/>
      <c r="BU118" s="152"/>
      <c r="BV118" s="152"/>
      <c r="BW118" s="152"/>
      <c r="BX118" s="152"/>
      <c r="BY118" s="152"/>
      <c r="BZ118" s="152"/>
      <c r="CA118" s="152"/>
      <c r="CB118" s="152"/>
      <c r="CC118" s="152"/>
      <c r="CD118" s="152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52"/>
      <c r="CO118" s="152"/>
      <c r="CP118" s="152"/>
      <c r="CQ118" s="152"/>
      <c r="CR118" s="152"/>
      <c r="CS118" s="152"/>
      <c r="CT118" s="152"/>
      <c r="CU118" s="152"/>
      <c r="CV118" s="152"/>
      <c r="CW118" s="152"/>
      <c r="CX118" s="152"/>
      <c r="CY118" s="152"/>
      <c r="CZ118" s="152"/>
      <c r="DA118" s="152"/>
      <c r="DB118" s="152"/>
      <c r="DC118" s="152"/>
      <c r="DD118" s="152"/>
      <c r="DE118" s="152"/>
      <c r="DF118" s="152"/>
      <c r="DG118" s="152"/>
      <c r="DH118" s="152"/>
      <c r="DI118" s="152"/>
      <c r="DJ118" s="152"/>
      <c r="DK118" s="152"/>
      <c r="DL118" s="152"/>
      <c r="DM118" s="152"/>
      <c r="DN118" s="152"/>
      <c r="DO118" s="152"/>
      <c r="DP118" s="152"/>
      <c r="DQ118" s="152"/>
      <c r="DR118" s="152"/>
      <c r="DS118" s="152"/>
      <c r="DT118" s="152"/>
      <c r="DU118" s="152"/>
      <c r="DV118" s="152"/>
      <c r="DW118" s="152"/>
      <c r="DX118" s="152"/>
      <c r="DY118" s="152"/>
      <c r="DZ118" s="152"/>
      <c r="EA118" s="152"/>
      <c r="EB118" s="152"/>
      <c r="EC118" s="152"/>
      <c r="ED118" s="152"/>
      <c r="EE118" s="152"/>
      <c r="EF118" s="152"/>
      <c r="EG118" s="152"/>
      <c r="EH118" s="152"/>
      <c r="EI118" s="152"/>
      <c r="EJ118" s="152"/>
      <c r="EK118" s="152"/>
      <c r="EL118" s="152"/>
      <c r="EM118" s="152"/>
      <c r="EN118" s="152"/>
      <c r="EO118" s="152"/>
      <c r="EP118" s="152"/>
      <c r="EQ118" s="152"/>
      <c r="ER118" s="152"/>
      <c r="ES118" s="152"/>
      <c r="ET118" s="152"/>
      <c r="EU118" s="152"/>
      <c r="EV118" s="152"/>
      <c r="EW118" s="152"/>
      <c r="EX118" s="152"/>
      <c r="EY118" s="152"/>
      <c r="EZ118" s="152"/>
      <c r="FA118" s="152"/>
      <c r="FB118" s="152"/>
      <c r="FC118" s="152"/>
      <c r="FD118" s="152"/>
      <c r="FE118" s="152"/>
      <c r="FF118" s="152"/>
      <c r="FG118" s="152"/>
      <c r="FH118" s="152"/>
      <c r="FI118" s="152"/>
      <c r="FJ118" s="152"/>
      <c r="FK118" s="152"/>
      <c r="FL118" s="152"/>
      <c r="FM118" s="152"/>
      <c r="FN118" s="152"/>
      <c r="FO118" s="152"/>
      <c r="FP118" s="152"/>
      <c r="FQ118" s="152"/>
      <c r="FR118" s="152"/>
      <c r="FS118" s="152"/>
      <c r="FT118" s="152"/>
      <c r="FU118" s="152"/>
      <c r="FV118" s="152"/>
      <c r="FW118" s="152"/>
      <c r="FX118" s="152"/>
      <c r="FY118" s="152"/>
      <c r="FZ118" s="152"/>
      <c r="GA118" s="152"/>
      <c r="GB118" s="152"/>
      <c r="GC118" s="152"/>
      <c r="GD118" s="152"/>
      <c r="GE118" s="152"/>
      <c r="GF118" s="152"/>
      <c r="GG118" s="152"/>
      <c r="GH118" s="152"/>
      <c r="GI118" s="152"/>
      <c r="GJ118" s="152"/>
      <c r="GK118" s="152"/>
      <c r="GL118" s="152"/>
      <c r="GM118" s="152"/>
      <c r="GN118" s="152"/>
      <c r="GO118" s="152"/>
      <c r="GP118" s="152"/>
      <c r="GQ118" s="152"/>
      <c r="GR118" s="152"/>
      <c r="GS118" s="152"/>
      <c r="GT118" s="152"/>
      <c r="GU118" s="152"/>
      <c r="GV118" s="152"/>
      <c r="GW118" s="152"/>
      <c r="GX118" s="152"/>
      <c r="GY118" s="152"/>
      <c r="GZ118" s="152"/>
      <c r="HA118" s="152"/>
      <c r="HB118" s="152"/>
      <c r="HC118" s="152"/>
      <c r="HD118" s="152"/>
      <c r="HE118" s="152"/>
      <c r="HF118" s="152"/>
      <c r="HG118" s="152"/>
      <c r="HH118" s="152"/>
      <c r="HI118" s="152"/>
      <c r="HJ118" s="152"/>
      <c r="HK118" s="152"/>
      <c r="HL118" s="152"/>
      <c r="HM118" s="152"/>
      <c r="HN118" s="152"/>
      <c r="HO118" s="152"/>
      <c r="HP118" s="152"/>
      <c r="HQ118" s="152"/>
      <c r="HR118" s="152"/>
      <c r="HS118" s="152"/>
      <c r="HT118" s="152"/>
      <c r="HU118" s="152"/>
      <c r="HV118" s="152"/>
      <c r="HW118" s="152"/>
      <c r="HX118" s="152"/>
      <c r="HY118" s="152"/>
      <c r="HZ118" s="152"/>
      <c r="IA118" s="152"/>
      <c r="IB118" s="152"/>
      <c r="IC118" s="152"/>
      <c r="ID118" s="152"/>
      <c r="IE118" s="152"/>
      <c r="IF118" s="152"/>
      <c r="IG118" s="152"/>
      <c r="IH118" s="152"/>
      <c r="II118" s="152"/>
      <c r="IJ118" s="152"/>
      <c r="IK118" s="152"/>
      <c r="IL118" s="152"/>
      <c r="IM118" s="152"/>
      <c r="IN118" s="152"/>
      <c r="IO118" s="152"/>
      <c r="IP118" s="152"/>
      <c r="IQ118" s="152"/>
      <c r="IR118" s="152"/>
      <c r="IS118" s="152"/>
      <c r="IT118" s="152"/>
      <c r="IU118" s="152"/>
      <c r="IV118" s="152"/>
      <c r="IW118" s="152"/>
      <c r="IX118" s="152"/>
      <c r="IY118" s="152"/>
      <c r="IZ118" s="152"/>
      <c r="JA118" s="152"/>
      <c r="JB118" s="152"/>
      <c r="JC118" s="152"/>
      <c r="JD118" s="152"/>
      <c r="JE118" s="152"/>
      <c r="JF118" s="152"/>
      <c r="JG118" s="152"/>
      <c r="JH118" s="152"/>
      <c r="JI118" s="152"/>
      <c r="JJ118" s="152"/>
      <c r="JK118" s="152"/>
      <c r="JL118" s="152"/>
      <c r="JM118" s="152"/>
      <c r="JN118" s="152"/>
      <c r="JO118" s="152"/>
      <c r="JP118" s="152"/>
      <c r="JQ118" s="152"/>
      <c r="JR118" s="152"/>
      <c r="JS118" s="152"/>
      <c r="JT118" s="152"/>
      <c r="JU118" s="152"/>
      <c r="JV118" s="152"/>
      <c r="JW118" s="152"/>
      <c r="JX118" s="152"/>
      <c r="JY118" s="152"/>
      <c r="JZ118" s="152"/>
      <c r="KA118" s="152"/>
      <c r="KB118" s="152"/>
      <c r="KC118" s="152"/>
      <c r="KD118" s="152"/>
      <c r="KE118" s="152"/>
      <c r="KF118" s="152"/>
      <c r="KG118" s="152"/>
      <c r="KH118" s="152"/>
      <c r="KI118" s="152"/>
      <c r="KJ118" s="152"/>
      <c r="KK118" s="152"/>
      <c r="KL118" s="152"/>
      <c r="KM118" s="152"/>
      <c r="KN118" s="152"/>
      <c r="KO118" s="152"/>
      <c r="KP118" s="152"/>
      <c r="KQ118" s="152"/>
      <c r="KR118" s="152"/>
      <c r="KS118" s="152"/>
      <c r="KT118" s="152"/>
      <c r="KU118" s="152"/>
      <c r="KV118" s="152"/>
      <c r="KW118" s="152"/>
      <c r="KX118" s="152"/>
      <c r="KY118" s="152"/>
      <c r="KZ118" s="152"/>
      <c r="LA118" s="152"/>
      <c r="LB118" s="152"/>
      <c r="LC118" s="152"/>
      <c r="LD118" s="152"/>
      <c r="LE118" s="152"/>
      <c r="LF118" s="152"/>
      <c r="LG118" s="152"/>
      <c r="LH118" s="152"/>
      <c r="LI118" s="152"/>
      <c r="LJ118" s="152"/>
      <c r="LK118" s="152"/>
      <c r="LL118" s="152"/>
      <c r="LM118" s="152"/>
      <c r="LN118" s="152"/>
      <c r="LO118" s="152"/>
      <c r="LP118" s="152"/>
      <c r="LQ118" s="152"/>
      <c r="LR118" s="152"/>
      <c r="LS118" s="152"/>
      <c r="LT118" s="152"/>
      <c r="LU118" s="152"/>
      <c r="LV118" s="152"/>
      <c r="LW118" s="152"/>
      <c r="LX118" s="152"/>
      <c r="LY118" s="152"/>
      <c r="LZ118" s="152"/>
      <c r="MA118" s="152"/>
      <c r="MB118" s="152"/>
      <c r="MC118" s="152"/>
      <c r="MD118" s="152"/>
      <c r="ME118" s="152"/>
      <c r="MF118" s="152"/>
      <c r="MG118" s="152"/>
      <c r="MH118" s="152"/>
      <c r="MI118" s="152"/>
      <c r="MJ118" s="152"/>
      <c r="MK118" s="152"/>
      <c r="ML118" s="152"/>
      <c r="MM118" s="152"/>
      <c r="MN118" s="152"/>
      <c r="MO118" s="152"/>
      <c r="MP118" s="152"/>
      <c r="MQ118" s="152"/>
      <c r="MR118" s="152"/>
      <c r="MS118" s="152"/>
      <c r="MT118" s="152"/>
    </row>
    <row r="119" spans="1:358" s="1" customFormat="1">
      <c r="A119" s="252"/>
      <c r="B119" s="276"/>
      <c r="C119" s="276"/>
      <c r="D119" s="152"/>
      <c r="E119" s="152"/>
      <c r="F119" s="277"/>
      <c r="G119" s="277"/>
      <c r="H119" s="277"/>
      <c r="I119" s="277"/>
      <c r="J119" s="278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9"/>
      <c r="W119" s="279"/>
      <c r="X119" s="279"/>
      <c r="Y119" s="279"/>
      <c r="Z119" s="280"/>
      <c r="AA119" s="280"/>
      <c r="AB119" s="279"/>
      <c r="AC119" s="279"/>
      <c r="AD119" s="279"/>
      <c r="AE119" s="279"/>
      <c r="AF119" s="279"/>
      <c r="AG119" s="279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  <c r="BK119" s="152"/>
      <c r="BL119" s="152"/>
      <c r="BM119" s="152"/>
      <c r="BN119" s="152"/>
      <c r="BO119" s="152"/>
      <c r="BP119" s="152"/>
      <c r="BQ119" s="152"/>
      <c r="BR119" s="152"/>
      <c r="BS119" s="152"/>
      <c r="BT119" s="152"/>
      <c r="BU119" s="152"/>
      <c r="BV119" s="152"/>
      <c r="BW119" s="152"/>
      <c r="BX119" s="152"/>
      <c r="BY119" s="152"/>
      <c r="BZ119" s="152"/>
      <c r="CA119" s="152"/>
      <c r="CB119" s="152"/>
      <c r="CC119" s="152"/>
      <c r="CD119" s="152"/>
      <c r="CE119" s="152"/>
      <c r="CF119" s="152"/>
      <c r="CG119" s="152"/>
      <c r="CH119" s="152"/>
      <c r="CI119" s="152"/>
      <c r="CJ119" s="152"/>
      <c r="CK119" s="152"/>
      <c r="CL119" s="152"/>
      <c r="CM119" s="152"/>
      <c r="CN119" s="152"/>
      <c r="CO119" s="152"/>
      <c r="CP119" s="152"/>
      <c r="CQ119" s="152"/>
      <c r="CR119" s="152"/>
      <c r="CS119" s="152"/>
      <c r="CT119" s="152"/>
      <c r="CU119" s="152"/>
      <c r="CV119" s="152"/>
      <c r="CW119" s="152"/>
      <c r="CX119" s="152"/>
      <c r="CY119" s="152"/>
      <c r="CZ119" s="152"/>
      <c r="DA119" s="152"/>
      <c r="DB119" s="152"/>
      <c r="DC119" s="152"/>
      <c r="DD119" s="152"/>
      <c r="DE119" s="152"/>
      <c r="DF119" s="152"/>
      <c r="DG119" s="152"/>
      <c r="DH119" s="152"/>
      <c r="DI119" s="152"/>
      <c r="DJ119" s="152"/>
      <c r="DK119" s="152"/>
      <c r="DL119" s="152"/>
      <c r="DM119" s="152"/>
      <c r="DN119" s="152"/>
      <c r="DO119" s="152"/>
      <c r="DP119" s="152"/>
      <c r="DQ119" s="152"/>
      <c r="DR119" s="152"/>
      <c r="DS119" s="152"/>
      <c r="DT119" s="152"/>
      <c r="DU119" s="152"/>
      <c r="DV119" s="152"/>
      <c r="DW119" s="152"/>
      <c r="DX119" s="152"/>
      <c r="DY119" s="152"/>
      <c r="DZ119" s="152"/>
      <c r="EA119" s="152"/>
      <c r="EB119" s="152"/>
      <c r="EC119" s="152"/>
      <c r="ED119" s="152"/>
      <c r="EE119" s="152"/>
      <c r="EF119" s="152"/>
      <c r="EG119" s="152"/>
      <c r="EH119" s="152"/>
      <c r="EI119" s="152"/>
      <c r="EJ119" s="152"/>
      <c r="EK119" s="152"/>
      <c r="EL119" s="152"/>
      <c r="EM119" s="152"/>
      <c r="EN119" s="152"/>
      <c r="EO119" s="152"/>
      <c r="EP119" s="152"/>
      <c r="EQ119" s="152"/>
      <c r="ER119" s="152"/>
      <c r="ES119" s="152"/>
      <c r="ET119" s="152"/>
      <c r="EU119" s="152"/>
      <c r="EV119" s="152"/>
      <c r="EW119" s="152"/>
      <c r="EX119" s="152"/>
      <c r="EY119" s="152"/>
      <c r="EZ119" s="152"/>
      <c r="FA119" s="152"/>
      <c r="FB119" s="152"/>
      <c r="FC119" s="152"/>
      <c r="FD119" s="152"/>
      <c r="FE119" s="152"/>
      <c r="FF119" s="152"/>
      <c r="FG119" s="152"/>
      <c r="FH119" s="152"/>
      <c r="FI119" s="152"/>
      <c r="FJ119" s="152"/>
      <c r="FK119" s="152"/>
      <c r="FL119" s="152"/>
      <c r="FM119" s="152"/>
      <c r="FN119" s="152"/>
      <c r="FO119" s="152"/>
      <c r="FP119" s="152"/>
      <c r="FQ119" s="152"/>
      <c r="FR119" s="152"/>
      <c r="FS119" s="152"/>
      <c r="FT119" s="152"/>
      <c r="FU119" s="152"/>
      <c r="FV119" s="152"/>
      <c r="FW119" s="152"/>
      <c r="FX119" s="152"/>
      <c r="FY119" s="152"/>
      <c r="FZ119" s="152"/>
      <c r="GA119" s="152"/>
      <c r="GB119" s="152"/>
      <c r="GC119" s="152"/>
      <c r="GD119" s="152"/>
      <c r="GE119" s="152"/>
      <c r="GF119" s="152"/>
      <c r="GG119" s="152"/>
      <c r="GH119" s="152"/>
      <c r="GI119" s="152"/>
      <c r="GJ119" s="152"/>
      <c r="GK119" s="152"/>
      <c r="GL119" s="152"/>
      <c r="GM119" s="152"/>
      <c r="GN119" s="152"/>
      <c r="GO119" s="152"/>
      <c r="GP119" s="152"/>
      <c r="GQ119" s="152"/>
      <c r="GR119" s="152"/>
      <c r="GS119" s="152"/>
      <c r="GT119" s="152"/>
      <c r="GU119" s="152"/>
      <c r="GV119" s="152"/>
      <c r="GW119" s="152"/>
      <c r="GX119" s="152"/>
      <c r="GY119" s="152"/>
      <c r="GZ119" s="152"/>
      <c r="HA119" s="152"/>
      <c r="HB119" s="152"/>
      <c r="HC119" s="152"/>
      <c r="HD119" s="152"/>
      <c r="HE119" s="152"/>
      <c r="HF119" s="152"/>
      <c r="HG119" s="152"/>
      <c r="HH119" s="152"/>
      <c r="HI119" s="152"/>
      <c r="HJ119" s="152"/>
      <c r="HK119" s="152"/>
      <c r="HL119" s="152"/>
      <c r="HM119" s="152"/>
      <c r="HN119" s="152"/>
      <c r="HO119" s="152"/>
      <c r="HP119" s="152"/>
      <c r="HQ119" s="152"/>
      <c r="HR119" s="152"/>
      <c r="HS119" s="152"/>
      <c r="HT119" s="152"/>
      <c r="HU119" s="152"/>
      <c r="HV119" s="152"/>
      <c r="HW119" s="152"/>
      <c r="HX119" s="152"/>
      <c r="HY119" s="152"/>
      <c r="HZ119" s="152"/>
      <c r="IA119" s="152"/>
      <c r="IB119" s="152"/>
      <c r="IC119" s="152"/>
      <c r="ID119" s="152"/>
      <c r="IE119" s="152"/>
      <c r="IF119" s="152"/>
      <c r="IG119" s="152"/>
      <c r="IH119" s="152"/>
      <c r="II119" s="152"/>
      <c r="IJ119" s="152"/>
      <c r="IK119" s="152"/>
      <c r="IL119" s="152"/>
      <c r="IM119" s="152"/>
      <c r="IN119" s="152"/>
      <c r="IO119" s="152"/>
      <c r="IP119" s="152"/>
      <c r="IQ119" s="152"/>
      <c r="IR119" s="152"/>
      <c r="IS119" s="152"/>
      <c r="IT119" s="152"/>
      <c r="IU119" s="152"/>
      <c r="IV119" s="152"/>
      <c r="IW119" s="152"/>
      <c r="IX119" s="152"/>
      <c r="IY119" s="152"/>
      <c r="IZ119" s="152"/>
      <c r="JA119" s="152"/>
      <c r="JB119" s="152"/>
      <c r="JC119" s="152"/>
      <c r="JD119" s="152"/>
      <c r="JE119" s="152"/>
      <c r="JF119" s="152"/>
      <c r="JG119" s="152"/>
      <c r="JH119" s="152"/>
      <c r="JI119" s="152"/>
      <c r="JJ119" s="152"/>
      <c r="JK119" s="152"/>
      <c r="JL119" s="152"/>
      <c r="JM119" s="152"/>
      <c r="JN119" s="152"/>
      <c r="JO119" s="152"/>
      <c r="JP119" s="152"/>
      <c r="JQ119" s="152"/>
      <c r="JR119" s="152"/>
      <c r="JS119" s="152"/>
      <c r="JT119" s="152"/>
      <c r="JU119" s="152"/>
      <c r="JV119" s="152"/>
      <c r="JW119" s="152"/>
      <c r="JX119" s="152"/>
      <c r="JY119" s="152"/>
      <c r="JZ119" s="152"/>
      <c r="KA119" s="152"/>
      <c r="KB119" s="152"/>
      <c r="KC119" s="152"/>
      <c r="KD119" s="152"/>
      <c r="KE119" s="152"/>
      <c r="KF119" s="152"/>
      <c r="KG119" s="152"/>
      <c r="KH119" s="152"/>
      <c r="KI119" s="152"/>
      <c r="KJ119" s="152"/>
      <c r="KK119" s="152"/>
      <c r="KL119" s="152"/>
      <c r="KM119" s="152"/>
      <c r="KN119" s="152"/>
      <c r="KO119" s="152"/>
      <c r="KP119" s="152"/>
      <c r="KQ119" s="152"/>
      <c r="KR119" s="152"/>
      <c r="KS119" s="152"/>
      <c r="KT119" s="152"/>
      <c r="KU119" s="152"/>
      <c r="KV119" s="152"/>
      <c r="KW119" s="152"/>
      <c r="KX119" s="152"/>
      <c r="KY119" s="152"/>
      <c r="KZ119" s="152"/>
      <c r="LA119" s="152"/>
      <c r="LB119" s="152"/>
      <c r="LC119" s="152"/>
      <c r="LD119" s="152"/>
      <c r="LE119" s="152"/>
      <c r="LF119" s="152"/>
      <c r="LG119" s="152"/>
      <c r="LH119" s="152"/>
      <c r="LI119" s="152"/>
      <c r="LJ119" s="152"/>
      <c r="LK119" s="152"/>
      <c r="LL119" s="152"/>
      <c r="LM119" s="152"/>
      <c r="LN119" s="152"/>
      <c r="LO119" s="152"/>
      <c r="LP119" s="152"/>
      <c r="LQ119" s="152"/>
      <c r="LR119" s="152"/>
      <c r="LS119" s="152"/>
      <c r="LT119" s="152"/>
      <c r="LU119" s="152"/>
      <c r="LV119" s="152"/>
      <c r="LW119" s="152"/>
      <c r="LX119" s="152"/>
      <c r="LY119" s="152"/>
      <c r="LZ119" s="152"/>
      <c r="MA119" s="152"/>
      <c r="MB119" s="152"/>
      <c r="MC119" s="152"/>
      <c r="MD119" s="152"/>
      <c r="ME119" s="152"/>
      <c r="MF119" s="152"/>
      <c r="MG119" s="152"/>
      <c r="MH119" s="152"/>
      <c r="MI119" s="152"/>
      <c r="MJ119" s="152"/>
      <c r="MK119" s="152"/>
      <c r="ML119" s="152"/>
      <c r="MM119" s="152"/>
      <c r="MN119" s="152"/>
      <c r="MO119" s="152"/>
      <c r="MP119" s="152"/>
      <c r="MQ119" s="152"/>
      <c r="MR119" s="152"/>
      <c r="MS119" s="152"/>
      <c r="MT119" s="152"/>
    </row>
    <row r="120" spans="1:358" s="1" customFormat="1">
      <c r="A120" s="252"/>
      <c r="B120" s="276"/>
      <c r="C120" s="276"/>
      <c r="D120" s="152"/>
      <c r="E120" s="152"/>
      <c r="F120" s="277"/>
      <c r="G120" s="277"/>
      <c r="H120" s="277"/>
      <c r="I120" s="277"/>
      <c r="J120" s="278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277"/>
      <c r="V120" s="279"/>
      <c r="W120" s="279"/>
      <c r="X120" s="279"/>
      <c r="Y120" s="279"/>
      <c r="Z120" s="280"/>
      <c r="AA120" s="280"/>
      <c r="AB120" s="279"/>
      <c r="AC120" s="279"/>
      <c r="AD120" s="279"/>
      <c r="AE120" s="279"/>
      <c r="AF120" s="279"/>
      <c r="AG120" s="279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  <c r="BK120" s="152"/>
      <c r="BL120" s="152"/>
      <c r="BM120" s="152"/>
      <c r="BN120" s="152"/>
      <c r="BO120" s="152"/>
      <c r="BP120" s="152"/>
      <c r="BQ120" s="152"/>
      <c r="BR120" s="152"/>
      <c r="BS120" s="152"/>
      <c r="BT120" s="152"/>
      <c r="BU120" s="152"/>
      <c r="BV120" s="152"/>
      <c r="BW120" s="152"/>
      <c r="BX120" s="152"/>
      <c r="BY120" s="152"/>
      <c r="BZ120" s="152"/>
      <c r="CA120" s="152"/>
      <c r="CB120" s="152"/>
      <c r="CC120" s="152"/>
      <c r="CD120" s="152"/>
      <c r="CE120" s="152"/>
      <c r="CF120" s="152"/>
      <c r="CG120" s="152"/>
      <c r="CH120" s="152"/>
      <c r="CI120" s="152"/>
      <c r="CJ120" s="152"/>
      <c r="CK120" s="152"/>
      <c r="CL120" s="152"/>
      <c r="CM120" s="152"/>
      <c r="CN120" s="152"/>
      <c r="CO120" s="152"/>
      <c r="CP120" s="152"/>
      <c r="CQ120" s="152"/>
      <c r="CR120" s="152"/>
      <c r="CS120" s="152"/>
      <c r="CT120" s="152"/>
      <c r="CU120" s="152"/>
      <c r="CV120" s="152"/>
      <c r="CW120" s="152"/>
      <c r="CX120" s="152"/>
      <c r="CY120" s="152"/>
      <c r="CZ120" s="152"/>
      <c r="DA120" s="152"/>
      <c r="DB120" s="152"/>
      <c r="DC120" s="152"/>
      <c r="DD120" s="152"/>
      <c r="DE120" s="152"/>
      <c r="DF120" s="152"/>
      <c r="DG120" s="152"/>
      <c r="DH120" s="152"/>
      <c r="DI120" s="152"/>
      <c r="DJ120" s="152"/>
      <c r="DK120" s="152"/>
      <c r="DL120" s="152"/>
      <c r="DM120" s="152"/>
      <c r="DN120" s="152"/>
      <c r="DO120" s="152"/>
      <c r="DP120" s="152"/>
      <c r="DQ120" s="152"/>
      <c r="DR120" s="152"/>
      <c r="DS120" s="152"/>
      <c r="DT120" s="152"/>
      <c r="DU120" s="152"/>
      <c r="DV120" s="152"/>
      <c r="DW120" s="152"/>
      <c r="DX120" s="152"/>
      <c r="DY120" s="152"/>
      <c r="DZ120" s="152"/>
      <c r="EA120" s="152"/>
      <c r="EB120" s="152"/>
      <c r="EC120" s="152"/>
      <c r="ED120" s="152"/>
      <c r="EE120" s="152"/>
      <c r="EF120" s="152"/>
      <c r="EG120" s="152"/>
      <c r="EH120" s="152"/>
      <c r="EI120" s="152"/>
      <c r="EJ120" s="152"/>
      <c r="EK120" s="152"/>
      <c r="EL120" s="152"/>
      <c r="EM120" s="152"/>
      <c r="EN120" s="152"/>
      <c r="EO120" s="152"/>
      <c r="EP120" s="152"/>
      <c r="EQ120" s="152"/>
      <c r="ER120" s="152"/>
      <c r="ES120" s="152"/>
      <c r="ET120" s="152"/>
      <c r="EU120" s="152"/>
      <c r="EV120" s="152"/>
      <c r="EW120" s="152"/>
      <c r="EX120" s="152"/>
      <c r="EY120" s="152"/>
      <c r="EZ120" s="152"/>
      <c r="FA120" s="152"/>
      <c r="FB120" s="152"/>
      <c r="FC120" s="152"/>
      <c r="FD120" s="152"/>
      <c r="FE120" s="152"/>
      <c r="FF120" s="152"/>
      <c r="FG120" s="152"/>
      <c r="FH120" s="152"/>
      <c r="FI120" s="152"/>
      <c r="FJ120" s="152"/>
      <c r="FK120" s="152"/>
      <c r="FL120" s="152"/>
      <c r="FM120" s="152"/>
      <c r="FN120" s="152"/>
      <c r="FO120" s="152"/>
      <c r="FP120" s="152"/>
      <c r="FQ120" s="152"/>
      <c r="FR120" s="152"/>
      <c r="FS120" s="152"/>
      <c r="FT120" s="152"/>
      <c r="FU120" s="152"/>
      <c r="FV120" s="152"/>
      <c r="FW120" s="152"/>
      <c r="FX120" s="152"/>
      <c r="FY120" s="152"/>
      <c r="FZ120" s="152"/>
      <c r="GA120" s="152"/>
      <c r="GB120" s="152"/>
      <c r="GC120" s="152"/>
      <c r="GD120" s="152"/>
      <c r="GE120" s="152"/>
      <c r="GF120" s="152"/>
      <c r="GG120" s="152"/>
      <c r="GH120" s="152"/>
      <c r="GI120" s="152"/>
      <c r="GJ120" s="152"/>
      <c r="GK120" s="152"/>
      <c r="GL120" s="152"/>
      <c r="GM120" s="152"/>
      <c r="GN120" s="152"/>
      <c r="GO120" s="152"/>
      <c r="GP120" s="152"/>
      <c r="GQ120" s="152"/>
      <c r="GR120" s="152"/>
      <c r="GS120" s="152"/>
      <c r="GT120" s="152"/>
      <c r="GU120" s="152"/>
      <c r="GV120" s="152"/>
      <c r="GW120" s="152"/>
      <c r="GX120" s="152"/>
      <c r="GY120" s="152"/>
      <c r="GZ120" s="152"/>
      <c r="HA120" s="152"/>
      <c r="HB120" s="152"/>
      <c r="HC120" s="152"/>
      <c r="HD120" s="152"/>
      <c r="HE120" s="152"/>
      <c r="HF120" s="152"/>
      <c r="HG120" s="152"/>
      <c r="HH120" s="152"/>
      <c r="HI120" s="152"/>
      <c r="HJ120" s="152"/>
      <c r="HK120" s="152"/>
      <c r="HL120" s="152"/>
      <c r="HM120" s="152"/>
      <c r="HN120" s="152"/>
      <c r="HO120" s="152"/>
      <c r="HP120" s="152"/>
      <c r="HQ120" s="152"/>
      <c r="HR120" s="152"/>
      <c r="HS120" s="152"/>
      <c r="HT120" s="152"/>
      <c r="HU120" s="152"/>
      <c r="HV120" s="152"/>
      <c r="HW120" s="152"/>
      <c r="HX120" s="152"/>
      <c r="HY120" s="152"/>
      <c r="HZ120" s="152"/>
      <c r="IA120" s="152"/>
      <c r="IB120" s="152"/>
      <c r="IC120" s="152"/>
      <c r="ID120" s="152"/>
      <c r="IE120" s="152"/>
      <c r="IF120" s="152"/>
      <c r="IG120" s="152"/>
      <c r="IH120" s="152"/>
      <c r="II120" s="152"/>
      <c r="IJ120" s="152"/>
      <c r="IK120" s="152"/>
      <c r="IL120" s="152"/>
      <c r="IM120" s="152"/>
      <c r="IN120" s="152"/>
      <c r="IO120" s="152"/>
      <c r="IP120" s="152"/>
      <c r="IQ120" s="152"/>
      <c r="IR120" s="152"/>
      <c r="IS120" s="152"/>
      <c r="IT120" s="152"/>
      <c r="IU120" s="152"/>
      <c r="IV120" s="152"/>
      <c r="IW120" s="152"/>
      <c r="IX120" s="152"/>
      <c r="IY120" s="152"/>
      <c r="IZ120" s="152"/>
      <c r="JA120" s="152"/>
      <c r="JB120" s="152"/>
      <c r="JC120" s="152"/>
      <c r="JD120" s="152"/>
      <c r="JE120" s="152"/>
      <c r="JF120" s="152"/>
      <c r="JG120" s="152"/>
      <c r="JH120" s="152"/>
      <c r="JI120" s="152"/>
      <c r="JJ120" s="152"/>
      <c r="JK120" s="152"/>
      <c r="JL120" s="152"/>
      <c r="JM120" s="152"/>
      <c r="JN120" s="152"/>
      <c r="JO120" s="152"/>
      <c r="JP120" s="152"/>
      <c r="JQ120" s="152"/>
      <c r="JR120" s="152"/>
      <c r="JS120" s="152"/>
      <c r="JT120" s="152"/>
      <c r="JU120" s="152"/>
      <c r="JV120" s="152"/>
      <c r="JW120" s="152"/>
      <c r="JX120" s="152"/>
      <c r="JY120" s="152"/>
      <c r="JZ120" s="152"/>
      <c r="KA120" s="152"/>
      <c r="KB120" s="152"/>
      <c r="KC120" s="152"/>
      <c r="KD120" s="152"/>
      <c r="KE120" s="152"/>
      <c r="KF120" s="152"/>
      <c r="KG120" s="152"/>
      <c r="KH120" s="152"/>
      <c r="KI120" s="152"/>
      <c r="KJ120" s="152"/>
      <c r="KK120" s="152"/>
      <c r="KL120" s="152"/>
      <c r="KM120" s="152"/>
      <c r="KN120" s="152"/>
      <c r="KO120" s="152"/>
      <c r="KP120" s="152"/>
      <c r="KQ120" s="152"/>
      <c r="KR120" s="152"/>
      <c r="KS120" s="152"/>
      <c r="KT120" s="152"/>
      <c r="KU120" s="152"/>
      <c r="KV120" s="152"/>
      <c r="KW120" s="152"/>
      <c r="KX120" s="152"/>
      <c r="KY120" s="152"/>
      <c r="KZ120" s="152"/>
      <c r="LA120" s="152"/>
      <c r="LB120" s="152"/>
      <c r="LC120" s="152"/>
      <c r="LD120" s="152"/>
      <c r="LE120" s="152"/>
      <c r="LF120" s="152"/>
      <c r="LG120" s="152"/>
      <c r="LH120" s="152"/>
      <c r="LI120" s="152"/>
      <c r="LJ120" s="152"/>
      <c r="LK120" s="152"/>
      <c r="LL120" s="152"/>
      <c r="LM120" s="152"/>
      <c r="LN120" s="152"/>
      <c r="LO120" s="152"/>
      <c r="LP120" s="152"/>
      <c r="LQ120" s="152"/>
      <c r="LR120" s="152"/>
      <c r="LS120" s="152"/>
      <c r="LT120" s="152"/>
      <c r="LU120" s="152"/>
      <c r="LV120" s="152"/>
      <c r="LW120" s="152"/>
      <c r="LX120" s="152"/>
      <c r="LY120" s="152"/>
      <c r="LZ120" s="152"/>
      <c r="MA120" s="152"/>
      <c r="MB120" s="152"/>
      <c r="MC120" s="152"/>
      <c r="MD120" s="152"/>
      <c r="ME120" s="152"/>
      <c r="MF120" s="152"/>
      <c r="MG120" s="152"/>
      <c r="MH120" s="152"/>
      <c r="MI120" s="152"/>
      <c r="MJ120" s="152"/>
      <c r="MK120" s="152"/>
      <c r="ML120" s="152"/>
      <c r="MM120" s="152"/>
      <c r="MN120" s="152"/>
      <c r="MO120" s="152"/>
      <c r="MP120" s="152"/>
      <c r="MQ120" s="152"/>
      <c r="MR120" s="152"/>
      <c r="MS120" s="152"/>
      <c r="MT120" s="152"/>
    </row>
    <row r="121" spans="1:358" s="1" customFormat="1">
      <c r="A121" s="252"/>
      <c r="B121" s="276"/>
      <c r="C121" s="276"/>
      <c r="D121" s="152"/>
      <c r="E121" s="152"/>
      <c r="F121" s="277"/>
      <c r="G121" s="277"/>
      <c r="H121" s="277"/>
      <c r="I121" s="277"/>
      <c r="J121" s="278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9"/>
      <c r="W121" s="279"/>
      <c r="X121" s="279"/>
      <c r="Y121" s="279"/>
      <c r="Z121" s="280"/>
      <c r="AA121" s="280"/>
      <c r="AB121" s="279"/>
      <c r="AC121" s="279"/>
      <c r="AD121" s="279"/>
      <c r="AE121" s="279"/>
      <c r="AF121" s="279"/>
      <c r="AG121" s="279"/>
      <c r="AH121" s="152"/>
      <c r="AI121" s="152"/>
      <c r="AJ121" s="152"/>
      <c r="AK121" s="152"/>
      <c r="AL121" s="152"/>
      <c r="AM121" s="152"/>
      <c r="AN121" s="152"/>
      <c r="AO121" s="152"/>
      <c r="AP121" s="152"/>
      <c r="AQ121" s="152"/>
      <c r="AR121" s="152"/>
      <c r="AS121" s="152"/>
      <c r="AT121" s="152"/>
      <c r="AU121" s="152"/>
      <c r="AV121" s="152"/>
      <c r="AW121" s="152"/>
      <c r="AX121" s="152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  <c r="BK121" s="152"/>
      <c r="BL121" s="152"/>
      <c r="BM121" s="152"/>
      <c r="BN121" s="152"/>
      <c r="BO121" s="152"/>
      <c r="BP121" s="152"/>
      <c r="BQ121" s="152"/>
      <c r="BR121" s="152"/>
      <c r="BS121" s="152"/>
      <c r="BT121" s="152"/>
      <c r="BU121" s="152"/>
      <c r="BV121" s="152"/>
      <c r="BW121" s="152"/>
      <c r="BX121" s="152"/>
      <c r="BY121" s="152"/>
      <c r="BZ121" s="152"/>
      <c r="CA121" s="152"/>
      <c r="CB121" s="152"/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152"/>
      <c r="DC121" s="152"/>
      <c r="DD121" s="152"/>
      <c r="DE121" s="152"/>
      <c r="DF121" s="152"/>
      <c r="DG121" s="152"/>
      <c r="DH121" s="152"/>
      <c r="DI121" s="152"/>
      <c r="DJ121" s="152"/>
      <c r="DK121" s="152"/>
      <c r="DL121" s="152"/>
      <c r="DM121" s="152"/>
      <c r="DN121" s="152"/>
      <c r="DO121" s="152"/>
      <c r="DP121" s="152"/>
      <c r="DQ121" s="152"/>
      <c r="DR121" s="152"/>
      <c r="DS121" s="152"/>
      <c r="DT121" s="152"/>
      <c r="DU121" s="152"/>
      <c r="DV121" s="152"/>
      <c r="DW121" s="152"/>
      <c r="DX121" s="152"/>
      <c r="DY121" s="152"/>
      <c r="DZ121" s="152"/>
      <c r="EA121" s="152"/>
      <c r="EB121" s="152"/>
      <c r="EC121" s="152"/>
      <c r="ED121" s="152"/>
      <c r="EE121" s="152"/>
      <c r="EF121" s="152"/>
      <c r="EG121" s="152"/>
      <c r="EH121" s="152"/>
      <c r="EI121" s="152"/>
      <c r="EJ121" s="152"/>
      <c r="EK121" s="152"/>
      <c r="EL121" s="152"/>
      <c r="EM121" s="152"/>
      <c r="EN121" s="152"/>
      <c r="EO121" s="152"/>
      <c r="EP121" s="152"/>
      <c r="EQ121" s="152"/>
      <c r="ER121" s="152"/>
      <c r="ES121" s="152"/>
      <c r="ET121" s="152"/>
      <c r="EU121" s="152"/>
      <c r="EV121" s="152"/>
      <c r="EW121" s="152"/>
      <c r="EX121" s="152"/>
      <c r="EY121" s="152"/>
      <c r="EZ121" s="152"/>
      <c r="FA121" s="152"/>
      <c r="FB121" s="152"/>
      <c r="FC121" s="152"/>
      <c r="FD121" s="152"/>
      <c r="FE121" s="152"/>
      <c r="FF121" s="152"/>
      <c r="FG121" s="152"/>
      <c r="FH121" s="152"/>
      <c r="FI121" s="152"/>
      <c r="FJ121" s="152"/>
      <c r="FK121" s="152"/>
      <c r="FL121" s="152"/>
      <c r="FM121" s="152"/>
      <c r="FN121" s="152"/>
      <c r="FO121" s="152"/>
      <c r="FP121" s="152"/>
      <c r="FQ121" s="152"/>
      <c r="FR121" s="152"/>
      <c r="FS121" s="152"/>
      <c r="FT121" s="152"/>
      <c r="FU121" s="152"/>
      <c r="FV121" s="152"/>
      <c r="FW121" s="152"/>
      <c r="FX121" s="152"/>
      <c r="FY121" s="152"/>
      <c r="FZ121" s="152"/>
      <c r="GA121" s="152"/>
      <c r="GB121" s="152"/>
      <c r="GC121" s="152"/>
      <c r="GD121" s="152"/>
      <c r="GE121" s="152"/>
      <c r="GF121" s="152"/>
      <c r="GG121" s="152"/>
      <c r="GH121" s="152"/>
      <c r="GI121" s="152"/>
      <c r="GJ121" s="152"/>
      <c r="GK121" s="152"/>
      <c r="GL121" s="152"/>
      <c r="GM121" s="152"/>
      <c r="GN121" s="152"/>
      <c r="GO121" s="152"/>
      <c r="GP121" s="152"/>
      <c r="GQ121" s="152"/>
      <c r="GR121" s="152"/>
      <c r="GS121" s="152"/>
      <c r="GT121" s="152"/>
      <c r="GU121" s="152"/>
      <c r="GV121" s="152"/>
      <c r="GW121" s="152"/>
      <c r="GX121" s="152"/>
      <c r="GY121" s="152"/>
      <c r="GZ121" s="152"/>
      <c r="HA121" s="152"/>
      <c r="HB121" s="152"/>
      <c r="HC121" s="152"/>
      <c r="HD121" s="152"/>
      <c r="HE121" s="152"/>
      <c r="HF121" s="152"/>
      <c r="HG121" s="152"/>
      <c r="HH121" s="152"/>
      <c r="HI121" s="152"/>
      <c r="HJ121" s="152"/>
      <c r="HK121" s="152"/>
      <c r="HL121" s="152"/>
      <c r="HM121" s="152"/>
      <c r="HN121" s="152"/>
      <c r="HO121" s="152"/>
      <c r="HP121" s="152"/>
      <c r="HQ121" s="152"/>
      <c r="HR121" s="152"/>
      <c r="HS121" s="152"/>
      <c r="HT121" s="152"/>
      <c r="HU121" s="152"/>
      <c r="HV121" s="152"/>
      <c r="HW121" s="152"/>
      <c r="HX121" s="152"/>
      <c r="HY121" s="152"/>
      <c r="HZ121" s="152"/>
      <c r="IA121" s="152"/>
      <c r="IB121" s="152"/>
      <c r="IC121" s="152"/>
      <c r="ID121" s="152"/>
      <c r="IE121" s="152"/>
      <c r="IF121" s="152"/>
      <c r="IG121" s="152"/>
      <c r="IH121" s="152"/>
      <c r="II121" s="152"/>
      <c r="IJ121" s="152"/>
      <c r="IK121" s="152"/>
      <c r="IL121" s="152"/>
      <c r="IM121" s="152"/>
      <c r="IN121" s="152"/>
      <c r="IO121" s="152"/>
      <c r="IP121" s="152"/>
      <c r="IQ121" s="152"/>
      <c r="IR121" s="152"/>
      <c r="IS121" s="152"/>
      <c r="IT121" s="152"/>
      <c r="IU121" s="152"/>
      <c r="IV121" s="152"/>
      <c r="IW121" s="152"/>
      <c r="IX121" s="152"/>
      <c r="IY121" s="152"/>
      <c r="IZ121" s="152"/>
      <c r="JA121" s="152"/>
      <c r="JB121" s="152"/>
      <c r="JC121" s="152"/>
      <c r="JD121" s="152"/>
      <c r="JE121" s="152"/>
      <c r="JF121" s="152"/>
      <c r="JG121" s="152"/>
      <c r="JH121" s="152"/>
      <c r="JI121" s="152"/>
      <c r="JJ121" s="152"/>
      <c r="JK121" s="152"/>
      <c r="JL121" s="152"/>
      <c r="JM121" s="152"/>
      <c r="JN121" s="152"/>
      <c r="JO121" s="152"/>
      <c r="JP121" s="152"/>
      <c r="JQ121" s="152"/>
      <c r="JR121" s="152"/>
      <c r="JS121" s="152"/>
      <c r="JT121" s="152"/>
      <c r="JU121" s="152"/>
      <c r="JV121" s="152"/>
      <c r="JW121" s="152"/>
      <c r="JX121" s="152"/>
      <c r="JY121" s="152"/>
      <c r="JZ121" s="152"/>
      <c r="KA121" s="152"/>
      <c r="KB121" s="152"/>
      <c r="KC121" s="152"/>
      <c r="KD121" s="152"/>
      <c r="KE121" s="152"/>
      <c r="KF121" s="152"/>
      <c r="KG121" s="152"/>
      <c r="KH121" s="152"/>
      <c r="KI121" s="152"/>
      <c r="KJ121" s="152"/>
      <c r="KK121" s="152"/>
      <c r="KL121" s="152"/>
      <c r="KM121" s="152"/>
      <c r="KN121" s="152"/>
      <c r="KO121" s="152"/>
      <c r="KP121" s="152"/>
      <c r="KQ121" s="152"/>
      <c r="KR121" s="152"/>
      <c r="KS121" s="152"/>
      <c r="KT121" s="152"/>
      <c r="KU121" s="152"/>
      <c r="KV121" s="152"/>
      <c r="KW121" s="152"/>
      <c r="KX121" s="152"/>
      <c r="KY121" s="152"/>
      <c r="KZ121" s="152"/>
      <c r="LA121" s="152"/>
      <c r="LB121" s="152"/>
      <c r="LC121" s="152"/>
      <c r="LD121" s="152"/>
      <c r="LE121" s="152"/>
      <c r="LF121" s="152"/>
      <c r="LG121" s="152"/>
      <c r="LH121" s="152"/>
      <c r="LI121" s="152"/>
      <c r="LJ121" s="152"/>
      <c r="LK121" s="152"/>
      <c r="LL121" s="152"/>
      <c r="LM121" s="152"/>
      <c r="LN121" s="152"/>
      <c r="LO121" s="152"/>
      <c r="LP121" s="152"/>
      <c r="LQ121" s="152"/>
      <c r="LR121" s="152"/>
      <c r="LS121" s="152"/>
      <c r="LT121" s="152"/>
      <c r="LU121" s="152"/>
      <c r="LV121" s="152"/>
      <c r="LW121" s="152"/>
      <c r="LX121" s="152"/>
      <c r="LY121" s="152"/>
      <c r="LZ121" s="152"/>
      <c r="MA121" s="152"/>
      <c r="MB121" s="152"/>
      <c r="MC121" s="152"/>
      <c r="MD121" s="152"/>
      <c r="ME121" s="152"/>
      <c r="MF121" s="152"/>
      <c r="MG121" s="152"/>
      <c r="MH121" s="152"/>
      <c r="MI121" s="152"/>
      <c r="MJ121" s="152"/>
      <c r="MK121" s="152"/>
      <c r="ML121" s="152"/>
      <c r="MM121" s="152"/>
      <c r="MN121" s="152"/>
      <c r="MO121" s="152"/>
      <c r="MP121" s="152"/>
      <c r="MQ121" s="152"/>
      <c r="MR121" s="152"/>
      <c r="MS121" s="152"/>
      <c r="MT121" s="152"/>
    </row>
    <row r="122" spans="1:358" s="1" customFormat="1">
      <c r="A122" s="252"/>
      <c r="B122" s="276"/>
      <c r="C122" s="276"/>
      <c r="D122" s="152"/>
      <c r="E122" s="152"/>
      <c r="F122" s="277"/>
      <c r="G122" s="277"/>
      <c r="H122" s="277"/>
      <c r="I122" s="277"/>
      <c r="J122" s="278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9"/>
      <c r="W122" s="279"/>
      <c r="X122" s="279"/>
      <c r="Y122" s="279"/>
      <c r="Z122" s="280"/>
      <c r="AA122" s="280"/>
      <c r="AB122" s="279"/>
      <c r="AC122" s="279"/>
      <c r="AD122" s="279"/>
      <c r="AE122" s="279"/>
      <c r="AF122" s="279"/>
      <c r="AG122" s="279"/>
      <c r="AH122" s="152"/>
      <c r="AI122" s="152"/>
      <c r="AJ122" s="152"/>
      <c r="AK122" s="152"/>
      <c r="AL122" s="152"/>
      <c r="AM122" s="152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152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52"/>
      <c r="CO122" s="152"/>
      <c r="CP122" s="152"/>
      <c r="CQ122" s="152"/>
      <c r="CR122" s="152"/>
      <c r="CS122" s="152"/>
      <c r="CT122" s="152"/>
      <c r="CU122" s="152"/>
      <c r="CV122" s="152"/>
      <c r="CW122" s="152"/>
      <c r="CX122" s="152"/>
      <c r="CY122" s="152"/>
      <c r="CZ122" s="152"/>
      <c r="DA122" s="152"/>
      <c r="DB122" s="152"/>
      <c r="DC122" s="152"/>
      <c r="DD122" s="152"/>
      <c r="DE122" s="152"/>
      <c r="DF122" s="152"/>
      <c r="DG122" s="152"/>
      <c r="DH122" s="152"/>
      <c r="DI122" s="152"/>
      <c r="DJ122" s="152"/>
      <c r="DK122" s="152"/>
      <c r="DL122" s="152"/>
      <c r="DM122" s="152"/>
      <c r="DN122" s="152"/>
      <c r="DO122" s="152"/>
      <c r="DP122" s="152"/>
      <c r="DQ122" s="152"/>
      <c r="DR122" s="152"/>
      <c r="DS122" s="152"/>
      <c r="DT122" s="152"/>
      <c r="DU122" s="152"/>
      <c r="DV122" s="152"/>
      <c r="DW122" s="152"/>
      <c r="DX122" s="152"/>
      <c r="DY122" s="152"/>
      <c r="DZ122" s="152"/>
      <c r="EA122" s="152"/>
      <c r="EB122" s="152"/>
      <c r="EC122" s="152"/>
      <c r="ED122" s="152"/>
      <c r="EE122" s="152"/>
      <c r="EF122" s="152"/>
      <c r="EG122" s="152"/>
      <c r="EH122" s="152"/>
      <c r="EI122" s="152"/>
      <c r="EJ122" s="152"/>
      <c r="EK122" s="152"/>
      <c r="EL122" s="152"/>
      <c r="EM122" s="152"/>
      <c r="EN122" s="152"/>
      <c r="EO122" s="152"/>
      <c r="EP122" s="152"/>
      <c r="EQ122" s="152"/>
      <c r="ER122" s="152"/>
      <c r="ES122" s="152"/>
      <c r="ET122" s="152"/>
      <c r="EU122" s="152"/>
      <c r="EV122" s="152"/>
      <c r="EW122" s="152"/>
      <c r="EX122" s="152"/>
      <c r="EY122" s="152"/>
      <c r="EZ122" s="152"/>
      <c r="FA122" s="152"/>
      <c r="FB122" s="152"/>
      <c r="FC122" s="152"/>
      <c r="FD122" s="152"/>
      <c r="FE122" s="152"/>
      <c r="FF122" s="152"/>
      <c r="FG122" s="152"/>
      <c r="FH122" s="152"/>
      <c r="FI122" s="152"/>
      <c r="FJ122" s="152"/>
      <c r="FK122" s="152"/>
      <c r="FL122" s="152"/>
      <c r="FM122" s="152"/>
      <c r="FN122" s="152"/>
      <c r="FO122" s="152"/>
      <c r="FP122" s="152"/>
      <c r="FQ122" s="152"/>
      <c r="FR122" s="152"/>
      <c r="FS122" s="152"/>
      <c r="FT122" s="152"/>
      <c r="FU122" s="152"/>
      <c r="FV122" s="152"/>
      <c r="FW122" s="152"/>
      <c r="FX122" s="152"/>
      <c r="FY122" s="152"/>
      <c r="FZ122" s="152"/>
      <c r="GA122" s="152"/>
      <c r="GB122" s="152"/>
      <c r="GC122" s="152"/>
      <c r="GD122" s="152"/>
      <c r="GE122" s="152"/>
      <c r="GF122" s="152"/>
      <c r="GG122" s="152"/>
      <c r="GH122" s="152"/>
      <c r="GI122" s="152"/>
      <c r="GJ122" s="152"/>
      <c r="GK122" s="152"/>
      <c r="GL122" s="152"/>
      <c r="GM122" s="152"/>
      <c r="GN122" s="152"/>
      <c r="GO122" s="152"/>
      <c r="GP122" s="152"/>
      <c r="GQ122" s="152"/>
      <c r="GR122" s="152"/>
      <c r="GS122" s="152"/>
      <c r="GT122" s="152"/>
      <c r="GU122" s="152"/>
      <c r="GV122" s="152"/>
      <c r="GW122" s="152"/>
      <c r="GX122" s="152"/>
      <c r="GY122" s="152"/>
      <c r="GZ122" s="152"/>
      <c r="HA122" s="152"/>
      <c r="HB122" s="152"/>
      <c r="HC122" s="152"/>
      <c r="HD122" s="152"/>
      <c r="HE122" s="152"/>
      <c r="HF122" s="152"/>
      <c r="HG122" s="152"/>
      <c r="HH122" s="152"/>
      <c r="HI122" s="152"/>
      <c r="HJ122" s="152"/>
      <c r="HK122" s="152"/>
      <c r="HL122" s="152"/>
      <c r="HM122" s="152"/>
      <c r="HN122" s="152"/>
      <c r="HO122" s="152"/>
      <c r="HP122" s="152"/>
      <c r="HQ122" s="152"/>
      <c r="HR122" s="152"/>
      <c r="HS122" s="152"/>
      <c r="HT122" s="152"/>
      <c r="HU122" s="152"/>
      <c r="HV122" s="152"/>
      <c r="HW122" s="152"/>
      <c r="HX122" s="152"/>
      <c r="HY122" s="152"/>
      <c r="HZ122" s="152"/>
      <c r="IA122" s="152"/>
      <c r="IB122" s="152"/>
      <c r="IC122" s="152"/>
      <c r="ID122" s="152"/>
      <c r="IE122" s="152"/>
      <c r="IF122" s="152"/>
      <c r="IG122" s="152"/>
      <c r="IH122" s="152"/>
      <c r="II122" s="152"/>
      <c r="IJ122" s="152"/>
      <c r="IK122" s="152"/>
      <c r="IL122" s="152"/>
      <c r="IM122" s="152"/>
      <c r="IN122" s="152"/>
      <c r="IO122" s="152"/>
      <c r="IP122" s="152"/>
      <c r="IQ122" s="152"/>
      <c r="IR122" s="152"/>
      <c r="IS122" s="152"/>
      <c r="IT122" s="152"/>
      <c r="IU122" s="152"/>
      <c r="IV122" s="152"/>
      <c r="IW122" s="152"/>
      <c r="IX122" s="152"/>
      <c r="IY122" s="152"/>
      <c r="IZ122" s="152"/>
      <c r="JA122" s="152"/>
      <c r="JB122" s="152"/>
      <c r="JC122" s="152"/>
      <c r="JD122" s="152"/>
      <c r="JE122" s="152"/>
      <c r="JF122" s="152"/>
      <c r="JG122" s="152"/>
      <c r="JH122" s="152"/>
      <c r="JI122" s="152"/>
      <c r="JJ122" s="152"/>
      <c r="JK122" s="152"/>
      <c r="JL122" s="152"/>
      <c r="JM122" s="152"/>
      <c r="JN122" s="152"/>
      <c r="JO122" s="152"/>
      <c r="JP122" s="152"/>
      <c r="JQ122" s="152"/>
      <c r="JR122" s="152"/>
      <c r="JS122" s="152"/>
      <c r="JT122" s="152"/>
      <c r="JU122" s="152"/>
      <c r="JV122" s="152"/>
      <c r="JW122" s="152"/>
      <c r="JX122" s="152"/>
      <c r="JY122" s="152"/>
      <c r="JZ122" s="152"/>
      <c r="KA122" s="152"/>
      <c r="KB122" s="152"/>
      <c r="KC122" s="152"/>
      <c r="KD122" s="152"/>
      <c r="KE122" s="152"/>
      <c r="KF122" s="152"/>
      <c r="KG122" s="152"/>
      <c r="KH122" s="152"/>
      <c r="KI122" s="152"/>
      <c r="KJ122" s="152"/>
      <c r="KK122" s="152"/>
      <c r="KL122" s="152"/>
      <c r="KM122" s="152"/>
      <c r="KN122" s="152"/>
      <c r="KO122" s="152"/>
      <c r="KP122" s="152"/>
      <c r="KQ122" s="152"/>
      <c r="KR122" s="152"/>
      <c r="KS122" s="152"/>
      <c r="KT122" s="152"/>
      <c r="KU122" s="152"/>
      <c r="KV122" s="152"/>
      <c r="KW122" s="152"/>
      <c r="KX122" s="152"/>
      <c r="KY122" s="152"/>
      <c r="KZ122" s="152"/>
      <c r="LA122" s="152"/>
      <c r="LB122" s="152"/>
      <c r="LC122" s="152"/>
      <c r="LD122" s="152"/>
      <c r="LE122" s="152"/>
      <c r="LF122" s="152"/>
      <c r="LG122" s="152"/>
      <c r="LH122" s="152"/>
      <c r="LI122" s="152"/>
      <c r="LJ122" s="152"/>
      <c r="LK122" s="152"/>
      <c r="LL122" s="152"/>
      <c r="LM122" s="152"/>
      <c r="LN122" s="152"/>
      <c r="LO122" s="152"/>
      <c r="LP122" s="152"/>
      <c r="LQ122" s="152"/>
      <c r="LR122" s="152"/>
      <c r="LS122" s="152"/>
      <c r="LT122" s="152"/>
      <c r="LU122" s="152"/>
      <c r="LV122" s="152"/>
      <c r="LW122" s="152"/>
      <c r="LX122" s="152"/>
      <c r="LY122" s="152"/>
      <c r="LZ122" s="152"/>
      <c r="MA122" s="152"/>
      <c r="MB122" s="152"/>
      <c r="MC122" s="152"/>
      <c r="MD122" s="152"/>
      <c r="ME122" s="152"/>
      <c r="MF122" s="152"/>
      <c r="MG122" s="152"/>
      <c r="MH122" s="152"/>
      <c r="MI122" s="152"/>
      <c r="MJ122" s="152"/>
      <c r="MK122" s="152"/>
      <c r="ML122" s="152"/>
      <c r="MM122" s="152"/>
      <c r="MN122" s="152"/>
      <c r="MO122" s="152"/>
      <c r="MP122" s="152"/>
      <c r="MQ122" s="152"/>
      <c r="MR122" s="152"/>
      <c r="MS122" s="152"/>
      <c r="MT122" s="152"/>
    </row>
    <row r="123" spans="1:358" s="1" customFormat="1">
      <c r="A123" s="252"/>
      <c r="B123" s="276"/>
      <c r="C123" s="276"/>
      <c r="D123" s="152"/>
      <c r="E123" s="152"/>
      <c r="F123" s="277"/>
      <c r="G123" s="277"/>
      <c r="H123" s="277"/>
      <c r="I123" s="277"/>
      <c r="J123" s="278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9"/>
      <c r="W123" s="279"/>
      <c r="X123" s="279"/>
      <c r="Y123" s="279"/>
      <c r="Z123" s="280"/>
      <c r="AA123" s="280"/>
      <c r="AB123" s="279"/>
      <c r="AC123" s="279"/>
      <c r="AD123" s="279"/>
      <c r="AE123" s="279"/>
      <c r="AF123" s="279"/>
      <c r="AG123" s="279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  <c r="GQ123" s="152"/>
      <c r="GR123" s="152"/>
      <c r="GS123" s="152"/>
      <c r="GT123" s="152"/>
      <c r="GU123" s="152"/>
      <c r="GV123" s="152"/>
      <c r="GW123" s="152"/>
      <c r="GX123" s="152"/>
      <c r="GY123" s="152"/>
      <c r="GZ123" s="152"/>
      <c r="HA123" s="152"/>
      <c r="HB123" s="152"/>
      <c r="HC123" s="152"/>
      <c r="HD123" s="152"/>
      <c r="HE123" s="152"/>
      <c r="HF123" s="152"/>
      <c r="HG123" s="152"/>
      <c r="HH123" s="152"/>
      <c r="HI123" s="152"/>
      <c r="HJ123" s="152"/>
      <c r="HK123" s="152"/>
      <c r="HL123" s="152"/>
      <c r="HM123" s="152"/>
      <c r="HN123" s="152"/>
      <c r="HO123" s="152"/>
      <c r="HP123" s="152"/>
      <c r="HQ123" s="152"/>
      <c r="HR123" s="152"/>
      <c r="HS123" s="152"/>
      <c r="HT123" s="152"/>
      <c r="HU123" s="152"/>
      <c r="HV123" s="152"/>
      <c r="HW123" s="152"/>
      <c r="HX123" s="152"/>
      <c r="HY123" s="152"/>
      <c r="HZ123" s="152"/>
      <c r="IA123" s="152"/>
      <c r="IB123" s="152"/>
      <c r="IC123" s="152"/>
      <c r="ID123" s="152"/>
      <c r="IE123" s="152"/>
      <c r="IF123" s="152"/>
      <c r="IG123" s="152"/>
      <c r="IH123" s="152"/>
      <c r="II123" s="152"/>
      <c r="IJ123" s="152"/>
      <c r="IK123" s="152"/>
      <c r="IL123" s="152"/>
      <c r="IM123" s="152"/>
      <c r="IN123" s="152"/>
      <c r="IO123" s="152"/>
      <c r="IP123" s="152"/>
      <c r="IQ123" s="152"/>
      <c r="IR123" s="152"/>
      <c r="IS123" s="152"/>
      <c r="IT123" s="152"/>
      <c r="IU123" s="152"/>
      <c r="IV123" s="152"/>
      <c r="IW123" s="152"/>
      <c r="IX123" s="152"/>
      <c r="IY123" s="152"/>
      <c r="IZ123" s="152"/>
      <c r="JA123" s="152"/>
      <c r="JB123" s="152"/>
      <c r="JC123" s="152"/>
      <c r="JD123" s="152"/>
      <c r="JE123" s="152"/>
      <c r="JF123" s="152"/>
      <c r="JG123" s="152"/>
      <c r="JH123" s="152"/>
      <c r="JI123" s="152"/>
      <c r="JJ123" s="152"/>
      <c r="JK123" s="152"/>
      <c r="JL123" s="152"/>
      <c r="JM123" s="152"/>
      <c r="JN123" s="152"/>
      <c r="JO123" s="152"/>
      <c r="JP123" s="152"/>
      <c r="JQ123" s="152"/>
      <c r="JR123" s="152"/>
      <c r="JS123" s="152"/>
      <c r="JT123" s="152"/>
      <c r="JU123" s="152"/>
      <c r="JV123" s="152"/>
      <c r="JW123" s="152"/>
      <c r="JX123" s="152"/>
      <c r="JY123" s="152"/>
      <c r="JZ123" s="152"/>
      <c r="KA123" s="152"/>
      <c r="KB123" s="152"/>
      <c r="KC123" s="152"/>
      <c r="KD123" s="152"/>
      <c r="KE123" s="152"/>
      <c r="KF123" s="152"/>
      <c r="KG123" s="152"/>
      <c r="KH123" s="152"/>
      <c r="KI123" s="152"/>
      <c r="KJ123" s="152"/>
      <c r="KK123" s="152"/>
      <c r="KL123" s="152"/>
      <c r="KM123" s="152"/>
      <c r="KN123" s="152"/>
      <c r="KO123" s="152"/>
      <c r="KP123" s="152"/>
      <c r="KQ123" s="152"/>
      <c r="KR123" s="152"/>
      <c r="KS123" s="152"/>
      <c r="KT123" s="152"/>
      <c r="KU123" s="152"/>
      <c r="KV123" s="152"/>
      <c r="KW123" s="152"/>
      <c r="KX123" s="152"/>
      <c r="KY123" s="152"/>
      <c r="KZ123" s="152"/>
      <c r="LA123" s="152"/>
      <c r="LB123" s="152"/>
      <c r="LC123" s="152"/>
      <c r="LD123" s="152"/>
      <c r="LE123" s="152"/>
      <c r="LF123" s="152"/>
      <c r="LG123" s="152"/>
      <c r="LH123" s="152"/>
      <c r="LI123" s="152"/>
      <c r="LJ123" s="152"/>
      <c r="LK123" s="152"/>
      <c r="LL123" s="152"/>
      <c r="LM123" s="152"/>
      <c r="LN123" s="152"/>
      <c r="LO123" s="152"/>
      <c r="LP123" s="152"/>
      <c r="LQ123" s="152"/>
      <c r="LR123" s="152"/>
      <c r="LS123" s="152"/>
      <c r="LT123" s="152"/>
      <c r="LU123" s="152"/>
      <c r="LV123" s="152"/>
      <c r="LW123" s="152"/>
      <c r="LX123" s="152"/>
      <c r="LY123" s="152"/>
      <c r="LZ123" s="152"/>
      <c r="MA123" s="152"/>
      <c r="MB123" s="152"/>
      <c r="MC123" s="152"/>
      <c r="MD123" s="152"/>
      <c r="ME123" s="152"/>
      <c r="MF123" s="152"/>
      <c r="MG123" s="152"/>
      <c r="MH123" s="152"/>
      <c r="MI123" s="152"/>
      <c r="MJ123" s="152"/>
      <c r="MK123" s="152"/>
      <c r="ML123" s="152"/>
      <c r="MM123" s="152"/>
      <c r="MN123" s="152"/>
      <c r="MO123" s="152"/>
      <c r="MP123" s="152"/>
      <c r="MQ123" s="152"/>
      <c r="MR123" s="152"/>
      <c r="MS123" s="152"/>
      <c r="MT123" s="152"/>
    </row>
    <row r="124" spans="1:358" s="1" customFormat="1">
      <c r="A124" s="194"/>
      <c r="B124" s="2"/>
      <c r="C124" s="2"/>
      <c r="F124" s="3"/>
      <c r="G124" s="3"/>
      <c r="H124" s="3"/>
      <c r="I124" s="3"/>
      <c r="J124" s="4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6"/>
      <c r="W124" s="6"/>
      <c r="X124" s="6"/>
      <c r="Y124" s="6"/>
      <c r="Z124" s="5"/>
      <c r="AA124" s="5"/>
      <c r="AB124" s="6"/>
      <c r="AC124" s="6"/>
      <c r="AD124" s="6"/>
      <c r="AE124" s="6"/>
      <c r="AF124" s="6"/>
      <c r="AG124" s="6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52"/>
      <c r="AX124" s="152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  <c r="BK124" s="152"/>
      <c r="BL124" s="152"/>
      <c r="BM124" s="152"/>
      <c r="BN124" s="152"/>
      <c r="BO124" s="152"/>
      <c r="BP124" s="152"/>
      <c r="BQ124" s="152"/>
      <c r="BR124" s="152"/>
      <c r="BS124" s="152"/>
      <c r="BT124" s="152"/>
      <c r="BU124" s="152"/>
      <c r="BV124" s="152"/>
      <c r="BW124" s="152"/>
      <c r="BX124" s="152"/>
      <c r="BY124" s="152"/>
      <c r="BZ124" s="152"/>
      <c r="CA124" s="152"/>
      <c r="CB124" s="152"/>
      <c r="CC124" s="152"/>
      <c r="CD124" s="152"/>
      <c r="CE124" s="152"/>
      <c r="CF124" s="152"/>
      <c r="CG124" s="152"/>
      <c r="CH124" s="152"/>
      <c r="CI124" s="152"/>
      <c r="CJ124" s="152"/>
      <c r="CK124" s="152"/>
      <c r="CL124" s="152"/>
      <c r="CM124" s="152"/>
      <c r="CN124" s="152"/>
      <c r="CO124" s="152"/>
      <c r="CP124" s="152"/>
      <c r="CQ124" s="152"/>
      <c r="CR124" s="152"/>
      <c r="CS124" s="152"/>
      <c r="CT124" s="152"/>
      <c r="CU124" s="152"/>
      <c r="CV124" s="152"/>
      <c r="CW124" s="152"/>
      <c r="CX124" s="152"/>
      <c r="CY124" s="152"/>
      <c r="CZ124" s="152"/>
      <c r="DA124" s="152"/>
      <c r="DB124" s="152"/>
      <c r="DC124" s="152"/>
      <c r="DD124" s="152"/>
      <c r="DE124" s="152"/>
      <c r="DF124" s="152"/>
      <c r="DG124" s="152"/>
      <c r="DH124" s="152"/>
      <c r="DI124" s="152"/>
      <c r="DJ124" s="152"/>
      <c r="DK124" s="152"/>
      <c r="DL124" s="152"/>
      <c r="DM124" s="152"/>
      <c r="DN124" s="152"/>
      <c r="DO124" s="152"/>
      <c r="DP124" s="152"/>
      <c r="DQ124" s="152"/>
      <c r="DR124" s="152"/>
      <c r="DS124" s="152"/>
      <c r="DT124" s="152"/>
      <c r="DU124" s="152"/>
      <c r="DV124" s="152"/>
      <c r="DW124" s="152"/>
      <c r="DX124" s="152"/>
      <c r="DY124" s="152"/>
      <c r="DZ124" s="152"/>
      <c r="EA124" s="152"/>
      <c r="EB124" s="152"/>
      <c r="EC124" s="152"/>
      <c r="ED124" s="152"/>
      <c r="EE124" s="152"/>
      <c r="EF124" s="152"/>
      <c r="EG124" s="152"/>
      <c r="EH124" s="152"/>
      <c r="EI124" s="152"/>
      <c r="EJ124" s="152"/>
      <c r="EK124" s="152"/>
      <c r="EL124" s="152"/>
      <c r="EM124" s="152"/>
      <c r="EN124" s="152"/>
      <c r="EO124" s="152"/>
      <c r="EP124" s="152"/>
      <c r="EQ124" s="152"/>
      <c r="ER124" s="152"/>
      <c r="ES124" s="152"/>
      <c r="ET124" s="152"/>
      <c r="EU124" s="152"/>
      <c r="EV124" s="152"/>
      <c r="EW124" s="152"/>
      <c r="EX124" s="152"/>
      <c r="EY124" s="152"/>
      <c r="EZ124" s="152"/>
      <c r="FA124" s="152"/>
      <c r="FB124" s="152"/>
      <c r="FC124" s="152"/>
      <c r="FD124" s="152"/>
      <c r="FE124" s="152"/>
      <c r="FF124" s="152"/>
      <c r="FG124" s="152"/>
      <c r="FH124" s="152"/>
      <c r="FI124" s="152"/>
      <c r="FJ124" s="152"/>
      <c r="FK124" s="152"/>
      <c r="FL124" s="152"/>
      <c r="FM124" s="152"/>
      <c r="FN124" s="152"/>
      <c r="FO124" s="152"/>
      <c r="FP124" s="152"/>
      <c r="FQ124" s="152"/>
      <c r="FR124" s="152"/>
      <c r="FS124" s="152"/>
      <c r="FT124" s="152"/>
      <c r="FU124" s="152"/>
      <c r="FV124" s="152"/>
      <c r="FW124" s="152"/>
      <c r="FX124" s="152"/>
      <c r="FY124" s="152"/>
      <c r="FZ124" s="152"/>
      <c r="GA124" s="152"/>
      <c r="GB124" s="152"/>
      <c r="GC124" s="152"/>
      <c r="GD124" s="152"/>
      <c r="GE124" s="152"/>
      <c r="GF124" s="152"/>
      <c r="GG124" s="152"/>
      <c r="GH124" s="152"/>
      <c r="GI124" s="152"/>
      <c r="GJ124" s="152"/>
      <c r="GK124" s="152"/>
      <c r="GL124" s="152"/>
      <c r="GM124" s="152"/>
      <c r="GN124" s="152"/>
      <c r="GO124" s="152"/>
      <c r="GP124" s="152"/>
      <c r="GQ124" s="152"/>
      <c r="GR124" s="152"/>
      <c r="GS124" s="152"/>
      <c r="GT124" s="152"/>
      <c r="GU124" s="152"/>
      <c r="GV124" s="152"/>
      <c r="GW124" s="152"/>
      <c r="GX124" s="152"/>
      <c r="GY124" s="152"/>
      <c r="GZ124" s="152"/>
      <c r="HA124" s="152"/>
      <c r="HB124" s="152"/>
      <c r="HC124" s="152"/>
      <c r="HD124" s="152"/>
      <c r="HE124" s="152"/>
      <c r="HF124" s="152"/>
      <c r="HG124" s="152"/>
      <c r="HH124" s="152"/>
      <c r="HI124" s="152"/>
      <c r="HJ124" s="152"/>
      <c r="HK124" s="152"/>
      <c r="HL124" s="152"/>
      <c r="HM124" s="152"/>
      <c r="HN124" s="152"/>
      <c r="HO124" s="152"/>
      <c r="HP124" s="152"/>
      <c r="HQ124" s="152"/>
      <c r="HR124" s="152"/>
      <c r="HS124" s="152"/>
      <c r="HT124" s="152"/>
      <c r="HU124" s="152"/>
      <c r="HV124" s="152"/>
      <c r="HW124" s="152"/>
      <c r="HX124" s="152"/>
      <c r="HY124" s="152"/>
      <c r="HZ124" s="152"/>
      <c r="IA124" s="152"/>
      <c r="IB124" s="152"/>
      <c r="IC124" s="152"/>
      <c r="ID124" s="152"/>
      <c r="IE124" s="152"/>
      <c r="IF124" s="152"/>
      <c r="IG124" s="152"/>
      <c r="IH124" s="152"/>
      <c r="II124" s="152"/>
      <c r="IJ124" s="152"/>
      <c r="IK124" s="152"/>
      <c r="IL124" s="152"/>
      <c r="IM124" s="152"/>
      <c r="IN124" s="152"/>
      <c r="IO124" s="152"/>
      <c r="IP124" s="152"/>
      <c r="IQ124" s="152"/>
      <c r="IR124" s="152"/>
      <c r="IS124" s="152"/>
      <c r="IT124" s="152"/>
      <c r="IU124" s="152"/>
      <c r="IV124" s="152"/>
      <c r="IW124" s="152"/>
      <c r="IX124" s="152"/>
      <c r="IY124" s="152"/>
      <c r="IZ124" s="152"/>
      <c r="JA124" s="152"/>
      <c r="JB124" s="152"/>
      <c r="JC124" s="152"/>
      <c r="JD124" s="152"/>
      <c r="JE124" s="152"/>
      <c r="JF124" s="152"/>
      <c r="JG124" s="152"/>
      <c r="JH124" s="152"/>
      <c r="JI124" s="152"/>
      <c r="JJ124" s="152"/>
      <c r="JK124" s="152"/>
      <c r="JL124" s="152"/>
      <c r="JM124" s="152"/>
      <c r="JN124" s="152"/>
      <c r="JO124" s="152"/>
      <c r="JP124" s="152"/>
      <c r="JQ124" s="152"/>
      <c r="JR124" s="152"/>
      <c r="JS124" s="152"/>
      <c r="JT124" s="152"/>
      <c r="JU124" s="152"/>
      <c r="JV124" s="152"/>
      <c r="JW124" s="152"/>
      <c r="JX124" s="152"/>
      <c r="JY124" s="152"/>
      <c r="JZ124" s="152"/>
      <c r="KA124" s="152"/>
      <c r="KB124" s="152"/>
      <c r="KC124" s="152"/>
      <c r="KD124" s="152"/>
      <c r="KE124" s="152"/>
      <c r="KF124" s="152"/>
      <c r="KG124" s="152"/>
      <c r="KH124" s="152"/>
      <c r="KI124" s="152"/>
      <c r="KJ124" s="152"/>
      <c r="KK124" s="152"/>
      <c r="KL124" s="152"/>
      <c r="KM124" s="152"/>
      <c r="KN124" s="152"/>
      <c r="KO124" s="152"/>
      <c r="KP124" s="152"/>
      <c r="KQ124" s="152"/>
      <c r="KR124" s="152"/>
      <c r="KS124" s="152"/>
      <c r="KT124" s="152"/>
      <c r="KU124" s="152"/>
      <c r="KV124" s="152"/>
      <c r="KW124" s="152"/>
      <c r="KX124" s="152"/>
      <c r="KY124" s="152"/>
      <c r="KZ124" s="152"/>
      <c r="LA124" s="152"/>
      <c r="LB124" s="152"/>
      <c r="LC124" s="152"/>
      <c r="LD124" s="152"/>
      <c r="LE124" s="152"/>
      <c r="LF124" s="152"/>
      <c r="LG124" s="152"/>
      <c r="LH124" s="152"/>
      <c r="LI124" s="152"/>
      <c r="LJ124" s="152"/>
      <c r="LK124" s="152"/>
      <c r="LL124" s="152"/>
      <c r="LM124" s="152"/>
      <c r="LN124" s="152"/>
      <c r="LO124" s="152"/>
      <c r="LP124" s="152"/>
      <c r="LQ124" s="152"/>
      <c r="LR124" s="152"/>
      <c r="LS124" s="152"/>
      <c r="LT124" s="152"/>
      <c r="LU124" s="152"/>
      <c r="LV124" s="152"/>
      <c r="LW124" s="152"/>
      <c r="LX124" s="152"/>
      <c r="LY124" s="152"/>
      <c r="LZ124" s="152"/>
      <c r="MA124" s="152"/>
      <c r="MB124" s="152"/>
      <c r="MC124" s="152"/>
      <c r="MD124" s="152"/>
      <c r="ME124" s="152"/>
      <c r="MF124" s="152"/>
      <c r="MG124" s="152"/>
      <c r="MH124" s="152"/>
      <c r="MI124" s="152"/>
      <c r="MJ124" s="152"/>
      <c r="MK124" s="152"/>
      <c r="ML124" s="152"/>
      <c r="MM124" s="152"/>
      <c r="MN124" s="152"/>
      <c r="MO124" s="152"/>
      <c r="MP124" s="152"/>
      <c r="MQ124" s="152"/>
      <c r="MR124" s="152"/>
      <c r="MS124" s="152"/>
      <c r="MT124" s="152"/>
    </row>
  </sheetData>
  <mergeCells count="33">
    <mergeCell ref="S5:S6"/>
    <mergeCell ref="E5:E6"/>
    <mergeCell ref="F5:F6"/>
    <mergeCell ref="G5:G6"/>
    <mergeCell ref="H5:H6"/>
    <mergeCell ref="I5:I6"/>
    <mergeCell ref="K5:K6"/>
    <mergeCell ref="N5:N6"/>
    <mergeCell ref="O5:O6"/>
    <mergeCell ref="P5:P6"/>
    <mergeCell ref="Q5:Q6"/>
    <mergeCell ref="R5:R6"/>
    <mergeCell ref="U5:U6"/>
    <mergeCell ref="V5:V6"/>
    <mergeCell ref="W5:W6"/>
    <mergeCell ref="X5:X6"/>
    <mergeCell ref="Y5:Y6"/>
    <mergeCell ref="A47:C47"/>
    <mergeCell ref="A56:C56"/>
    <mergeCell ref="A65:C65"/>
    <mergeCell ref="AH5:AH6"/>
    <mergeCell ref="AI5:AI6"/>
    <mergeCell ref="A9:C9"/>
    <mergeCell ref="A18:C18"/>
    <mergeCell ref="A27:C27"/>
    <mergeCell ref="A36:C36"/>
    <mergeCell ref="AB5:AB6"/>
    <mergeCell ref="AC5:AC6"/>
    <mergeCell ref="AD5:AD6"/>
    <mergeCell ref="AE5:AE6"/>
    <mergeCell ref="AF5:AF6"/>
    <mergeCell ref="AG5:AG6"/>
    <mergeCell ref="T5:T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BV27"/>
  <sheetViews>
    <sheetView zoomScaleNormal="100" zoomScaleSheetLayoutView="50" workbookViewId="0">
      <pane xSplit="1" ySplit="3" topLeftCell="BH16" activePane="bottomRight" state="frozenSplit"/>
      <selection pane="topRight" activeCell="B1" sqref="B1"/>
      <selection pane="bottomLeft" activeCell="A3" sqref="A3"/>
      <selection pane="bottomRight" activeCell="BU21" sqref="BU21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0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0" hidden="1" customWidth="1"/>
    <col min="55" max="55" width="9.7265625" style="432" hidden="1" customWidth="1"/>
    <col min="56" max="56" width="9.453125" style="432" hidden="1" customWidth="1"/>
    <col min="57" max="57" width="0" style="432" hidden="1" customWidth="1"/>
    <col min="58" max="58" width="9.90625" style="432" hidden="1" customWidth="1"/>
    <col min="59" max="59" width="9.453125" style="432" hidden="1" customWidth="1"/>
    <col min="60" max="60" width="9.08984375" style="432"/>
    <col min="61" max="61" width="9.36328125" style="432" bestFit="1" customWidth="1"/>
    <col min="62" max="62" width="9.6328125" style="432" bestFit="1" customWidth="1"/>
    <col min="63" max="63" width="9.08984375" style="432"/>
    <col min="64" max="64" width="10" style="432" bestFit="1" customWidth="1"/>
    <col min="65" max="65" width="9.36328125" style="432" bestFit="1" customWidth="1"/>
    <col min="66" max="66" width="9.08984375" style="432"/>
    <col min="67" max="67" width="9.7265625" style="432" bestFit="1" customWidth="1"/>
    <col min="68" max="68" width="9.453125" style="432" bestFit="1" customWidth="1"/>
    <col min="69" max="69" width="9.08984375" style="432"/>
    <col min="70" max="70" width="9.90625" style="432" bestFit="1" customWidth="1"/>
    <col min="71" max="71" width="9.453125" style="432" bestFit="1" customWidth="1"/>
    <col min="72" max="72" width="9.08984375" style="432"/>
    <col min="73" max="73" width="9.1796875" style="432" bestFit="1" customWidth="1"/>
    <col min="74" max="74" width="9.6328125" style="432" bestFit="1" customWidth="1"/>
    <col min="75" max="16384" width="9.08984375" style="432"/>
  </cols>
  <sheetData>
    <row r="1" spans="1:74" ht="20.25" customHeight="1" thickBot="1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4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</row>
    <row r="3" spans="1:74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</row>
    <row r="4" spans="1:74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44">
        <v>64</v>
      </c>
      <c r="BT4" s="645">
        <v>65.5</v>
      </c>
      <c r="BU4" s="645">
        <v>64</v>
      </c>
      <c r="BV4" s="645">
        <v>63</v>
      </c>
    </row>
    <row r="5" spans="1:74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46">
        <v>64.3</v>
      </c>
      <c r="BT5" s="645">
        <v>61</v>
      </c>
      <c r="BU5" s="645">
        <v>59.4</v>
      </c>
      <c r="BV5" s="645">
        <v>58.3</v>
      </c>
    </row>
    <row r="6" spans="1:74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46">
        <v>590.69999999999993</v>
      </c>
      <c r="BT6" s="645">
        <v>561</v>
      </c>
      <c r="BU6" s="645">
        <v>546.6</v>
      </c>
      <c r="BV6" s="645">
        <v>536.69999999999993</v>
      </c>
    </row>
    <row r="7" spans="1:74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1">(AK8+AK9)/2</f>
        <v>555</v>
      </c>
      <c r="AL7" s="615">
        <f t="shared" si="11"/>
        <v>540</v>
      </c>
      <c r="AM7" s="615">
        <f t="shared" si="11"/>
        <v>460</v>
      </c>
      <c r="AN7" s="615">
        <f t="shared" si="11"/>
        <v>387.5</v>
      </c>
      <c r="AO7" s="615">
        <f t="shared" si="11"/>
        <v>387.5</v>
      </c>
      <c r="AP7" s="615">
        <f t="shared" si="11"/>
        <v>355</v>
      </c>
      <c r="AQ7" s="615">
        <f t="shared" si="11"/>
        <v>440</v>
      </c>
      <c r="AR7" s="615">
        <f t="shared" si="11"/>
        <v>490</v>
      </c>
      <c r="AS7" s="615">
        <f t="shared" si="11"/>
        <v>577.5</v>
      </c>
      <c r="AT7" s="615">
        <f t="shared" si="11"/>
        <v>577.5</v>
      </c>
      <c r="AU7" s="616">
        <f t="shared" si="11"/>
        <v>580</v>
      </c>
      <c r="AV7" s="599">
        <f>(AV8+AV9)/2</f>
        <v>580</v>
      </c>
      <c r="AW7" s="595">
        <f t="shared" ref="AW7:BU7" si="12">(AW8+AW9)/2</f>
        <v>515</v>
      </c>
      <c r="AX7" s="617">
        <f t="shared" si="12"/>
        <v>472.5</v>
      </c>
      <c r="AY7" s="617">
        <f t="shared" si="12"/>
        <v>472.5</v>
      </c>
      <c r="AZ7" s="617">
        <f t="shared" si="12"/>
        <v>502.5</v>
      </c>
      <c r="BA7" s="617">
        <f t="shared" si="12"/>
        <v>560</v>
      </c>
      <c r="BB7" s="617">
        <f t="shared" si="12"/>
        <v>562.5</v>
      </c>
      <c r="BC7" s="617">
        <f t="shared" si="12"/>
        <v>587.5</v>
      </c>
      <c r="BD7" s="617">
        <f t="shared" si="12"/>
        <v>617.5</v>
      </c>
      <c r="BE7" s="617">
        <f t="shared" si="12"/>
        <v>655</v>
      </c>
      <c r="BF7" s="617">
        <f t="shared" si="12"/>
        <v>532.5</v>
      </c>
      <c r="BG7" s="635">
        <f t="shared" si="12"/>
        <v>430</v>
      </c>
      <c r="BH7" s="628">
        <f t="shared" si="12"/>
        <v>425</v>
      </c>
      <c r="BI7" s="596">
        <f t="shared" si="12"/>
        <v>455</v>
      </c>
      <c r="BJ7" s="596">
        <f t="shared" si="12"/>
        <v>505</v>
      </c>
      <c r="BK7" s="596">
        <f t="shared" si="12"/>
        <v>525</v>
      </c>
      <c r="BL7" s="596">
        <f t="shared" si="12"/>
        <v>527.5</v>
      </c>
      <c r="BM7" s="596">
        <f t="shared" si="12"/>
        <v>422.5</v>
      </c>
      <c r="BN7" s="596">
        <f t="shared" si="12"/>
        <v>365</v>
      </c>
      <c r="BO7" s="596">
        <f t="shared" si="12"/>
        <v>365</v>
      </c>
      <c r="BP7" s="596">
        <f t="shared" si="12"/>
        <v>355</v>
      </c>
      <c r="BQ7" s="596">
        <f t="shared" si="12"/>
        <v>427.5</v>
      </c>
      <c r="BR7" s="596">
        <f t="shared" si="12"/>
        <v>437.5</v>
      </c>
      <c r="BS7" s="596">
        <f t="shared" si="12"/>
        <v>447.5</v>
      </c>
      <c r="BT7" s="596">
        <f t="shared" si="12"/>
        <v>577.5</v>
      </c>
      <c r="BU7" s="596">
        <f t="shared" si="12"/>
        <v>547.5</v>
      </c>
      <c r="BV7" s="596">
        <f t="shared" ref="BV7" si="13">(BV8+BV9)/2</f>
        <v>512.5</v>
      </c>
    </row>
    <row r="8" spans="1:74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7">
        <v>535</v>
      </c>
      <c r="BV8" s="647">
        <v>500</v>
      </c>
    </row>
    <row r="9" spans="1:74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7">
        <v>560</v>
      </c>
      <c r="BV9" s="647">
        <v>525</v>
      </c>
    </row>
    <row r="10" spans="1:74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V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627">
        <f t="shared" si="14"/>
        <v>-16.5</v>
      </c>
      <c r="BU10" s="627">
        <f t="shared" si="14"/>
        <v>-0.89999999999997726</v>
      </c>
      <c r="BV10" s="651">
        <f t="shared" si="14"/>
        <v>24.199999999999932</v>
      </c>
    </row>
    <row r="11" spans="1:74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4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</row>
    <row r="13" spans="1:74" ht="22.5" customHeight="1" thickBot="1">
      <c r="A13" s="484" t="s">
        <v>237</v>
      </c>
      <c r="B13" s="452">
        <f t="shared" ref="B13:M13" si="15">(B7/11.6)-B4</f>
        <v>-7.6432512315270955</v>
      </c>
      <c r="C13" s="453">
        <f t="shared" si="15"/>
        <v>-16.01966379310344</v>
      </c>
      <c r="D13" s="453">
        <f t="shared" si="15"/>
        <v>-12.933589341692787</v>
      </c>
      <c r="E13" s="453">
        <f t="shared" si="15"/>
        <v>-18.549523809523819</v>
      </c>
      <c r="F13" s="453">
        <f t="shared" si="15"/>
        <v>-23.125965517241376</v>
      </c>
      <c r="G13" s="453">
        <f t="shared" si="15"/>
        <v>-25.667405582922832</v>
      </c>
      <c r="H13" s="453">
        <f t="shared" si="15"/>
        <v>-21.0679235382309</v>
      </c>
      <c r="I13" s="453">
        <f t="shared" si="15"/>
        <v>-15.200205254515595</v>
      </c>
      <c r="J13" s="454">
        <f t="shared" si="15"/>
        <v>-17.189435736677126</v>
      </c>
      <c r="K13" s="454">
        <f t="shared" si="15"/>
        <v>-14.631739811912215</v>
      </c>
      <c r="L13" s="455">
        <f t="shared" si="15"/>
        <v>-6.3630131362889983</v>
      </c>
      <c r="M13" s="485">
        <f t="shared" si="15"/>
        <v>5.6571964017990979</v>
      </c>
      <c r="N13" s="452">
        <f t="shared" ref="N13:N14" si="16">AVERAGE(B13:D13)</f>
        <v>-12.198834788774441</v>
      </c>
      <c r="O13" s="453">
        <f t="shared" ref="O13:O14" si="17">AVERAGE(E13:G13)</f>
        <v>-22.447631636562676</v>
      </c>
      <c r="P13" s="453">
        <f t="shared" ref="P13:P14" si="18">AVERAGE(H13:J13)</f>
        <v>-17.81918817647454</v>
      </c>
      <c r="Q13" s="486">
        <f t="shared" ref="Q13:Q14" si="19">AVERAGE(K13:M13)</f>
        <v>-5.112518848800705</v>
      </c>
      <c r="R13" s="487">
        <f t="shared" ref="R13:R14" si="20">AVERAGE(B13:M13)</f>
        <v>-14.39454336265309</v>
      </c>
      <c r="S13" s="456">
        <f t="shared" ref="S13:AD13" si="21">(S7/11.6)-S4</f>
        <v>4.4836034482758613</v>
      </c>
      <c r="T13" s="457">
        <f t="shared" si="21"/>
        <v>-3.7965517241379274</v>
      </c>
      <c r="U13" s="457">
        <f t="shared" si="21"/>
        <v>-9.065517241379311</v>
      </c>
      <c r="V13" s="457">
        <f t="shared" si="21"/>
        <v>-10.407405582922831</v>
      </c>
      <c r="W13" s="457">
        <f t="shared" si="21"/>
        <v>-14.353934169278993</v>
      </c>
      <c r="X13" s="457">
        <f t="shared" si="21"/>
        <v>-16.715353901996366</v>
      </c>
      <c r="Y13" s="488">
        <f t="shared" si="21"/>
        <v>-16.511724137931033</v>
      </c>
      <c r="Z13" s="512">
        <f t="shared" si="21"/>
        <v>-18.960893416927892</v>
      </c>
      <c r="AA13" s="512">
        <f t="shared" si="21"/>
        <v>-17.036420361247952</v>
      </c>
      <c r="AB13" s="457">
        <f t="shared" si="21"/>
        <v>-18.639696223316911</v>
      </c>
      <c r="AC13" s="488">
        <f t="shared" si="21"/>
        <v>-8.5197178683385602</v>
      </c>
      <c r="AD13" s="520">
        <f t="shared" si="21"/>
        <v>-17.959688013136294</v>
      </c>
      <c r="AE13" s="459">
        <f t="shared" ref="AE13:AE14" si="22">AVERAGE(S13:U13)</f>
        <v>-2.7928218390804589</v>
      </c>
      <c r="AF13" s="458">
        <f t="shared" ref="AF13:AF14" si="23">AVERAGE(V13:X13)</f>
        <v>-13.825564551399395</v>
      </c>
      <c r="AG13" s="458">
        <f t="shared" ref="AG13:AG14" si="24">AVERAGE(Y13:AA13)</f>
        <v>-17.503012638702291</v>
      </c>
      <c r="AH13" s="458">
        <f t="shared" ref="AH13:AH14" si="25">AVERAGE(AB13:AD13)</f>
        <v>-15.039700701597255</v>
      </c>
      <c r="AI13" s="531">
        <f t="shared" ref="AI13:AI14" si="26">AVERAGE(S13:AD13)</f>
        <v>-12.290274932694849</v>
      </c>
      <c r="AJ13" s="567">
        <f t="shared" ref="AJ13:BU13" si="27">(AJ7/11.6)-AJ4</f>
        <v>-13.633793103448276</v>
      </c>
      <c r="AK13" s="565">
        <f t="shared" si="27"/>
        <v>-6.5951724137931009</v>
      </c>
      <c r="AL13" s="545">
        <f t="shared" si="27"/>
        <v>-4.6482758620689637</v>
      </c>
      <c r="AM13" s="546">
        <f t="shared" si="27"/>
        <v>-12.634827586206896</v>
      </c>
      <c r="AN13" s="546">
        <f t="shared" si="27"/>
        <v>-17.134827586206896</v>
      </c>
      <c r="AO13" s="546">
        <f t="shared" si="27"/>
        <v>-13.064827586206896</v>
      </c>
      <c r="AP13" s="546">
        <f t="shared" si="27"/>
        <v>-16.966551724137929</v>
      </c>
      <c r="AQ13" s="546">
        <f t="shared" si="27"/>
        <v>-12.28896551724138</v>
      </c>
      <c r="AR13" s="546">
        <f t="shared" si="27"/>
        <v>-11.427120689655169</v>
      </c>
      <c r="AS13" s="546">
        <f t="shared" si="27"/>
        <v>-5.7655172413793068</v>
      </c>
      <c r="AT13" s="546">
        <f t="shared" si="27"/>
        <v>-11.03551724137931</v>
      </c>
      <c r="AU13" s="566">
        <f t="shared" si="27"/>
        <v>-11.600000000000001</v>
      </c>
      <c r="AV13" s="560">
        <f t="shared" si="27"/>
        <v>-16.189999999999998</v>
      </c>
      <c r="AW13" s="561">
        <f t="shared" si="27"/>
        <v>-18.323448275862063</v>
      </c>
      <c r="AX13" s="561">
        <f t="shared" si="27"/>
        <v>-22.007241379310344</v>
      </c>
      <c r="AY13" s="561">
        <f t="shared" si="27"/>
        <v>-27.537241379310338</v>
      </c>
      <c r="AZ13" s="561">
        <f t="shared" si="27"/>
        <v>-31.091034482758616</v>
      </c>
      <c r="BA13" s="561">
        <f t="shared" si="27"/>
        <v>-25.314137931034487</v>
      </c>
      <c r="BB13" s="561">
        <f t="shared" si="27"/>
        <v>-24.628620689655179</v>
      </c>
      <c r="BC13" s="561">
        <f t="shared" si="27"/>
        <v>-21.843448275862059</v>
      </c>
      <c r="BD13" s="561">
        <f t="shared" si="27"/>
        <v>-21.767241379310342</v>
      </c>
      <c r="BE13" s="561">
        <f t="shared" si="27"/>
        <v>-22.924482758620691</v>
      </c>
      <c r="BF13" s="561">
        <f t="shared" si="27"/>
        <v>-19.654827586206899</v>
      </c>
      <c r="BG13" s="624">
        <f t="shared" si="27"/>
        <v>-20.231034482758616</v>
      </c>
      <c r="BH13" s="626">
        <f t="shared" si="27"/>
        <v>-22.442068965517237</v>
      </c>
      <c r="BI13" s="626">
        <f t="shared" si="27"/>
        <v>-25.345862068965509</v>
      </c>
      <c r="BJ13" s="626">
        <f t="shared" si="27"/>
        <v>-23.395517241379316</v>
      </c>
      <c r="BK13" s="626">
        <f t="shared" si="27"/>
        <v>-25.691379310344828</v>
      </c>
      <c r="BL13" s="626">
        <f t="shared" si="27"/>
        <v>-23.905862068965511</v>
      </c>
      <c r="BM13" s="626">
        <f t="shared" si="27"/>
        <v>-25.337586206896546</v>
      </c>
      <c r="BN13" s="626">
        <f t="shared" si="27"/>
        <v>-31.78448275862069</v>
      </c>
      <c r="BO13" s="626">
        <f t="shared" si="27"/>
        <v>-27.64448275862069</v>
      </c>
      <c r="BP13" s="626">
        <f t="shared" si="27"/>
        <v>-30.516551724137926</v>
      </c>
      <c r="BQ13" s="626">
        <f t="shared" si="27"/>
        <v>-22.516551724137926</v>
      </c>
      <c r="BR13" s="626">
        <f t="shared" si="27"/>
        <v>-24.084482758620688</v>
      </c>
      <c r="BS13" s="626">
        <f t="shared" si="27"/>
        <v>-25.422413793103445</v>
      </c>
      <c r="BT13" s="626">
        <f t="shared" si="27"/>
        <v>-15.71551724137931</v>
      </c>
      <c r="BU13" s="626">
        <f t="shared" si="27"/>
        <v>-16.801724137931032</v>
      </c>
      <c r="BV13" s="650">
        <f t="shared" ref="BV13" si="28">(BV7/11.6)-BV4</f>
        <v>-18.818965517241381</v>
      </c>
    </row>
    <row r="14" spans="1:74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6"/>
        <v>-23.319524443946857</v>
      </c>
      <c r="O14" s="494">
        <f t="shared" si="17"/>
        <v>-32.591309797482218</v>
      </c>
      <c r="P14" s="494">
        <f t="shared" si="18"/>
        <v>-21.09505024544006</v>
      </c>
      <c r="Q14" s="495">
        <f t="shared" si="19"/>
        <v>-12.009070572938635</v>
      </c>
      <c r="R14" s="496">
        <f t="shared" si="20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2"/>
        <v>-1.7296034482758624</v>
      </c>
      <c r="AF14" s="500">
        <f t="shared" si="23"/>
        <v>-14.515219723813189</v>
      </c>
      <c r="AG14" s="500">
        <f t="shared" si="24"/>
        <v>-14.457035627208038</v>
      </c>
      <c r="AH14" s="500">
        <f t="shared" si="25"/>
        <v>-19.608666218838636</v>
      </c>
      <c r="AI14" s="502">
        <f t="shared" si="26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74" s="507" customFormat="1" ht="31.5" customHeight="1">
      <c r="A15" s="504" t="s">
        <v>253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4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71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71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H18" s="518" t="s">
        <v>242</v>
      </c>
      <c r="BJ18" s="510" t="s">
        <v>257</v>
      </c>
      <c r="BK18" s="508"/>
      <c r="BL18" s="508"/>
      <c r="BM18" s="508"/>
      <c r="BN18" s="508"/>
      <c r="BO18" s="508"/>
      <c r="BP18" s="508"/>
      <c r="BQ18" s="508"/>
      <c r="BR18" s="508"/>
    </row>
    <row r="19" spans="4:71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H19" s="724" t="s">
        <v>239</v>
      </c>
      <c r="BI19" s="725"/>
      <c r="BJ19" s="725"/>
      <c r="BK19" s="725"/>
      <c r="BL19" s="725"/>
      <c r="BM19" s="726"/>
      <c r="BN19" s="725" t="s">
        <v>240</v>
      </c>
      <c r="BO19" s="725"/>
      <c r="BP19" s="725"/>
      <c r="BQ19" s="725"/>
      <c r="BR19" s="725"/>
      <c r="BS19" s="726"/>
    </row>
    <row r="20" spans="4:71" ht="58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H20" s="727" t="s">
        <v>255</v>
      </c>
      <c r="BI20" s="728"/>
      <c r="BJ20" s="728"/>
      <c r="BK20" s="728"/>
      <c r="BL20" s="728"/>
      <c r="BM20" s="728"/>
      <c r="BN20" s="718" t="s">
        <v>254</v>
      </c>
      <c r="BO20" s="719"/>
      <c r="BP20" s="719"/>
      <c r="BQ20" s="719"/>
      <c r="BR20" s="719"/>
      <c r="BS20" s="720"/>
    </row>
    <row r="21" spans="4:71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H21" s="718" t="s">
        <v>256</v>
      </c>
      <c r="BI21" s="719"/>
      <c r="BJ21" s="719"/>
      <c r="BK21" s="719"/>
      <c r="BL21" s="719"/>
      <c r="BM21" s="720"/>
      <c r="BN21" s="718" t="s">
        <v>261</v>
      </c>
      <c r="BO21" s="719"/>
      <c r="BP21" s="719"/>
      <c r="BQ21" s="719"/>
      <c r="BR21" s="719"/>
      <c r="BS21" s="720"/>
    </row>
    <row r="22" spans="4:71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H22" s="718" t="s">
        <v>258</v>
      </c>
      <c r="BI22" s="719"/>
      <c r="BJ22" s="719"/>
      <c r="BK22" s="719"/>
      <c r="BL22" s="719"/>
      <c r="BM22" s="720"/>
      <c r="BN22" s="718" t="s">
        <v>259</v>
      </c>
      <c r="BO22" s="719"/>
      <c r="BP22" s="719"/>
      <c r="BQ22" s="719"/>
      <c r="BR22" s="719"/>
      <c r="BS22" s="720"/>
    </row>
    <row r="23" spans="4:71">
      <c r="BN23"/>
    </row>
    <row r="24" spans="4:71">
      <c r="BH24" s="620" t="s">
        <v>251</v>
      </c>
      <c r="BN24"/>
    </row>
    <row r="25" spans="4:71">
      <c r="AV25" s="619"/>
      <c r="BH25" s="619" t="s">
        <v>260</v>
      </c>
    </row>
    <row r="26" spans="4:71">
      <c r="BH26" s="619"/>
    </row>
    <row r="27" spans="4:71">
      <c r="BH27" s="619"/>
    </row>
  </sheetData>
  <mergeCells count="16">
    <mergeCell ref="BT2:BV2"/>
    <mergeCell ref="BH21:BM21"/>
    <mergeCell ref="BN21:BS21"/>
    <mergeCell ref="BH22:BM22"/>
    <mergeCell ref="BN22:BS22"/>
    <mergeCell ref="BH2:BS2"/>
    <mergeCell ref="BH19:BM19"/>
    <mergeCell ref="BN19:BS19"/>
    <mergeCell ref="BH20:BM20"/>
    <mergeCell ref="BN20:BS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70C0"/>
    <pageSetUpPr fitToPage="1"/>
  </sheetPr>
  <dimension ref="A1:BW27"/>
  <sheetViews>
    <sheetView zoomScaleNormal="100" zoomScaleSheetLayoutView="50" workbookViewId="0">
      <pane xSplit="1" ySplit="3" topLeftCell="BH16" activePane="bottomRight" state="frozenSplit"/>
      <selection pane="topRight" activeCell="B1" sqref="B1"/>
      <selection pane="bottomLeft" activeCell="A3" sqref="A3"/>
      <selection pane="bottomRight" activeCell="BX17" sqref="BX17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0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0" hidden="1" customWidth="1"/>
    <col min="55" max="55" width="9.7265625" style="432" hidden="1" customWidth="1"/>
    <col min="56" max="56" width="9.453125" style="432" hidden="1" customWidth="1"/>
    <col min="57" max="57" width="0" style="432" hidden="1" customWidth="1"/>
    <col min="58" max="58" width="9.90625" style="432" hidden="1" customWidth="1"/>
    <col min="59" max="59" width="9.453125" style="432" hidden="1" customWidth="1"/>
    <col min="60" max="60" width="9.08984375" style="432"/>
    <col min="61" max="61" width="9.36328125" style="432" bestFit="1" customWidth="1"/>
    <col min="62" max="62" width="9.6328125" style="432" bestFit="1" customWidth="1"/>
    <col min="63" max="63" width="9.08984375" style="432"/>
    <col min="64" max="64" width="10" style="432" bestFit="1" customWidth="1"/>
    <col min="65" max="65" width="9.36328125" style="432" bestFit="1" customWidth="1"/>
    <col min="66" max="66" width="9.08984375" style="432"/>
    <col min="67" max="67" width="9.7265625" style="432" bestFit="1" customWidth="1"/>
    <col min="68" max="68" width="9.453125" style="432" bestFit="1" customWidth="1"/>
    <col min="69" max="69" width="9.08984375" style="432"/>
    <col min="70" max="70" width="9.90625" style="432" bestFit="1" customWidth="1"/>
    <col min="71" max="71" width="9.453125" style="432" bestFit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16384" width="9.08984375" style="432"/>
  </cols>
  <sheetData>
    <row r="1" spans="1:75" ht="20.25" customHeight="1" thickBot="1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5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</row>
    <row r="3" spans="1:75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</row>
    <row r="4" spans="1:75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5">
        <v>65</v>
      </c>
      <c r="BU4" s="645">
        <v>62.5</v>
      </c>
      <c r="BV4" s="645">
        <v>62</v>
      </c>
      <c r="BW4" s="645">
        <v>61.5</v>
      </c>
    </row>
    <row r="5" spans="1:75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5">
        <v>61.2</v>
      </c>
      <c r="BU5" s="645">
        <v>58.5</v>
      </c>
      <c r="BV5" s="645">
        <v>58</v>
      </c>
      <c r="BW5" s="645">
        <v>56.5</v>
      </c>
    </row>
    <row r="6" spans="1:75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45">
        <f t="shared" ref="BT6:BW6" si="11">(BT5*9)+12</f>
        <v>562.80000000000007</v>
      </c>
      <c r="BU6" s="645">
        <f t="shared" si="11"/>
        <v>538.5</v>
      </c>
      <c r="BV6" s="645">
        <f t="shared" si="11"/>
        <v>534</v>
      </c>
      <c r="BW6" s="645">
        <f t="shared" si="11"/>
        <v>520.5</v>
      </c>
    </row>
    <row r="7" spans="1:75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BV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6">
        <f t="shared" si="13"/>
        <v>577.5</v>
      </c>
      <c r="BU7" s="596">
        <f t="shared" si="13"/>
        <v>525</v>
      </c>
      <c r="BV7" s="596">
        <f t="shared" si="13"/>
        <v>412.5</v>
      </c>
      <c r="BW7" s="596">
        <f t="shared" ref="BW7" si="14">(BW8+BW9)/2</f>
        <v>412.5</v>
      </c>
    </row>
    <row r="8" spans="1:75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7">
        <v>385</v>
      </c>
      <c r="BW8" s="647">
        <v>385</v>
      </c>
    </row>
    <row r="9" spans="1:75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7">
        <v>440</v>
      </c>
      <c r="BW9" s="647">
        <v>440</v>
      </c>
    </row>
    <row r="10" spans="1:75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V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627">
        <f t="shared" si="15"/>
        <v>-14.699999999999932</v>
      </c>
      <c r="BU10" s="627">
        <f t="shared" si="15"/>
        <v>13.5</v>
      </c>
      <c r="BV10" s="651">
        <f t="shared" si="15"/>
        <v>121.5</v>
      </c>
      <c r="BW10" s="651">
        <f t="shared" ref="BW10" si="16">BW6-BW7</f>
        <v>108</v>
      </c>
    </row>
    <row r="11" spans="1:75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5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  <c r="BW12" s="623">
        <v>43892</v>
      </c>
    </row>
    <row r="13" spans="1:75" ht="22.5" customHeight="1" thickBot="1">
      <c r="A13" s="484" t="s">
        <v>237</v>
      </c>
      <c r="B13" s="452">
        <f t="shared" ref="B13:M13" si="17">(B7/11.6)-B4</f>
        <v>-7.6432512315270955</v>
      </c>
      <c r="C13" s="453">
        <f t="shared" si="17"/>
        <v>-16.01966379310344</v>
      </c>
      <c r="D13" s="453">
        <f t="shared" si="17"/>
        <v>-12.933589341692787</v>
      </c>
      <c r="E13" s="453">
        <f t="shared" si="17"/>
        <v>-18.549523809523819</v>
      </c>
      <c r="F13" s="453">
        <f t="shared" si="17"/>
        <v>-23.125965517241376</v>
      </c>
      <c r="G13" s="453">
        <f t="shared" si="17"/>
        <v>-25.667405582922832</v>
      </c>
      <c r="H13" s="453">
        <f t="shared" si="17"/>
        <v>-21.0679235382309</v>
      </c>
      <c r="I13" s="453">
        <f t="shared" si="17"/>
        <v>-15.200205254515595</v>
      </c>
      <c r="J13" s="454">
        <f t="shared" si="17"/>
        <v>-17.189435736677126</v>
      </c>
      <c r="K13" s="454">
        <f t="shared" si="17"/>
        <v>-14.631739811912215</v>
      </c>
      <c r="L13" s="455">
        <f t="shared" si="17"/>
        <v>-6.3630131362889983</v>
      </c>
      <c r="M13" s="485">
        <f t="shared" si="17"/>
        <v>5.6571964017990979</v>
      </c>
      <c r="N13" s="452">
        <f t="shared" ref="N13:N14" si="18">AVERAGE(B13:D13)</f>
        <v>-12.198834788774441</v>
      </c>
      <c r="O13" s="453">
        <f t="shared" ref="O13:O14" si="19">AVERAGE(E13:G13)</f>
        <v>-22.447631636562676</v>
      </c>
      <c r="P13" s="453">
        <f t="shared" ref="P13:P14" si="20">AVERAGE(H13:J13)</f>
        <v>-17.81918817647454</v>
      </c>
      <c r="Q13" s="486">
        <f t="shared" ref="Q13:Q14" si="21">AVERAGE(K13:M13)</f>
        <v>-5.112518848800705</v>
      </c>
      <c r="R13" s="487">
        <f t="shared" ref="R13:R14" si="22">AVERAGE(B13:M13)</f>
        <v>-14.39454336265309</v>
      </c>
      <c r="S13" s="456">
        <f t="shared" ref="S13:AD13" si="23">(S7/11.6)-S4</f>
        <v>4.4836034482758613</v>
      </c>
      <c r="T13" s="457">
        <f t="shared" si="23"/>
        <v>-3.7965517241379274</v>
      </c>
      <c r="U13" s="457">
        <f t="shared" si="23"/>
        <v>-9.065517241379311</v>
      </c>
      <c r="V13" s="457">
        <f t="shared" si="23"/>
        <v>-10.407405582922831</v>
      </c>
      <c r="W13" s="457">
        <f t="shared" si="23"/>
        <v>-14.353934169278993</v>
      </c>
      <c r="X13" s="457">
        <f t="shared" si="23"/>
        <v>-16.715353901996366</v>
      </c>
      <c r="Y13" s="488">
        <f t="shared" si="23"/>
        <v>-16.511724137931033</v>
      </c>
      <c r="Z13" s="512">
        <f t="shared" si="23"/>
        <v>-18.960893416927892</v>
      </c>
      <c r="AA13" s="512">
        <f t="shared" si="23"/>
        <v>-17.036420361247952</v>
      </c>
      <c r="AB13" s="457">
        <f t="shared" si="23"/>
        <v>-18.639696223316911</v>
      </c>
      <c r="AC13" s="488">
        <f t="shared" si="23"/>
        <v>-8.5197178683385602</v>
      </c>
      <c r="AD13" s="520">
        <f t="shared" si="23"/>
        <v>-17.959688013136294</v>
      </c>
      <c r="AE13" s="459">
        <f t="shared" ref="AE13:AE14" si="24">AVERAGE(S13:U13)</f>
        <v>-2.7928218390804589</v>
      </c>
      <c r="AF13" s="458">
        <f t="shared" ref="AF13:AF14" si="25">AVERAGE(V13:X13)</f>
        <v>-13.825564551399395</v>
      </c>
      <c r="AG13" s="458">
        <f t="shared" ref="AG13:AG14" si="26">AVERAGE(Y13:AA13)</f>
        <v>-17.503012638702291</v>
      </c>
      <c r="AH13" s="458">
        <f t="shared" ref="AH13:AH14" si="27">AVERAGE(AB13:AD13)</f>
        <v>-15.039700701597255</v>
      </c>
      <c r="AI13" s="531">
        <f t="shared" ref="AI13:AI14" si="28">AVERAGE(S13:AD13)</f>
        <v>-12.290274932694849</v>
      </c>
      <c r="AJ13" s="567">
        <f t="shared" ref="AJ13:BV13" si="29">(AJ7/11.6)-AJ4</f>
        <v>-13.633793103448276</v>
      </c>
      <c r="AK13" s="565">
        <f t="shared" si="29"/>
        <v>-6.5951724137931009</v>
      </c>
      <c r="AL13" s="545">
        <f t="shared" si="29"/>
        <v>-4.6482758620689637</v>
      </c>
      <c r="AM13" s="546">
        <f t="shared" si="29"/>
        <v>-12.634827586206896</v>
      </c>
      <c r="AN13" s="546">
        <f t="shared" si="29"/>
        <v>-17.134827586206896</v>
      </c>
      <c r="AO13" s="546">
        <f t="shared" si="29"/>
        <v>-13.064827586206896</v>
      </c>
      <c r="AP13" s="546">
        <f t="shared" si="29"/>
        <v>-16.966551724137929</v>
      </c>
      <c r="AQ13" s="546">
        <f t="shared" si="29"/>
        <v>-12.28896551724138</v>
      </c>
      <c r="AR13" s="546">
        <f t="shared" si="29"/>
        <v>-11.427120689655169</v>
      </c>
      <c r="AS13" s="546">
        <f t="shared" si="29"/>
        <v>-5.7655172413793068</v>
      </c>
      <c r="AT13" s="546">
        <f t="shared" si="29"/>
        <v>-11.03551724137931</v>
      </c>
      <c r="AU13" s="566">
        <f t="shared" si="29"/>
        <v>-11.600000000000001</v>
      </c>
      <c r="AV13" s="560">
        <f t="shared" si="29"/>
        <v>-16.189999999999998</v>
      </c>
      <c r="AW13" s="561">
        <f t="shared" si="29"/>
        <v>-18.323448275862063</v>
      </c>
      <c r="AX13" s="561">
        <f t="shared" si="29"/>
        <v>-22.007241379310344</v>
      </c>
      <c r="AY13" s="561">
        <f t="shared" si="29"/>
        <v>-27.537241379310338</v>
      </c>
      <c r="AZ13" s="561">
        <f t="shared" si="29"/>
        <v>-31.091034482758616</v>
      </c>
      <c r="BA13" s="561">
        <f t="shared" si="29"/>
        <v>-25.314137931034487</v>
      </c>
      <c r="BB13" s="561">
        <f t="shared" si="29"/>
        <v>-24.628620689655179</v>
      </c>
      <c r="BC13" s="561">
        <f t="shared" si="29"/>
        <v>-21.843448275862059</v>
      </c>
      <c r="BD13" s="561">
        <f t="shared" si="29"/>
        <v>-21.767241379310342</v>
      </c>
      <c r="BE13" s="561">
        <f t="shared" si="29"/>
        <v>-22.924482758620691</v>
      </c>
      <c r="BF13" s="561">
        <f t="shared" si="29"/>
        <v>-19.654827586206899</v>
      </c>
      <c r="BG13" s="624">
        <f t="shared" si="29"/>
        <v>-20.231034482758616</v>
      </c>
      <c r="BH13" s="626">
        <f t="shared" si="29"/>
        <v>-22.442068965517237</v>
      </c>
      <c r="BI13" s="626">
        <f t="shared" si="29"/>
        <v>-25.345862068965509</v>
      </c>
      <c r="BJ13" s="626">
        <f t="shared" si="29"/>
        <v>-23.395517241379316</v>
      </c>
      <c r="BK13" s="626">
        <f t="shared" si="29"/>
        <v>-25.691379310344828</v>
      </c>
      <c r="BL13" s="626">
        <f t="shared" si="29"/>
        <v>-23.905862068965511</v>
      </c>
      <c r="BM13" s="626">
        <f t="shared" si="29"/>
        <v>-25.337586206896546</v>
      </c>
      <c r="BN13" s="626">
        <f t="shared" si="29"/>
        <v>-31.78448275862069</v>
      </c>
      <c r="BO13" s="626">
        <f t="shared" si="29"/>
        <v>-27.64448275862069</v>
      </c>
      <c r="BP13" s="626">
        <f t="shared" si="29"/>
        <v>-30.516551724137926</v>
      </c>
      <c r="BQ13" s="626">
        <f t="shared" si="29"/>
        <v>-22.516551724137926</v>
      </c>
      <c r="BR13" s="626">
        <f t="shared" si="29"/>
        <v>-24.084482758620688</v>
      </c>
      <c r="BS13" s="626">
        <f t="shared" si="29"/>
        <v>-25.422413793103445</v>
      </c>
      <c r="BT13" s="626">
        <f t="shared" si="29"/>
        <v>-15.21551724137931</v>
      </c>
      <c r="BU13" s="626">
        <f t="shared" si="29"/>
        <v>-17.241379310344826</v>
      </c>
      <c r="BV13" s="650">
        <f t="shared" si="29"/>
        <v>-26.439655172413794</v>
      </c>
      <c r="BW13" s="650">
        <f t="shared" ref="BW13" si="30">(BW7/11.6)-BW4</f>
        <v>-25.939655172413794</v>
      </c>
    </row>
    <row r="14" spans="1:75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1">(333/11.6)-C4</f>
        <v>-27.140353448275857</v>
      </c>
      <c r="D14" s="461">
        <f t="shared" si="31"/>
        <v>-25.950830721003133</v>
      </c>
      <c r="E14" s="461">
        <f t="shared" si="31"/>
        <v>-29.842627257799681</v>
      </c>
      <c r="F14" s="461">
        <f t="shared" si="31"/>
        <v>-34.85010344827586</v>
      </c>
      <c r="G14" s="461">
        <f t="shared" si="31"/>
        <v>-33.08119868637111</v>
      </c>
      <c r="H14" s="461">
        <f t="shared" si="31"/>
        <v>-27.447233883058484</v>
      </c>
      <c r="I14" s="461">
        <f t="shared" si="31"/>
        <v>-19.165722495894908</v>
      </c>
      <c r="J14" s="462">
        <f t="shared" si="31"/>
        <v>-16.672194357366781</v>
      </c>
      <c r="K14" s="490">
        <f t="shared" si="31"/>
        <v>-17.131739811912215</v>
      </c>
      <c r="L14" s="491">
        <f t="shared" si="31"/>
        <v>-13.087151067323479</v>
      </c>
      <c r="M14" s="492">
        <f t="shared" si="31"/>
        <v>-5.8083208395802153</v>
      </c>
      <c r="N14" s="493">
        <f t="shared" si="18"/>
        <v>-23.319524443946857</v>
      </c>
      <c r="O14" s="494">
        <f t="shared" si="19"/>
        <v>-32.591309797482218</v>
      </c>
      <c r="P14" s="494">
        <f t="shared" si="20"/>
        <v>-21.09505024544006</v>
      </c>
      <c r="Q14" s="495">
        <f t="shared" si="21"/>
        <v>-12.009070572938635</v>
      </c>
      <c r="R14" s="496">
        <f t="shared" si="22"/>
        <v>-22.253738764951944</v>
      </c>
      <c r="S14" s="497">
        <f t="shared" ref="S14:AD14" si="32">(333/11.6)-S4</f>
        <v>1.8973965517241353</v>
      </c>
      <c r="T14" s="498">
        <f t="shared" si="32"/>
        <v>-0.69310344827585979</v>
      </c>
      <c r="U14" s="498">
        <f t="shared" si="32"/>
        <v>-6.3931034482758626</v>
      </c>
      <c r="V14" s="498">
        <f t="shared" si="32"/>
        <v>-10.321198686371108</v>
      </c>
      <c r="W14" s="498">
        <f t="shared" si="32"/>
        <v>-15.560830721003132</v>
      </c>
      <c r="X14" s="498">
        <f t="shared" si="32"/>
        <v>-17.66362976406533</v>
      </c>
      <c r="Y14" s="499">
        <f t="shared" si="32"/>
        <v>-13.753103448275862</v>
      </c>
      <c r="Z14" s="513">
        <f t="shared" si="32"/>
        <v>-14.995376175548582</v>
      </c>
      <c r="AA14" s="513">
        <f t="shared" si="32"/>
        <v>-14.622627257799675</v>
      </c>
      <c r="AB14" s="498">
        <f t="shared" si="32"/>
        <v>-20.277627257799669</v>
      </c>
      <c r="AC14" s="499">
        <f t="shared" si="32"/>
        <v>-15.157648902821318</v>
      </c>
      <c r="AD14" s="525">
        <f t="shared" si="32"/>
        <v>-23.390722495894916</v>
      </c>
      <c r="AE14" s="501">
        <f t="shared" si="24"/>
        <v>-1.7296034482758624</v>
      </c>
      <c r="AF14" s="500">
        <f t="shared" si="25"/>
        <v>-14.515219723813189</v>
      </c>
      <c r="AG14" s="500">
        <f t="shared" si="26"/>
        <v>-14.457035627208038</v>
      </c>
      <c r="AH14" s="500">
        <f t="shared" si="27"/>
        <v>-19.608666218838636</v>
      </c>
      <c r="AI14" s="502">
        <f t="shared" si="28"/>
        <v>-12.577631254533932</v>
      </c>
      <c r="AJ14" s="537">
        <f t="shared" ref="AJ14:AU14" si="33">(333/11.6)-AJ4</f>
        <v>-25.01310344827586</v>
      </c>
      <c r="AK14" s="538">
        <f t="shared" si="33"/>
        <v>-25.733103448275859</v>
      </c>
      <c r="AL14" s="538">
        <f t="shared" si="33"/>
        <v>-22.493103448275864</v>
      </c>
      <c r="AM14" s="539">
        <f t="shared" si="33"/>
        <v>-23.58310344827586</v>
      </c>
      <c r="AN14" s="539">
        <f t="shared" si="33"/>
        <v>-21.83310344827586</v>
      </c>
      <c r="AO14" s="539">
        <f t="shared" si="33"/>
        <v>-17.76310344827586</v>
      </c>
      <c r="AP14" s="539">
        <f t="shared" si="33"/>
        <v>-18.863103448275861</v>
      </c>
      <c r="AQ14" s="540">
        <f t="shared" si="33"/>
        <v>-21.51310344827586</v>
      </c>
      <c r="AR14" s="541">
        <f t="shared" si="33"/>
        <v>-24.961603448275856</v>
      </c>
      <c r="AS14" s="542">
        <f t="shared" si="33"/>
        <v>-26.843103448275858</v>
      </c>
      <c r="AT14" s="543">
        <f t="shared" si="33"/>
        <v>-32.113103448275865</v>
      </c>
      <c r="AU14" s="544">
        <f t="shared" si="33"/>
        <v>-32.893103448275866</v>
      </c>
      <c r="AV14" s="542"/>
      <c r="AW14" s="543"/>
      <c r="AX14" s="543"/>
      <c r="AY14" s="543"/>
      <c r="AZ14" s="544"/>
      <c r="BB14"/>
    </row>
    <row r="15" spans="1:75" s="507" customFormat="1" ht="31.5" customHeight="1">
      <c r="A15" s="654" t="s">
        <v>262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5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71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71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H18" s="518" t="s">
        <v>242</v>
      </c>
      <c r="BJ18" s="510" t="s">
        <v>264</v>
      </c>
      <c r="BK18" s="508"/>
      <c r="BL18" s="508"/>
      <c r="BM18" s="508"/>
      <c r="BN18" s="508"/>
      <c r="BO18" s="508"/>
      <c r="BP18" s="508"/>
      <c r="BQ18" s="508"/>
      <c r="BR18" s="508"/>
    </row>
    <row r="19" spans="4:71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H19" s="724" t="s">
        <v>239</v>
      </c>
      <c r="BI19" s="725"/>
      <c r="BJ19" s="725"/>
      <c r="BK19" s="725"/>
      <c r="BL19" s="725"/>
      <c r="BM19" s="726"/>
      <c r="BN19" s="725" t="s">
        <v>240</v>
      </c>
      <c r="BO19" s="725"/>
      <c r="BP19" s="725"/>
      <c r="BQ19" s="725"/>
      <c r="BR19" s="725"/>
      <c r="BS19" s="726"/>
    </row>
    <row r="20" spans="4:71" ht="58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H20" s="718" t="s">
        <v>267</v>
      </c>
      <c r="BI20" s="719"/>
      <c r="BJ20" s="719"/>
      <c r="BK20" s="719"/>
      <c r="BL20" s="719"/>
      <c r="BM20" s="720"/>
      <c r="BN20" s="718" t="s">
        <v>269</v>
      </c>
      <c r="BO20" s="719"/>
      <c r="BP20" s="719"/>
      <c r="BQ20" s="719"/>
      <c r="BR20" s="719"/>
      <c r="BS20" s="720"/>
    </row>
    <row r="21" spans="4:71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H21" s="718" t="s">
        <v>268</v>
      </c>
      <c r="BI21" s="719"/>
      <c r="BJ21" s="719"/>
      <c r="BK21" s="719"/>
      <c r="BL21" s="719"/>
      <c r="BM21" s="720"/>
      <c r="BN21" s="718" t="s">
        <v>266</v>
      </c>
      <c r="BO21" s="719"/>
      <c r="BP21" s="719"/>
      <c r="BQ21" s="719"/>
      <c r="BR21" s="719"/>
      <c r="BS21" s="720"/>
    </row>
    <row r="22" spans="4:71" ht="58.5" hidden="1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H22" s="718"/>
      <c r="BI22" s="719"/>
      <c r="BJ22" s="719"/>
      <c r="BK22" s="719"/>
      <c r="BL22" s="719"/>
      <c r="BM22" s="720"/>
      <c r="BN22" s="718"/>
      <c r="BO22" s="719"/>
      <c r="BP22" s="719"/>
      <c r="BQ22" s="719"/>
      <c r="BR22" s="719"/>
      <c r="BS22" s="720"/>
    </row>
    <row r="23" spans="4:71">
      <c r="BN23"/>
    </row>
    <row r="24" spans="4:71">
      <c r="BH24" s="620" t="s">
        <v>251</v>
      </c>
      <c r="BN24"/>
    </row>
    <row r="25" spans="4:71">
      <c r="AV25" s="619"/>
      <c r="BH25" s="619" t="s">
        <v>263</v>
      </c>
    </row>
    <row r="26" spans="4:71">
      <c r="BH26" s="619" t="s">
        <v>265</v>
      </c>
    </row>
    <row r="27" spans="4:71">
      <c r="BH27" s="619"/>
    </row>
  </sheetData>
  <mergeCells count="16">
    <mergeCell ref="AV2:BG2"/>
    <mergeCell ref="B2:M2"/>
    <mergeCell ref="N2:R2"/>
    <mergeCell ref="S2:AD2"/>
    <mergeCell ref="AE2:AI2"/>
    <mergeCell ref="AJ2:AU2"/>
    <mergeCell ref="BH21:BM21"/>
    <mergeCell ref="BN21:BS21"/>
    <mergeCell ref="BH22:BM22"/>
    <mergeCell ref="BN22:BS22"/>
    <mergeCell ref="BT2:BW2"/>
    <mergeCell ref="BH2:BS2"/>
    <mergeCell ref="BH19:BM19"/>
    <mergeCell ref="BN19:BS19"/>
    <mergeCell ref="BH20:BM20"/>
    <mergeCell ref="BN20:BS20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70C0"/>
    <pageSetUpPr fitToPage="1"/>
  </sheetPr>
  <dimension ref="A1:CE28"/>
  <sheetViews>
    <sheetView zoomScaleNormal="100" zoomScaleSheetLayoutView="50" workbookViewId="0">
      <pane xSplit="1" ySplit="3" topLeftCell="BK19" activePane="bottomRight" state="frozenSplit"/>
      <selection pane="topRight" activeCell="B1" sqref="B1"/>
      <selection pane="bottomLeft" activeCell="A3" sqref="A3"/>
      <selection pane="bottomRight" activeCell="CF30" sqref="CF30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16384" width="9.08984375" style="432"/>
  </cols>
  <sheetData>
    <row r="1" spans="1:78" ht="20.25" customHeight="1" thickBot="1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8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</row>
    <row r="3" spans="1:7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</row>
    <row r="4" spans="1:7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45">
        <v>38</v>
      </c>
      <c r="BW4" s="645">
        <v>35</v>
      </c>
      <c r="BX4" s="645">
        <v>38</v>
      </c>
    </row>
    <row r="5" spans="1:7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45">
        <v>35.299999999999997</v>
      </c>
      <c r="BW5" s="645">
        <v>31</v>
      </c>
      <c r="BX5" s="645">
        <v>32</v>
      </c>
    </row>
    <row r="6" spans="1:7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W6" si="11">(BT5*9)+12</f>
        <v>559.92000000000007</v>
      </c>
      <c r="BU6" s="640">
        <f t="shared" si="11"/>
        <v>482.7</v>
      </c>
      <c r="BV6" s="645">
        <f t="shared" si="11"/>
        <v>329.7</v>
      </c>
      <c r="BW6" s="645">
        <f t="shared" si="11"/>
        <v>291</v>
      </c>
      <c r="BX6" s="645">
        <f t="shared" ref="BX6" si="12">(BX5*9)+12</f>
        <v>300</v>
      </c>
    </row>
    <row r="7" spans="1:7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BW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6">
        <f t="shared" si="14"/>
        <v>280</v>
      </c>
      <c r="BX7" s="596">
        <f t="shared" ref="BX7" si="15">(BX8+BX9)/2</f>
        <v>287.5</v>
      </c>
    </row>
    <row r="8" spans="1:7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57">
        <v>270</v>
      </c>
      <c r="BX8" s="657">
        <v>280</v>
      </c>
    </row>
    <row r="9" spans="1:7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57">
        <v>290</v>
      </c>
      <c r="BX9" s="657">
        <v>295</v>
      </c>
      <c r="BZ9" s="658"/>
    </row>
    <row r="10" spans="1:7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W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651">
        <f t="shared" si="16"/>
        <v>-125.30000000000001</v>
      </c>
      <c r="BW10" s="651">
        <f t="shared" si="16"/>
        <v>11</v>
      </c>
      <c r="BX10" s="651">
        <f t="shared" ref="BX10" si="17">BX6-BX7</f>
        <v>12.5</v>
      </c>
    </row>
    <row r="11" spans="1:7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  <c r="BW12" s="623">
        <v>43922</v>
      </c>
      <c r="BX12" s="623">
        <v>43952</v>
      </c>
    </row>
    <row r="13" spans="1:78" ht="22.5" customHeight="1" thickBot="1">
      <c r="A13" s="484" t="s">
        <v>237</v>
      </c>
      <c r="B13" s="452">
        <f t="shared" ref="B13:M13" si="18">(B7/11.6)-B4</f>
        <v>-7.6432512315270955</v>
      </c>
      <c r="C13" s="453">
        <f t="shared" si="18"/>
        <v>-16.01966379310344</v>
      </c>
      <c r="D13" s="453">
        <f t="shared" si="18"/>
        <v>-12.933589341692787</v>
      </c>
      <c r="E13" s="453">
        <f t="shared" si="18"/>
        <v>-18.549523809523819</v>
      </c>
      <c r="F13" s="453">
        <f t="shared" si="18"/>
        <v>-23.125965517241376</v>
      </c>
      <c r="G13" s="453">
        <f t="shared" si="18"/>
        <v>-25.667405582922832</v>
      </c>
      <c r="H13" s="453">
        <f t="shared" si="18"/>
        <v>-21.0679235382309</v>
      </c>
      <c r="I13" s="453">
        <f t="shared" si="18"/>
        <v>-15.200205254515595</v>
      </c>
      <c r="J13" s="454">
        <f t="shared" si="18"/>
        <v>-17.189435736677126</v>
      </c>
      <c r="K13" s="454">
        <f t="shared" si="18"/>
        <v>-14.631739811912215</v>
      </c>
      <c r="L13" s="455">
        <f t="shared" si="18"/>
        <v>-6.3630131362889983</v>
      </c>
      <c r="M13" s="485">
        <f t="shared" si="18"/>
        <v>5.6571964017990979</v>
      </c>
      <c r="N13" s="452">
        <f t="shared" ref="N13:N14" si="19">AVERAGE(B13:D13)</f>
        <v>-12.198834788774441</v>
      </c>
      <c r="O13" s="453">
        <f t="shared" ref="O13:O14" si="20">AVERAGE(E13:G13)</f>
        <v>-22.447631636562676</v>
      </c>
      <c r="P13" s="453">
        <f t="shared" ref="P13:P14" si="21">AVERAGE(H13:J13)</f>
        <v>-17.81918817647454</v>
      </c>
      <c r="Q13" s="486">
        <f t="shared" ref="Q13:Q14" si="22">AVERAGE(K13:M13)</f>
        <v>-5.112518848800705</v>
      </c>
      <c r="R13" s="487">
        <f t="shared" ref="R13:R14" si="23">AVERAGE(B13:M13)</f>
        <v>-14.39454336265309</v>
      </c>
      <c r="S13" s="456">
        <f t="shared" ref="S13:AD13" si="24">(S7/11.6)-S4</f>
        <v>4.4836034482758613</v>
      </c>
      <c r="T13" s="457">
        <f t="shared" si="24"/>
        <v>-3.7965517241379274</v>
      </c>
      <c r="U13" s="457">
        <f t="shared" si="24"/>
        <v>-9.065517241379311</v>
      </c>
      <c r="V13" s="457">
        <f t="shared" si="24"/>
        <v>-10.407405582922831</v>
      </c>
      <c r="W13" s="457">
        <f t="shared" si="24"/>
        <v>-14.353934169278993</v>
      </c>
      <c r="X13" s="457">
        <f t="shared" si="24"/>
        <v>-16.715353901996366</v>
      </c>
      <c r="Y13" s="488">
        <f t="shared" si="24"/>
        <v>-16.511724137931033</v>
      </c>
      <c r="Z13" s="512">
        <f t="shared" si="24"/>
        <v>-18.960893416927892</v>
      </c>
      <c r="AA13" s="512">
        <f t="shared" si="24"/>
        <v>-17.036420361247952</v>
      </c>
      <c r="AB13" s="457">
        <f t="shared" si="24"/>
        <v>-18.639696223316911</v>
      </c>
      <c r="AC13" s="488">
        <f t="shared" si="24"/>
        <v>-8.5197178683385602</v>
      </c>
      <c r="AD13" s="520">
        <f t="shared" si="24"/>
        <v>-17.959688013136294</v>
      </c>
      <c r="AE13" s="459">
        <f t="shared" ref="AE13:AE14" si="25">AVERAGE(S13:U13)</f>
        <v>-2.7928218390804589</v>
      </c>
      <c r="AF13" s="458">
        <f t="shared" ref="AF13:AF14" si="26">AVERAGE(V13:X13)</f>
        <v>-13.825564551399395</v>
      </c>
      <c r="AG13" s="458">
        <f t="shared" ref="AG13:AG14" si="27">AVERAGE(Y13:AA13)</f>
        <v>-17.503012638702291</v>
      </c>
      <c r="AH13" s="458">
        <f t="shared" ref="AH13:AH14" si="28">AVERAGE(AB13:AD13)</f>
        <v>-15.039700701597255</v>
      </c>
      <c r="AI13" s="531">
        <f t="shared" ref="AI13:AI14" si="29">AVERAGE(S13:AD13)</f>
        <v>-12.290274932694849</v>
      </c>
      <c r="AJ13" s="567">
        <f t="shared" ref="AJ13:BW13" si="30">(AJ7/11.6)-AJ4</f>
        <v>-13.633793103448276</v>
      </c>
      <c r="AK13" s="565">
        <f t="shared" si="30"/>
        <v>-6.5951724137931009</v>
      </c>
      <c r="AL13" s="545">
        <f t="shared" si="30"/>
        <v>-4.6482758620689637</v>
      </c>
      <c r="AM13" s="546">
        <f t="shared" si="30"/>
        <v>-12.634827586206896</v>
      </c>
      <c r="AN13" s="546">
        <f t="shared" si="30"/>
        <v>-17.134827586206896</v>
      </c>
      <c r="AO13" s="546">
        <f t="shared" si="30"/>
        <v>-13.064827586206896</v>
      </c>
      <c r="AP13" s="546">
        <f t="shared" si="30"/>
        <v>-16.966551724137929</v>
      </c>
      <c r="AQ13" s="546">
        <f t="shared" si="30"/>
        <v>-12.28896551724138</v>
      </c>
      <c r="AR13" s="546">
        <f t="shared" si="30"/>
        <v>-11.427120689655169</v>
      </c>
      <c r="AS13" s="546">
        <f t="shared" si="30"/>
        <v>-5.7655172413793068</v>
      </c>
      <c r="AT13" s="546">
        <f t="shared" si="30"/>
        <v>-11.03551724137931</v>
      </c>
      <c r="AU13" s="566">
        <f t="shared" si="30"/>
        <v>-11.600000000000001</v>
      </c>
      <c r="AV13" s="560">
        <f t="shared" si="30"/>
        <v>-16.189999999999998</v>
      </c>
      <c r="AW13" s="561">
        <f t="shared" si="30"/>
        <v>-18.323448275862063</v>
      </c>
      <c r="AX13" s="561">
        <f t="shared" si="30"/>
        <v>-22.007241379310344</v>
      </c>
      <c r="AY13" s="561">
        <f t="shared" si="30"/>
        <v>-27.537241379310338</v>
      </c>
      <c r="AZ13" s="561">
        <f t="shared" si="30"/>
        <v>-31.091034482758616</v>
      </c>
      <c r="BA13" s="561">
        <f t="shared" si="30"/>
        <v>-25.314137931034487</v>
      </c>
      <c r="BB13" s="561">
        <f t="shared" si="30"/>
        <v>-24.628620689655179</v>
      </c>
      <c r="BC13" s="561">
        <f t="shared" si="30"/>
        <v>-21.843448275862059</v>
      </c>
      <c r="BD13" s="561">
        <f t="shared" si="30"/>
        <v>-21.767241379310342</v>
      </c>
      <c r="BE13" s="561">
        <f t="shared" si="30"/>
        <v>-22.924482758620691</v>
      </c>
      <c r="BF13" s="561">
        <f t="shared" si="30"/>
        <v>-19.654827586206899</v>
      </c>
      <c r="BG13" s="624">
        <f t="shared" si="30"/>
        <v>-20.231034482758616</v>
      </c>
      <c r="BH13" s="626">
        <f t="shared" si="30"/>
        <v>-22.442068965517237</v>
      </c>
      <c r="BI13" s="626">
        <f t="shared" si="30"/>
        <v>-25.345862068965509</v>
      </c>
      <c r="BJ13" s="626">
        <f t="shared" si="30"/>
        <v>-23.395517241379316</v>
      </c>
      <c r="BK13" s="626">
        <f t="shared" si="30"/>
        <v>-25.691379310344828</v>
      </c>
      <c r="BL13" s="626">
        <f t="shared" si="30"/>
        <v>-23.905862068965511</v>
      </c>
      <c r="BM13" s="626">
        <f t="shared" si="30"/>
        <v>-25.337586206896546</v>
      </c>
      <c r="BN13" s="626">
        <f t="shared" si="30"/>
        <v>-31.78448275862069</v>
      </c>
      <c r="BO13" s="626">
        <f t="shared" si="30"/>
        <v>-27.64448275862069</v>
      </c>
      <c r="BP13" s="626">
        <f t="shared" si="30"/>
        <v>-30.516551724137926</v>
      </c>
      <c r="BQ13" s="626">
        <f t="shared" si="30"/>
        <v>-22.516551724137926</v>
      </c>
      <c r="BR13" s="626">
        <f t="shared" si="30"/>
        <v>-24.084482758620688</v>
      </c>
      <c r="BS13" s="626">
        <f t="shared" si="30"/>
        <v>-25.422413793103445</v>
      </c>
      <c r="BT13" s="656">
        <f t="shared" si="30"/>
        <v>-14.505517241379316</v>
      </c>
      <c r="BU13" s="656">
        <f t="shared" si="30"/>
        <v>-8.9613793103448245</v>
      </c>
      <c r="BV13" s="650">
        <f t="shared" si="30"/>
        <v>1.224137931034484</v>
      </c>
      <c r="BW13" s="650">
        <f t="shared" si="30"/>
        <v>-10.862068965517242</v>
      </c>
      <c r="BX13" s="650">
        <f t="shared" ref="BX13" si="31">(BX7/11.6)-BX4</f>
        <v>-13.21551724137931</v>
      </c>
    </row>
    <row r="14" spans="1:7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2">(333/11.6)-C4</f>
        <v>-27.140353448275857</v>
      </c>
      <c r="D14" s="461">
        <f t="shared" si="32"/>
        <v>-25.950830721003133</v>
      </c>
      <c r="E14" s="461">
        <f t="shared" si="32"/>
        <v>-29.842627257799681</v>
      </c>
      <c r="F14" s="461">
        <f t="shared" si="32"/>
        <v>-34.85010344827586</v>
      </c>
      <c r="G14" s="461">
        <f t="shared" si="32"/>
        <v>-33.08119868637111</v>
      </c>
      <c r="H14" s="461">
        <f t="shared" si="32"/>
        <v>-27.447233883058484</v>
      </c>
      <c r="I14" s="461">
        <f t="shared" si="32"/>
        <v>-19.165722495894908</v>
      </c>
      <c r="J14" s="462">
        <f t="shared" si="32"/>
        <v>-16.672194357366781</v>
      </c>
      <c r="K14" s="490">
        <f t="shared" si="32"/>
        <v>-17.131739811912215</v>
      </c>
      <c r="L14" s="491">
        <f t="shared" si="32"/>
        <v>-13.087151067323479</v>
      </c>
      <c r="M14" s="492">
        <f t="shared" si="32"/>
        <v>-5.8083208395802153</v>
      </c>
      <c r="N14" s="493">
        <f t="shared" si="19"/>
        <v>-23.319524443946857</v>
      </c>
      <c r="O14" s="494">
        <f t="shared" si="20"/>
        <v>-32.591309797482218</v>
      </c>
      <c r="P14" s="494">
        <f t="shared" si="21"/>
        <v>-21.09505024544006</v>
      </c>
      <c r="Q14" s="495">
        <f t="shared" si="22"/>
        <v>-12.009070572938635</v>
      </c>
      <c r="R14" s="496">
        <f t="shared" si="23"/>
        <v>-22.253738764951944</v>
      </c>
      <c r="S14" s="497">
        <f t="shared" ref="S14:AD14" si="33">(333/11.6)-S4</f>
        <v>1.8973965517241353</v>
      </c>
      <c r="T14" s="498">
        <f t="shared" si="33"/>
        <v>-0.69310344827585979</v>
      </c>
      <c r="U14" s="498">
        <f t="shared" si="33"/>
        <v>-6.3931034482758626</v>
      </c>
      <c r="V14" s="498">
        <f t="shared" si="33"/>
        <v>-10.321198686371108</v>
      </c>
      <c r="W14" s="498">
        <f t="shared" si="33"/>
        <v>-15.560830721003132</v>
      </c>
      <c r="X14" s="498">
        <f t="shared" si="33"/>
        <v>-17.66362976406533</v>
      </c>
      <c r="Y14" s="499">
        <f t="shared" si="33"/>
        <v>-13.753103448275862</v>
      </c>
      <c r="Z14" s="513">
        <f t="shared" si="33"/>
        <v>-14.995376175548582</v>
      </c>
      <c r="AA14" s="513">
        <f t="shared" si="33"/>
        <v>-14.622627257799675</v>
      </c>
      <c r="AB14" s="498">
        <f t="shared" si="33"/>
        <v>-20.277627257799669</v>
      </c>
      <c r="AC14" s="499">
        <f t="shared" si="33"/>
        <v>-15.157648902821318</v>
      </c>
      <c r="AD14" s="525">
        <f t="shared" si="33"/>
        <v>-23.390722495894916</v>
      </c>
      <c r="AE14" s="501">
        <f t="shared" si="25"/>
        <v>-1.7296034482758624</v>
      </c>
      <c r="AF14" s="500">
        <f t="shared" si="26"/>
        <v>-14.515219723813189</v>
      </c>
      <c r="AG14" s="500">
        <f t="shared" si="27"/>
        <v>-14.457035627208038</v>
      </c>
      <c r="AH14" s="500">
        <f t="shared" si="28"/>
        <v>-19.608666218838636</v>
      </c>
      <c r="AI14" s="502">
        <f t="shared" si="29"/>
        <v>-12.577631254533932</v>
      </c>
      <c r="AJ14" s="537">
        <f t="shared" ref="AJ14:AU14" si="34">(333/11.6)-AJ4</f>
        <v>-25.01310344827586</v>
      </c>
      <c r="AK14" s="538">
        <f t="shared" si="34"/>
        <v>-25.733103448275859</v>
      </c>
      <c r="AL14" s="538">
        <f t="shared" si="34"/>
        <v>-22.493103448275864</v>
      </c>
      <c r="AM14" s="539">
        <f t="shared" si="34"/>
        <v>-23.58310344827586</v>
      </c>
      <c r="AN14" s="539">
        <f t="shared" si="34"/>
        <v>-21.83310344827586</v>
      </c>
      <c r="AO14" s="539">
        <f t="shared" si="34"/>
        <v>-17.76310344827586</v>
      </c>
      <c r="AP14" s="539">
        <f t="shared" si="34"/>
        <v>-18.863103448275861</v>
      </c>
      <c r="AQ14" s="540">
        <f t="shared" si="34"/>
        <v>-21.51310344827586</v>
      </c>
      <c r="AR14" s="541">
        <f t="shared" si="34"/>
        <v>-24.961603448275856</v>
      </c>
      <c r="AS14" s="542">
        <f t="shared" si="34"/>
        <v>-26.843103448275858</v>
      </c>
      <c r="AT14" s="543">
        <f t="shared" si="34"/>
        <v>-32.113103448275865</v>
      </c>
      <c r="AU14" s="544">
        <f t="shared" si="34"/>
        <v>-32.893103448275866</v>
      </c>
      <c r="AV14" s="542"/>
      <c r="AW14" s="543"/>
      <c r="AX14" s="543"/>
      <c r="AY14" s="543"/>
      <c r="AZ14" s="544"/>
      <c r="BB14"/>
    </row>
    <row r="15" spans="1:78" s="507" customFormat="1" ht="31.5" customHeight="1">
      <c r="A15" s="654" t="s">
        <v>277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270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127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271</v>
      </c>
      <c r="BU20" s="719"/>
      <c r="BV20" s="719"/>
      <c r="BW20" s="719"/>
      <c r="BX20" s="719"/>
      <c r="BY20" s="720"/>
      <c r="BZ20" s="718" t="s">
        <v>278</v>
      </c>
      <c r="CA20" s="719"/>
      <c r="CB20" s="719"/>
      <c r="CC20" s="719"/>
      <c r="CD20" s="719"/>
      <c r="CE20" s="720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272</v>
      </c>
      <c r="BU21" s="719"/>
      <c r="BV21" s="719"/>
      <c r="BW21" s="719"/>
      <c r="BX21" s="719"/>
      <c r="BY21" s="720"/>
      <c r="BZ21" s="718" t="s">
        <v>274</v>
      </c>
      <c r="CA21" s="719"/>
      <c r="CB21" s="719"/>
      <c r="CC21" s="719"/>
      <c r="CD21" s="719"/>
      <c r="CE21" s="720"/>
    </row>
    <row r="22" spans="4:83" ht="51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T22" s="718"/>
      <c r="BU22" s="719"/>
      <c r="BV22" s="719"/>
      <c r="BW22" s="719"/>
      <c r="BX22" s="719"/>
      <c r="BY22" s="720"/>
      <c r="BZ22" s="718" t="s">
        <v>273</v>
      </c>
      <c r="CA22" s="719"/>
      <c r="CB22" s="719"/>
      <c r="CC22" s="719"/>
      <c r="CD22" s="719"/>
      <c r="CE22" s="720"/>
    </row>
    <row r="23" spans="4:83" ht="50.2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T23" s="718"/>
      <c r="BU23" s="719"/>
      <c r="BV23" s="719"/>
      <c r="BW23" s="719"/>
      <c r="BX23" s="719"/>
      <c r="BY23" s="720"/>
      <c r="BZ23" s="718" t="s">
        <v>275</v>
      </c>
      <c r="CA23" s="719"/>
      <c r="CB23" s="719"/>
      <c r="CC23" s="719"/>
      <c r="CD23" s="719"/>
      <c r="CE23" s="720"/>
    </row>
    <row r="24" spans="4:83">
      <c r="BZ24"/>
    </row>
    <row r="25" spans="4:83">
      <c r="BT25" s="620" t="s">
        <v>251</v>
      </c>
      <c r="BZ25"/>
    </row>
    <row r="26" spans="4:83">
      <c r="AV26" s="619"/>
      <c r="BT26" s="619" t="s">
        <v>263</v>
      </c>
    </row>
    <row r="27" spans="4:83">
      <c r="BT27" s="619" t="s">
        <v>276</v>
      </c>
    </row>
    <row r="28" spans="4:83">
      <c r="BH28" s="619"/>
    </row>
  </sheetData>
  <mergeCells count="18">
    <mergeCell ref="BT22:BY22"/>
    <mergeCell ref="BZ22:CE22"/>
    <mergeCell ref="BT23:BY23"/>
    <mergeCell ref="BZ23:CE23"/>
    <mergeCell ref="BT2:BX2"/>
    <mergeCell ref="BT21:BY21"/>
    <mergeCell ref="BZ21:CE21"/>
    <mergeCell ref="BH2:BS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70C0"/>
    <pageSetUpPr fitToPage="1"/>
  </sheetPr>
  <dimension ref="A1:CE27"/>
  <sheetViews>
    <sheetView zoomScaleNormal="100" zoomScaleSheetLayoutView="50" workbookViewId="0">
      <pane xSplit="1" ySplit="3" topLeftCell="BT19" activePane="bottomRight" state="frozenSplit"/>
      <selection pane="topRight" activeCell="B1" sqref="B1"/>
      <selection pane="bottomLeft" activeCell="A3" sqref="A3"/>
      <selection pane="bottomRight" activeCell="BT22" sqref="BT22:BY22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16384" width="9.08984375" style="432"/>
  </cols>
  <sheetData>
    <row r="1" spans="1:78" ht="20.25" customHeight="1" thickBot="1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8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</row>
    <row r="3" spans="1:7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</row>
    <row r="4" spans="1:7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45">
        <v>25</v>
      </c>
      <c r="BX4" s="645">
        <v>27.5</v>
      </c>
      <c r="BY4" s="645">
        <v>30</v>
      </c>
    </row>
    <row r="5" spans="1:7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45">
        <v>30.7</v>
      </c>
      <c r="BW5" s="645">
        <v>21</v>
      </c>
      <c r="BX5" s="645">
        <v>21.5</v>
      </c>
      <c r="BY5" s="645">
        <v>25</v>
      </c>
    </row>
    <row r="6" spans="1:7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Y6" si="11">(BT5*9)+12</f>
        <v>559.92000000000007</v>
      </c>
      <c r="BU6" s="640">
        <f t="shared" si="11"/>
        <v>482.7</v>
      </c>
      <c r="BV6" s="645">
        <f t="shared" si="11"/>
        <v>288.3</v>
      </c>
      <c r="BW6" s="645">
        <f t="shared" si="11"/>
        <v>201</v>
      </c>
      <c r="BX6" s="645">
        <f t="shared" si="11"/>
        <v>205.5</v>
      </c>
      <c r="BY6" s="645">
        <f t="shared" si="11"/>
        <v>237</v>
      </c>
    </row>
    <row r="7" spans="1:7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BY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6">
        <f t="shared" si="13"/>
        <v>215</v>
      </c>
      <c r="BY7" s="596">
        <f t="shared" si="13"/>
        <v>222.5</v>
      </c>
    </row>
    <row r="8" spans="1:7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57">
        <v>210</v>
      </c>
      <c r="BY8" s="657">
        <v>215</v>
      </c>
    </row>
    <row r="9" spans="1:7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57">
        <v>220</v>
      </c>
      <c r="BY9" s="657">
        <v>230</v>
      </c>
      <c r="BZ9" s="658"/>
    </row>
    <row r="10" spans="1:7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Y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651">
        <f t="shared" si="14"/>
        <v>-166.7</v>
      </c>
      <c r="BW10" s="651">
        <f t="shared" si="14"/>
        <v>-34</v>
      </c>
      <c r="BX10" s="651">
        <f t="shared" si="14"/>
        <v>-9.5</v>
      </c>
      <c r="BY10" s="651">
        <f t="shared" si="14"/>
        <v>14.5</v>
      </c>
    </row>
    <row r="11" spans="1:7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  <c r="BW12" s="623">
        <v>43922</v>
      </c>
      <c r="BX12" s="623">
        <v>43952</v>
      </c>
      <c r="BY12" s="623">
        <v>43983</v>
      </c>
    </row>
    <row r="13" spans="1:78" ht="22.5" customHeight="1" thickBot="1">
      <c r="A13" s="484" t="s">
        <v>237</v>
      </c>
      <c r="B13" s="452">
        <f t="shared" ref="B13:M13" si="15">(B7/11.6)-B4</f>
        <v>-7.6432512315270955</v>
      </c>
      <c r="C13" s="453">
        <f t="shared" si="15"/>
        <v>-16.01966379310344</v>
      </c>
      <c r="D13" s="453">
        <f t="shared" si="15"/>
        <v>-12.933589341692787</v>
      </c>
      <c r="E13" s="453">
        <f t="shared" si="15"/>
        <v>-18.549523809523819</v>
      </c>
      <c r="F13" s="453">
        <f t="shared" si="15"/>
        <v>-23.125965517241376</v>
      </c>
      <c r="G13" s="453">
        <f t="shared" si="15"/>
        <v>-25.667405582922832</v>
      </c>
      <c r="H13" s="453">
        <f t="shared" si="15"/>
        <v>-21.0679235382309</v>
      </c>
      <c r="I13" s="453">
        <f t="shared" si="15"/>
        <v>-15.200205254515595</v>
      </c>
      <c r="J13" s="454">
        <f t="shared" si="15"/>
        <v>-17.189435736677126</v>
      </c>
      <c r="K13" s="454">
        <f t="shared" si="15"/>
        <v>-14.631739811912215</v>
      </c>
      <c r="L13" s="455">
        <f t="shared" si="15"/>
        <v>-6.3630131362889983</v>
      </c>
      <c r="M13" s="485">
        <f t="shared" si="15"/>
        <v>5.6571964017990979</v>
      </c>
      <c r="N13" s="452">
        <f t="shared" ref="N13:N14" si="16">AVERAGE(B13:D13)</f>
        <v>-12.198834788774441</v>
      </c>
      <c r="O13" s="453">
        <f t="shared" ref="O13:O14" si="17">AVERAGE(E13:G13)</f>
        <v>-22.447631636562676</v>
      </c>
      <c r="P13" s="453">
        <f t="shared" ref="P13:P14" si="18">AVERAGE(H13:J13)</f>
        <v>-17.81918817647454</v>
      </c>
      <c r="Q13" s="486">
        <f t="shared" ref="Q13:Q14" si="19">AVERAGE(K13:M13)</f>
        <v>-5.112518848800705</v>
      </c>
      <c r="R13" s="487">
        <f t="shared" ref="R13:R14" si="20">AVERAGE(B13:M13)</f>
        <v>-14.39454336265309</v>
      </c>
      <c r="S13" s="456">
        <f t="shared" ref="S13:AD13" si="21">(S7/11.6)-S4</f>
        <v>4.4836034482758613</v>
      </c>
      <c r="T13" s="457">
        <f t="shared" si="21"/>
        <v>-3.7965517241379274</v>
      </c>
      <c r="U13" s="457">
        <f t="shared" si="21"/>
        <v>-9.065517241379311</v>
      </c>
      <c r="V13" s="457">
        <f t="shared" si="21"/>
        <v>-10.407405582922831</v>
      </c>
      <c r="W13" s="457">
        <f t="shared" si="21"/>
        <v>-14.353934169278993</v>
      </c>
      <c r="X13" s="457">
        <f t="shared" si="21"/>
        <v>-16.715353901996366</v>
      </c>
      <c r="Y13" s="488">
        <f t="shared" si="21"/>
        <v>-16.511724137931033</v>
      </c>
      <c r="Z13" s="512">
        <f t="shared" si="21"/>
        <v>-18.960893416927892</v>
      </c>
      <c r="AA13" s="512">
        <f t="shared" si="21"/>
        <v>-17.036420361247952</v>
      </c>
      <c r="AB13" s="457">
        <f t="shared" si="21"/>
        <v>-18.639696223316911</v>
      </c>
      <c r="AC13" s="488">
        <f t="shared" si="21"/>
        <v>-8.5197178683385602</v>
      </c>
      <c r="AD13" s="520">
        <f t="shared" si="21"/>
        <v>-17.959688013136294</v>
      </c>
      <c r="AE13" s="459">
        <f t="shared" ref="AE13:AE14" si="22">AVERAGE(S13:U13)</f>
        <v>-2.7928218390804589</v>
      </c>
      <c r="AF13" s="458">
        <f t="shared" ref="AF13:AF14" si="23">AVERAGE(V13:X13)</f>
        <v>-13.825564551399395</v>
      </c>
      <c r="AG13" s="458">
        <f t="shared" ref="AG13:AG14" si="24">AVERAGE(Y13:AA13)</f>
        <v>-17.503012638702291</v>
      </c>
      <c r="AH13" s="458">
        <f t="shared" ref="AH13:AH14" si="25">AVERAGE(AB13:AD13)</f>
        <v>-15.039700701597255</v>
      </c>
      <c r="AI13" s="531">
        <f t="shared" ref="AI13:AI14" si="26">AVERAGE(S13:AD13)</f>
        <v>-12.290274932694849</v>
      </c>
      <c r="AJ13" s="567">
        <f t="shared" ref="AJ13:BY13" si="27">(AJ7/11.6)-AJ4</f>
        <v>-13.633793103448276</v>
      </c>
      <c r="AK13" s="565">
        <f t="shared" si="27"/>
        <v>-6.5951724137931009</v>
      </c>
      <c r="AL13" s="545">
        <f t="shared" si="27"/>
        <v>-4.6482758620689637</v>
      </c>
      <c r="AM13" s="546">
        <f t="shared" si="27"/>
        <v>-12.634827586206896</v>
      </c>
      <c r="AN13" s="546">
        <f t="shared" si="27"/>
        <v>-17.134827586206896</v>
      </c>
      <c r="AO13" s="546">
        <f t="shared" si="27"/>
        <v>-13.064827586206896</v>
      </c>
      <c r="AP13" s="546">
        <f t="shared" si="27"/>
        <v>-16.966551724137929</v>
      </c>
      <c r="AQ13" s="546">
        <f t="shared" si="27"/>
        <v>-12.28896551724138</v>
      </c>
      <c r="AR13" s="546">
        <f t="shared" si="27"/>
        <v>-11.427120689655169</v>
      </c>
      <c r="AS13" s="546">
        <f t="shared" si="27"/>
        <v>-5.7655172413793068</v>
      </c>
      <c r="AT13" s="546">
        <f t="shared" si="27"/>
        <v>-11.03551724137931</v>
      </c>
      <c r="AU13" s="566">
        <f t="shared" si="27"/>
        <v>-11.600000000000001</v>
      </c>
      <c r="AV13" s="560">
        <f t="shared" si="27"/>
        <v>-16.189999999999998</v>
      </c>
      <c r="AW13" s="561">
        <f t="shared" si="27"/>
        <v>-18.323448275862063</v>
      </c>
      <c r="AX13" s="561">
        <f t="shared" si="27"/>
        <v>-22.007241379310344</v>
      </c>
      <c r="AY13" s="561">
        <f t="shared" si="27"/>
        <v>-27.537241379310338</v>
      </c>
      <c r="AZ13" s="561">
        <f t="shared" si="27"/>
        <v>-31.091034482758616</v>
      </c>
      <c r="BA13" s="561">
        <f t="shared" si="27"/>
        <v>-25.314137931034487</v>
      </c>
      <c r="BB13" s="561">
        <f t="shared" si="27"/>
        <v>-24.628620689655179</v>
      </c>
      <c r="BC13" s="561">
        <f t="shared" si="27"/>
        <v>-21.843448275862059</v>
      </c>
      <c r="BD13" s="561">
        <f t="shared" si="27"/>
        <v>-21.767241379310342</v>
      </c>
      <c r="BE13" s="561">
        <f t="shared" si="27"/>
        <v>-22.924482758620691</v>
      </c>
      <c r="BF13" s="561">
        <f t="shared" si="27"/>
        <v>-19.654827586206899</v>
      </c>
      <c r="BG13" s="624">
        <f t="shared" si="27"/>
        <v>-20.231034482758616</v>
      </c>
      <c r="BH13" s="626">
        <f t="shared" si="27"/>
        <v>-22.442068965517237</v>
      </c>
      <c r="BI13" s="626">
        <f t="shared" si="27"/>
        <v>-25.345862068965509</v>
      </c>
      <c r="BJ13" s="626">
        <f t="shared" si="27"/>
        <v>-23.395517241379316</v>
      </c>
      <c r="BK13" s="626">
        <f t="shared" si="27"/>
        <v>-25.691379310344828</v>
      </c>
      <c r="BL13" s="626">
        <f t="shared" si="27"/>
        <v>-23.905862068965511</v>
      </c>
      <c r="BM13" s="626">
        <f t="shared" si="27"/>
        <v>-25.337586206896546</v>
      </c>
      <c r="BN13" s="626">
        <f t="shared" si="27"/>
        <v>-31.78448275862069</v>
      </c>
      <c r="BO13" s="626">
        <f t="shared" si="27"/>
        <v>-27.64448275862069</v>
      </c>
      <c r="BP13" s="626">
        <f t="shared" si="27"/>
        <v>-30.516551724137926</v>
      </c>
      <c r="BQ13" s="626">
        <f t="shared" si="27"/>
        <v>-22.516551724137926</v>
      </c>
      <c r="BR13" s="626">
        <f t="shared" si="27"/>
        <v>-24.084482758620688</v>
      </c>
      <c r="BS13" s="626">
        <f t="shared" si="27"/>
        <v>-25.422413793103445</v>
      </c>
      <c r="BT13" s="656">
        <f t="shared" si="27"/>
        <v>-14.505517241379316</v>
      </c>
      <c r="BU13" s="656">
        <f t="shared" si="27"/>
        <v>-8.9613793103448245</v>
      </c>
      <c r="BV13" s="650">
        <f t="shared" si="27"/>
        <v>5.5241379310344811</v>
      </c>
      <c r="BW13" s="650">
        <f t="shared" si="27"/>
        <v>-4.7413793103448256</v>
      </c>
      <c r="BX13" s="650">
        <f t="shared" si="27"/>
        <v>-8.9655172413793096</v>
      </c>
      <c r="BY13" s="650">
        <f t="shared" si="27"/>
        <v>-10.818965517241377</v>
      </c>
    </row>
    <row r="14" spans="1:7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8">(333/11.6)-C4</f>
        <v>-27.140353448275857</v>
      </c>
      <c r="D14" s="461">
        <f t="shared" si="28"/>
        <v>-25.950830721003133</v>
      </c>
      <c r="E14" s="461">
        <f t="shared" si="28"/>
        <v>-29.842627257799681</v>
      </c>
      <c r="F14" s="461">
        <f t="shared" si="28"/>
        <v>-34.85010344827586</v>
      </c>
      <c r="G14" s="461">
        <f t="shared" si="28"/>
        <v>-33.08119868637111</v>
      </c>
      <c r="H14" s="461">
        <f t="shared" si="28"/>
        <v>-27.447233883058484</v>
      </c>
      <c r="I14" s="461">
        <f t="shared" si="28"/>
        <v>-19.165722495894908</v>
      </c>
      <c r="J14" s="462">
        <f t="shared" si="28"/>
        <v>-16.672194357366781</v>
      </c>
      <c r="K14" s="490">
        <f t="shared" si="28"/>
        <v>-17.131739811912215</v>
      </c>
      <c r="L14" s="491">
        <f t="shared" si="28"/>
        <v>-13.087151067323479</v>
      </c>
      <c r="M14" s="492">
        <f t="shared" si="28"/>
        <v>-5.8083208395802153</v>
      </c>
      <c r="N14" s="493">
        <f t="shared" si="16"/>
        <v>-23.319524443946857</v>
      </c>
      <c r="O14" s="494">
        <f t="shared" si="17"/>
        <v>-32.591309797482218</v>
      </c>
      <c r="P14" s="494">
        <f t="shared" si="18"/>
        <v>-21.09505024544006</v>
      </c>
      <c r="Q14" s="495">
        <f t="shared" si="19"/>
        <v>-12.009070572938635</v>
      </c>
      <c r="R14" s="496">
        <f t="shared" si="20"/>
        <v>-22.253738764951944</v>
      </c>
      <c r="S14" s="497">
        <f t="shared" ref="S14:AD14" si="29">(333/11.6)-S4</f>
        <v>1.8973965517241353</v>
      </c>
      <c r="T14" s="498">
        <f t="shared" si="29"/>
        <v>-0.69310344827585979</v>
      </c>
      <c r="U14" s="498">
        <f t="shared" si="29"/>
        <v>-6.3931034482758626</v>
      </c>
      <c r="V14" s="498">
        <f t="shared" si="29"/>
        <v>-10.321198686371108</v>
      </c>
      <c r="W14" s="498">
        <f t="shared" si="29"/>
        <v>-15.560830721003132</v>
      </c>
      <c r="X14" s="498">
        <f t="shared" si="29"/>
        <v>-17.66362976406533</v>
      </c>
      <c r="Y14" s="499">
        <f t="shared" si="29"/>
        <v>-13.753103448275862</v>
      </c>
      <c r="Z14" s="513">
        <f t="shared" si="29"/>
        <v>-14.995376175548582</v>
      </c>
      <c r="AA14" s="513">
        <f t="shared" si="29"/>
        <v>-14.622627257799675</v>
      </c>
      <c r="AB14" s="498">
        <f t="shared" si="29"/>
        <v>-20.277627257799669</v>
      </c>
      <c r="AC14" s="499">
        <f t="shared" si="29"/>
        <v>-15.157648902821318</v>
      </c>
      <c r="AD14" s="525">
        <f t="shared" si="29"/>
        <v>-23.390722495894916</v>
      </c>
      <c r="AE14" s="501">
        <f t="shared" si="22"/>
        <v>-1.7296034482758624</v>
      </c>
      <c r="AF14" s="500">
        <f t="shared" si="23"/>
        <v>-14.515219723813189</v>
      </c>
      <c r="AG14" s="500">
        <f t="shared" si="24"/>
        <v>-14.457035627208038</v>
      </c>
      <c r="AH14" s="500">
        <f t="shared" si="25"/>
        <v>-19.608666218838636</v>
      </c>
      <c r="AI14" s="502">
        <f t="shared" si="26"/>
        <v>-12.577631254533932</v>
      </c>
      <c r="AJ14" s="537">
        <f t="shared" ref="AJ14:AU14" si="30">(333/11.6)-AJ4</f>
        <v>-25.01310344827586</v>
      </c>
      <c r="AK14" s="538">
        <f t="shared" si="30"/>
        <v>-25.733103448275859</v>
      </c>
      <c r="AL14" s="538">
        <f t="shared" si="30"/>
        <v>-22.493103448275864</v>
      </c>
      <c r="AM14" s="539">
        <f t="shared" si="30"/>
        <v>-23.58310344827586</v>
      </c>
      <c r="AN14" s="539">
        <f t="shared" si="30"/>
        <v>-21.83310344827586</v>
      </c>
      <c r="AO14" s="539">
        <f t="shared" si="30"/>
        <v>-17.76310344827586</v>
      </c>
      <c r="AP14" s="539">
        <f t="shared" si="30"/>
        <v>-18.863103448275861</v>
      </c>
      <c r="AQ14" s="540">
        <f t="shared" si="30"/>
        <v>-21.51310344827586</v>
      </c>
      <c r="AR14" s="541">
        <f t="shared" si="30"/>
        <v>-24.961603448275856</v>
      </c>
      <c r="AS14" s="542">
        <f t="shared" si="30"/>
        <v>-26.843103448275858</v>
      </c>
      <c r="AT14" s="543">
        <f t="shared" si="30"/>
        <v>-32.113103448275865</v>
      </c>
      <c r="AU14" s="544">
        <f t="shared" si="30"/>
        <v>-32.893103448275866</v>
      </c>
      <c r="AV14" s="542"/>
      <c r="AW14" s="543"/>
      <c r="AX14" s="543"/>
      <c r="AY14" s="543"/>
      <c r="AZ14" s="544"/>
      <c r="BB14"/>
    </row>
    <row r="15" spans="1:78" s="507" customFormat="1" ht="31.5" customHeight="1">
      <c r="A15" s="654" t="s">
        <v>279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280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70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281</v>
      </c>
      <c r="BU20" s="719"/>
      <c r="BV20" s="719"/>
      <c r="BW20" s="719"/>
      <c r="BX20" s="719"/>
      <c r="BY20" s="720"/>
      <c r="BZ20" s="718" t="s">
        <v>284</v>
      </c>
      <c r="CA20" s="719"/>
      <c r="CB20" s="719"/>
      <c r="CC20" s="719"/>
      <c r="CD20" s="719"/>
      <c r="CE20" s="720"/>
    </row>
    <row r="21" spans="4:83" ht="124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282</v>
      </c>
      <c r="BU21" s="719"/>
      <c r="BV21" s="719"/>
      <c r="BW21" s="719"/>
      <c r="BX21" s="719"/>
      <c r="BY21" s="720"/>
      <c r="BZ21" s="718" t="s">
        <v>285</v>
      </c>
      <c r="CA21" s="719"/>
      <c r="CB21" s="719"/>
      <c r="CC21" s="719"/>
      <c r="CD21" s="719"/>
      <c r="CE21" s="720"/>
    </row>
    <row r="22" spans="4:83" ht="69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T22" s="718" t="s">
        <v>283</v>
      </c>
      <c r="BU22" s="719"/>
      <c r="BV22" s="719"/>
      <c r="BW22" s="719"/>
      <c r="BX22" s="719"/>
      <c r="BY22" s="720"/>
      <c r="BZ22" s="718" t="s">
        <v>286</v>
      </c>
      <c r="CA22" s="719"/>
      <c r="CB22" s="719"/>
      <c r="CC22" s="719"/>
      <c r="CD22" s="719"/>
      <c r="CE22" s="720"/>
    </row>
    <row r="23" spans="4:83">
      <c r="BZ23"/>
    </row>
    <row r="24" spans="4:83">
      <c r="BT24" s="620" t="s">
        <v>251</v>
      </c>
      <c r="BZ24"/>
    </row>
    <row r="25" spans="4:83">
      <c r="AV25" s="619"/>
      <c r="BT25" s="619" t="s">
        <v>287</v>
      </c>
    </row>
    <row r="26" spans="4:83">
      <c r="BT26" s="619" t="s">
        <v>288</v>
      </c>
    </row>
    <row r="27" spans="4:83">
      <c r="BH27" s="619"/>
    </row>
  </sheetData>
  <mergeCells count="16">
    <mergeCell ref="BZ21:CE21"/>
    <mergeCell ref="BT21:BY21"/>
    <mergeCell ref="BZ22:CE22"/>
    <mergeCell ref="BT22:BY22"/>
    <mergeCell ref="BH2:BS2"/>
    <mergeCell ref="BT19:BY19"/>
    <mergeCell ref="BZ19:CE19"/>
    <mergeCell ref="BT20:BY20"/>
    <mergeCell ref="BZ20:CE20"/>
    <mergeCell ref="BT2:BY2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70C0"/>
    <pageSetUpPr fitToPage="1"/>
  </sheetPr>
  <dimension ref="A1:CE32"/>
  <sheetViews>
    <sheetView zoomScaleNormal="100" zoomScaleSheetLayoutView="50" workbookViewId="0">
      <pane xSplit="1" ySplit="3" topLeftCell="BT19" activePane="bottomRight" state="frozenSplit"/>
      <selection pane="topRight" activeCell="B1" sqref="B1"/>
      <selection pane="bottomLeft" activeCell="A3" sqref="A3"/>
      <selection pane="bottomRight" activeCell="BT22" sqref="BT22:BY22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16384" width="9.08984375" style="432"/>
  </cols>
  <sheetData>
    <row r="1" spans="1:78" ht="20.25" customHeight="1" thickBot="1">
      <c r="A1" s="428"/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8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</row>
    <row r="3" spans="1:7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</row>
    <row r="4" spans="1:7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45">
        <v>24.5</v>
      </c>
      <c r="BX4" s="645">
        <v>27.5</v>
      </c>
      <c r="BY4" s="645">
        <v>30</v>
      </c>
    </row>
    <row r="5" spans="1:7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45">
        <v>30.272727272727273</v>
      </c>
      <c r="BW5" s="645">
        <v>18.899999999999999</v>
      </c>
      <c r="BX5" s="645">
        <v>21.5</v>
      </c>
      <c r="BY5" s="645">
        <v>25</v>
      </c>
    </row>
    <row r="6" spans="1:7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5">
        <v>284.45454545454544</v>
      </c>
      <c r="BW6" s="645">
        <v>182.1</v>
      </c>
      <c r="BX6" s="645">
        <v>205.5</v>
      </c>
      <c r="BY6" s="645">
        <v>237</v>
      </c>
    </row>
    <row r="7" spans="1:7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BY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6">
        <f t="shared" si="13"/>
        <v>300</v>
      </c>
      <c r="BY7" s="596">
        <f t="shared" si="13"/>
        <v>312.5</v>
      </c>
    </row>
    <row r="8" spans="1:7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57">
        <v>300</v>
      </c>
      <c r="BY8" s="657">
        <v>310</v>
      </c>
    </row>
    <row r="9" spans="1:7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57">
        <v>300</v>
      </c>
      <c r="BY9" s="657">
        <v>315</v>
      </c>
      <c r="BZ9" s="658"/>
    </row>
    <row r="10" spans="1:7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Y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651">
        <f t="shared" si="14"/>
        <v>-170.54545454545456</v>
      </c>
      <c r="BW10" s="651">
        <f t="shared" si="14"/>
        <v>-52.900000000000006</v>
      </c>
      <c r="BX10" s="651">
        <f t="shared" si="14"/>
        <v>-94.5</v>
      </c>
      <c r="BY10" s="651">
        <f t="shared" si="14"/>
        <v>-75.5</v>
      </c>
    </row>
    <row r="11" spans="1:7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  <c r="BW12" s="623">
        <v>43922</v>
      </c>
      <c r="BX12" s="623">
        <v>43952</v>
      </c>
      <c r="BY12" s="623">
        <v>43983</v>
      </c>
    </row>
    <row r="13" spans="1:78" ht="22.5" customHeight="1" thickBot="1">
      <c r="A13" s="484" t="s">
        <v>237</v>
      </c>
      <c r="B13" s="452">
        <f t="shared" ref="B13:M13" si="15">(B7/11.6)-B4</f>
        <v>-7.6432512315270955</v>
      </c>
      <c r="C13" s="453">
        <f t="shared" si="15"/>
        <v>-16.01966379310344</v>
      </c>
      <c r="D13" s="453">
        <f t="shared" si="15"/>
        <v>-12.933589341692787</v>
      </c>
      <c r="E13" s="453">
        <f t="shared" si="15"/>
        <v>-18.549523809523819</v>
      </c>
      <c r="F13" s="453">
        <f t="shared" si="15"/>
        <v>-23.125965517241376</v>
      </c>
      <c r="G13" s="453">
        <f t="shared" si="15"/>
        <v>-25.667405582922832</v>
      </c>
      <c r="H13" s="453">
        <f t="shared" si="15"/>
        <v>-21.0679235382309</v>
      </c>
      <c r="I13" s="453">
        <f t="shared" si="15"/>
        <v>-15.200205254515595</v>
      </c>
      <c r="J13" s="454">
        <f t="shared" si="15"/>
        <v>-17.189435736677126</v>
      </c>
      <c r="K13" s="454">
        <f t="shared" si="15"/>
        <v>-14.631739811912215</v>
      </c>
      <c r="L13" s="455">
        <f t="shared" si="15"/>
        <v>-6.3630131362889983</v>
      </c>
      <c r="M13" s="485">
        <f t="shared" si="15"/>
        <v>5.6571964017990979</v>
      </c>
      <c r="N13" s="452">
        <f t="shared" ref="N13:N14" si="16">AVERAGE(B13:D13)</f>
        <v>-12.198834788774441</v>
      </c>
      <c r="O13" s="453">
        <f t="shared" ref="O13:O14" si="17">AVERAGE(E13:G13)</f>
        <v>-22.447631636562676</v>
      </c>
      <c r="P13" s="453">
        <f t="shared" ref="P13:P14" si="18">AVERAGE(H13:J13)</f>
        <v>-17.81918817647454</v>
      </c>
      <c r="Q13" s="486">
        <f t="shared" ref="Q13:Q14" si="19">AVERAGE(K13:M13)</f>
        <v>-5.112518848800705</v>
      </c>
      <c r="R13" s="487">
        <f t="shared" ref="R13:R14" si="20">AVERAGE(B13:M13)</f>
        <v>-14.39454336265309</v>
      </c>
      <c r="S13" s="456">
        <f t="shared" ref="S13:AD13" si="21">(S7/11.6)-S4</f>
        <v>4.4836034482758613</v>
      </c>
      <c r="T13" s="457">
        <f t="shared" si="21"/>
        <v>-3.7965517241379274</v>
      </c>
      <c r="U13" s="457">
        <f t="shared" si="21"/>
        <v>-9.065517241379311</v>
      </c>
      <c r="V13" s="457">
        <f t="shared" si="21"/>
        <v>-10.407405582922831</v>
      </c>
      <c r="W13" s="457">
        <f t="shared" si="21"/>
        <v>-14.353934169278993</v>
      </c>
      <c r="X13" s="457">
        <f t="shared" si="21"/>
        <v>-16.715353901996366</v>
      </c>
      <c r="Y13" s="488">
        <f t="shared" si="21"/>
        <v>-16.511724137931033</v>
      </c>
      <c r="Z13" s="512">
        <f t="shared" si="21"/>
        <v>-18.960893416927892</v>
      </c>
      <c r="AA13" s="512">
        <f t="shared" si="21"/>
        <v>-17.036420361247952</v>
      </c>
      <c r="AB13" s="457">
        <f t="shared" si="21"/>
        <v>-18.639696223316911</v>
      </c>
      <c r="AC13" s="488">
        <f t="shared" si="21"/>
        <v>-8.5197178683385602</v>
      </c>
      <c r="AD13" s="520">
        <f t="shared" si="21"/>
        <v>-17.959688013136294</v>
      </c>
      <c r="AE13" s="459">
        <f t="shared" ref="AE13:AE14" si="22">AVERAGE(S13:U13)</f>
        <v>-2.7928218390804589</v>
      </c>
      <c r="AF13" s="458">
        <f t="shared" ref="AF13:AF14" si="23">AVERAGE(V13:X13)</f>
        <v>-13.825564551399395</v>
      </c>
      <c r="AG13" s="458">
        <f t="shared" ref="AG13:AG14" si="24">AVERAGE(Y13:AA13)</f>
        <v>-17.503012638702291</v>
      </c>
      <c r="AH13" s="458">
        <f t="shared" ref="AH13:AH14" si="25">AVERAGE(AB13:AD13)</f>
        <v>-15.039700701597255</v>
      </c>
      <c r="AI13" s="531">
        <f t="shared" ref="AI13:AI14" si="26">AVERAGE(S13:AD13)</f>
        <v>-12.290274932694849</v>
      </c>
      <c r="AJ13" s="567">
        <f t="shared" ref="AJ13:BY13" si="27">(AJ7/11.6)-AJ4</f>
        <v>-13.633793103448276</v>
      </c>
      <c r="AK13" s="565">
        <f t="shared" si="27"/>
        <v>-6.5951724137931009</v>
      </c>
      <c r="AL13" s="545">
        <f t="shared" si="27"/>
        <v>-4.6482758620689637</v>
      </c>
      <c r="AM13" s="546">
        <f t="shared" si="27"/>
        <v>-12.634827586206896</v>
      </c>
      <c r="AN13" s="546">
        <f t="shared" si="27"/>
        <v>-17.134827586206896</v>
      </c>
      <c r="AO13" s="546">
        <f t="shared" si="27"/>
        <v>-13.064827586206896</v>
      </c>
      <c r="AP13" s="546">
        <f t="shared" si="27"/>
        <v>-16.966551724137929</v>
      </c>
      <c r="AQ13" s="546">
        <f t="shared" si="27"/>
        <v>-12.28896551724138</v>
      </c>
      <c r="AR13" s="546">
        <f t="shared" si="27"/>
        <v>-11.427120689655169</v>
      </c>
      <c r="AS13" s="546">
        <f t="shared" si="27"/>
        <v>-5.7655172413793068</v>
      </c>
      <c r="AT13" s="546">
        <f t="shared" si="27"/>
        <v>-11.03551724137931</v>
      </c>
      <c r="AU13" s="566">
        <f t="shared" si="27"/>
        <v>-11.600000000000001</v>
      </c>
      <c r="AV13" s="560">
        <f t="shared" si="27"/>
        <v>-16.189999999999998</v>
      </c>
      <c r="AW13" s="561">
        <f t="shared" si="27"/>
        <v>-18.323448275862063</v>
      </c>
      <c r="AX13" s="561">
        <f t="shared" si="27"/>
        <v>-22.007241379310344</v>
      </c>
      <c r="AY13" s="561">
        <f t="shared" si="27"/>
        <v>-27.537241379310338</v>
      </c>
      <c r="AZ13" s="561">
        <f t="shared" si="27"/>
        <v>-31.091034482758616</v>
      </c>
      <c r="BA13" s="561">
        <f t="shared" si="27"/>
        <v>-25.314137931034487</v>
      </c>
      <c r="BB13" s="561">
        <f t="shared" si="27"/>
        <v>-24.628620689655179</v>
      </c>
      <c r="BC13" s="561">
        <f t="shared" si="27"/>
        <v>-21.843448275862059</v>
      </c>
      <c r="BD13" s="561">
        <f t="shared" si="27"/>
        <v>-21.767241379310342</v>
      </c>
      <c r="BE13" s="561">
        <f t="shared" si="27"/>
        <v>-22.924482758620691</v>
      </c>
      <c r="BF13" s="561">
        <f t="shared" si="27"/>
        <v>-19.654827586206899</v>
      </c>
      <c r="BG13" s="624">
        <f t="shared" si="27"/>
        <v>-20.231034482758616</v>
      </c>
      <c r="BH13" s="626">
        <f t="shared" si="27"/>
        <v>-22.442068965517237</v>
      </c>
      <c r="BI13" s="626">
        <f t="shared" si="27"/>
        <v>-25.345862068965509</v>
      </c>
      <c r="BJ13" s="626">
        <f t="shared" si="27"/>
        <v>-23.395517241379316</v>
      </c>
      <c r="BK13" s="626">
        <f t="shared" si="27"/>
        <v>-25.691379310344828</v>
      </c>
      <c r="BL13" s="626">
        <f t="shared" si="27"/>
        <v>-23.905862068965511</v>
      </c>
      <c r="BM13" s="626">
        <f t="shared" si="27"/>
        <v>-25.337586206896546</v>
      </c>
      <c r="BN13" s="626">
        <f t="shared" si="27"/>
        <v>-31.78448275862069</v>
      </c>
      <c r="BO13" s="626">
        <f t="shared" si="27"/>
        <v>-27.64448275862069</v>
      </c>
      <c r="BP13" s="626">
        <f t="shared" si="27"/>
        <v>-30.516551724137926</v>
      </c>
      <c r="BQ13" s="626">
        <f t="shared" si="27"/>
        <v>-22.516551724137926</v>
      </c>
      <c r="BR13" s="626">
        <f t="shared" si="27"/>
        <v>-24.084482758620688</v>
      </c>
      <c r="BS13" s="626">
        <f t="shared" si="27"/>
        <v>-25.422413793103445</v>
      </c>
      <c r="BT13" s="656">
        <f t="shared" si="27"/>
        <v>-14.505517241379316</v>
      </c>
      <c r="BU13" s="656">
        <f t="shared" si="27"/>
        <v>-8.9613793103448245</v>
      </c>
      <c r="BV13" s="650">
        <f t="shared" si="27"/>
        <v>5.5241379310344811</v>
      </c>
      <c r="BW13" s="650">
        <f t="shared" si="27"/>
        <v>-4.2413793103448256</v>
      </c>
      <c r="BX13" s="650">
        <f t="shared" si="27"/>
        <v>-1.637931034482758</v>
      </c>
      <c r="BY13" s="650">
        <f t="shared" si="27"/>
        <v>-3.0603448275862064</v>
      </c>
    </row>
    <row r="14" spans="1:7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8">(333/11.6)-C4</f>
        <v>-27.140353448275857</v>
      </c>
      <c r="D14" s="461">
        <f t="shared" si="28"/>
        <v>-25.950830721003133</v>
      </c>
      <c r="E14" s="461">
        <f t="shared" si="28"/>
        <v>-29.842627257799681</v>
      </c>
      <c r="F14" s="461">
        <f t="shared" si="28"/>
        <v>-34.85010344827586</v>
      </c>
      <c r="G14" s="461">
        <f t="shared" si="28"/>
        <v>-33.08119868637111</v>
      </c>
      <c r="H14" s="461">
        <f t="shared" si="28"/>
        <v>-27.447233883058484</v>
      </c>
      <c r="I14" s="461">
        <f t="shared" si="28"/>
        <v>-19.165722495894908</v>
      </c>
      <c r="J14" s="462">
        <f t="shared" si="28"/>
        <v>-16.672194357366781</v>
      </c>
      <c r="K14" s="490">
        <f t="shared" si="28"/>
        <v>-17.131739811912215</v>
      </c>
      <c r="L14" s="491">
        <f t="shared" si="28"/>
        <v>-13.087151067323479</v>
      </c>
      <c r="M14" s="492">
        <f t="shared" si="28"/>
        <v>-5.8083208395802153</v>
      </c>
      <c r="N14" s="493">
        <f t="shared" si="16"/>
        <v>-23.319524443946857</v>
      </c>
      <c r="O14" s="494">
        <f t="shared" si="17"/>
        <v>-32.591309797482218</v>
      </c>
      <c r="P14" s="494">
        <f t="shared" si="18"/>
        <v>-21.09505024544006</v>
      </c>
      <c r="Q14" s="495">
        <f t="shared" si="19"/>
        <v>-12.009070572938635</v>
      </c>
      <c r="R14" s="496">
        <f t="shared" si="20"/>
        <v>-22.253738764951944</v>
      </c>
      <c r="S14" s="497">
        <f t="shared" ref="S14:AD14" si="29">(333/11.6)-S4</f>
        <v>1.8973965517241353</v>
      </c>
      <c r="T14" s="498">
        <f t="shared" si="29"/>
        <v>-0.69310344827585979</v>
      </c>
      <c r="U14" s="498">
        <f t="shared" si="29"/>
        <v>-6.3931034482758626</v>
      </c>
      <c r="V14" s="498">
        <f t="shared" si="29"/>
        <v>-10.321198686371108</v>
      </c>
      <c r="W14" s="498">
        <f t="shared" si="29"/>
        <v>-15.560830721003132</v>
      </c>
      <c r="X14" s="498">
        <f t="shared" si="29"/>
        <v>-17.66362976406533</v>
      </c>
      <c r="Y14" s="499">
        <f t="shared" si="29"/>
        <v>-13.753103448275862</v>
      </c>
      <c r="Z14" s="513">
        <f t="shared" si="29"/>
        <v>-14.995376175548582</v>
      </c>
      <c r="AA14" s="513">
        <f t="shared" si="29"/>
        <v>-14.622627257799675</v>
      </c>
      <c r="AB14" s="498">
        <f t="shared" si="29"/>
        <v>-20.277627257799669</v>
      </c>
      <c r="AC14" s="499">
        <f t="shared" si="29"/>
        <v>-15.157648902821318</v>
      </c>
      <c r="AD14" s="525">
        <f t="shared" si="29"/>
        <v>-23.390722495894916</v>
      </c>
      <c r="AE14" s="501">
        <f t="shared" si="22"/>
        <v>-1.7296034482758624</v>
      </c>
      <c r="AF14" s="500">
        <f t="shared" si="23"/>
        <v>-14.515219723813189</v>
      </c>
      <c r="AG14" s="500">
        <f t="shared" si="24"/>
        <v>-14.457035627208038</v>
      </c>
      <c r="AH14" s="500">
        <f t="shared" si="25"/>
        <v>-19.608666218838636</v>
      </c>
      <c r="AI14" s="502">
        <f t="shared" si="26"/>
        <v>-12.577631254533932</v>
      </c>
      <c r="AJ14" s="537">
        <f t="shared" ref="AJ14:AU14" si="30">(333/11.6)-AJ4</f>
        <v>-25.01310344827586</v>
      </c>
      <c r="AK14" s="538">
        <f t="shared" si="30"/>
        <v>-25.733103448275859</v>
      </c>
      <c r="AL14" s="538">
        <f t="shared" si="30"/>
        <v>-22.493103448275864</v>
      </c>
      <c r="AM14" s="539">
        <f t="shared" si="30"/>
        <v>-23.58310344827586</v>
      </c>
      <c r="AN14" s="539">
        <f t="shared" si="30"/>
        <v>-21.83310344827586</v>
      </c>
      <c r="AO14" s="539">
        <f t="shared" si="30"/>
        <v>-17.76310344827586</v>
      </c>
      <c r="AP14" s="539">
        <f t="shared" si="30"/>
        <v>-18.863103448275861</v>
      </c>
      <c r="AQ14" s="540">
        <f t="shared" si="30"/>
        <v>-21.51310344827586</v>
      </c>
      <c r="AR14" s="541">
        <f t="shared" si="30"/>
        <v>-24.961603448275856</v>
      </c>
      <c r="AS14" s="542">
        <f t="shared" si="30"/>
        <v>-26.843103448275858</v>
      </c>
      <c r="AT14" s="543">
        <f t="shared" si="30"/>
        <v>-32.113103448275865</v>
      </c>
      <c r="AU14" s="544">
        <f t="shared" si="30"/>
        <v>-32.893103448275866</v>
      </c>
      <c r="AV14" s="542"/>
      <c r="AW14" s="543"/>
      <c r="AX14" s="543"/>
      <c r="AY14" s="543"/>
      <c r="AZ14" s="544"/>
      <c r="BB14"/>
    </row>
    <row r="15" spans="1:78" s="507" customFormat="1" ht="31.5" customHeight="1">
      <c r="A15" s="654" t="s">
        <v>289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290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79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291</v>
      </c>
      <c r="BU20" s="719"/>
      <c r="BV20" s="719"/>
      <c r="BW20" s="719"/>
      <c r="BX20" s="719"/>
      <c r="BY20" s="720"/>
      <c r="BZ20" s="718" t="s">
        <v>295</v>
      </c>
      <c r="CA20" s="719"/>
      <c r="CB20" s="719"/>
      <c r="CC20" s="719"/>
      <c r="CD20" s="719"/>
      <c r="CE20" s="720"/>
    </row>
    <row r="21" spans="4:83" ht="10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297</v>
      </c>
      <c r="BU21" s="719"/>
      <c r="BV21" s="719"/>
      <c r="BW21" s="719"/>
      <c r="BX21" s="719"/>
      <c r="BY21" s="720"/>
      <c r="BZ21" s="718" t="s">
        <v>293</v>
      </c>
      <c r="CA21" s="719"/>
      <c r="CB21" s="719"/>
      <c r="CC21" s="719"/>
      <c r="CD21" s="719"/>
      <c r="CE21" s="720"/>
    </row>
    <row r="22" spans="4:83" ht="91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T22" s="718" t="s">
        <v>292</v>
      </c>
      <c r="BU22" s="719"/>
      <c r="BV22" s="719"/>
      <c r="BW22" s="719"/>
      <c r="BX22" s="719"/>
      <c r="BY22" s="720"/>
      <c r="BZ22" s="718" t="s">
        <v>296</v>
      </c>
      <c r="CA22" s="719"/>
      <c r="CB22" s="719"/>
      <c r="CC22" s="719"/>
      <c r="CD22" s="719"/>
      <c r="CE22" s="720"/>
    </row>
    <row r="23" spans="4:83" ht="39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T23" s="718" t="s">
        <v>294</v>
      </c>
      <c r="BU23" s="719"/>
      <c r="BV23" s="719"/>
      <c r="BW23" s="719"/>
      <c r="BX23" s="719"/>
      <c r="BY23" s="720"/>
      <c r="BZ23" s="718" t="s">
        <v>300</v>
      </c>
      <c r="CA23" s="719"/>
      <c r="CB23" s="719"/>
      <c r="CC23" s="719"/>
      <c r="CD23" s="719"/>
      <c r="CE23" s="720"/>
    </row>
    <row r="24" spans="4:83">
      <c r="BZ24"/>
    </row>
    <row r="25" spans="4:83">
      <c r="BT25" s="659" t="s">
        <v>298</v>
      </c>
      <c r="BZ25"/>
    </row>
    <row r="26" spans="4:83" ht="36.75" customHeight="1">
      <c r="BT26" s="729" t="s">
        <v>299</v>
      </c>
      <c r="BU26" s="730"/>
      <c r="BV26" s="730"/>
      <c r="BW26" s="730"/>
      <c r="BX26" s="730"/>
      <c r="BY26" s="730"/>
      <c r="BZ26" s="730"/>
      <c r="CA26" s="730"/>
      <c r="CB26" s="730"/>
      <c r="CC26" s="730"/>
      <c r="CD26" s="730"/>
      <c r="CE26" s="730"/>
    </row>
    <row r="27" spans="4:83">
      <c r="BT27" s="659"/>
      <c r="BZ27"/>
    </row>
    <row r="28" spans="4:83">
      <c r="BZ28"/>
    </row>
    <row r="29" spans="4:83">
      <c r="BT29" s="620" t="s">
        <v>251</v>
      </c>
      <c r="BZ29"/>
    </row>
    <row r="30" spans="4:83">
      <c r="AV30" s="619"/>
      <c r="BT30" s="619" t="s">
        <v>287</v>
      </c>
    </row>
    <row r="31" spans="4:83">
      <c r="BT31" s="619"/>
    </row>
    <row r="32" spans="4:83">
      <c r="BH32" s="619"/>
    </row>
  </sheetData>
  <mergeCells count="19">
    <mergeCell ref="AV2:BG2"/>
    <mergeCell ref="B2:M2"/>
    <mergeCell ref="N2:R2"/>
    <mergeCell ref="S2:AD2"/>
    <mergeCell ref="AE2:AI2"/>
    <mergeCell ref="AJ2:AU2"/>
    <mergeCell ref="BH2:BS2"/>
    <mergeCell ref="BT2:BY2"/>
    <mergeCell ref="BT19:BY19"/>
    <mergeCell ref="BZ19:CE19"/>
    <mergeCell ref="BT20:BY20"/>
    <mergeCell ref="BZ20:CE20"/>
    <mergeCell ref="BT26:CE26"/>
    <mergeCell ref="BT21:BY21"/>
    <mergeCell ref="BZ21:CE21"/>
    <mergeCell ref="BT22:BY22"/>
    <mergeCell ref="BZ22:CE22"/>
    <mergeCell ref="BT23:BY23"/>
    <mergeCell ref="BZ23:CE23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70C0"/>
    <pageSetUpPr fitToPage="1"/>
  </sheetPr>
  <dimension ref="A1:CE31"/>
  <sheetViews>
    <sheetView zoomScaleNormal="100" zoomScaleSheetLayoutView="50" workbookViewId="0">
      <pane xSplit="1" ySplit="3" topLeftCell="BT22" activePane="bottomRight" state="frozenSplit"/>
      <selection pane="topRight" activeCell="B1" sqref="B1"/>
      <selection pane="bottomLeft" activeCell="A3" sqref="A3"/>
      <selection pane="bottomRight" activeCell="BZ22" sqref="BZ22:CE22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16384" width="9.08984375" style="432"/>
  </cols>
  <sheetData>
    <row r="1" spans="1:78" ht="20.25" customHeight="1" thickBot="1">
      <c r="A1" s="428" t="s">
        <v>309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8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</row>
    <row r="3" spans="1:7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</row>
    <row r="4" spans="1:7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45">
        <v>23</v>
      </c>
      <c r="BY4" s="645">
        <v>25</v>
      </c>
      <c r="BZ4" s="645">
        <v>27</v>
      </c>
    </row>
    <row r="5" spans="1:7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45">
        <v>30.272727272727273</v>
      </c>
      <c r="BW5" s="645">
        <v>17.899999999999999</v>
      </c>
      <c r="BX5" s="645">
        <v>21</v>
      </c>
      <c r="BY5" s="645">
        <v>23.5</v>
      </c>
      <c r="BZ5" s="645">
        <v>25.5</v>
      </c>
    </row>
    <row r="6" spans="1:7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5">
        <v>284.45454545454544</v>
      </c>
      <c r="BW6" s="645">
        <v>182.1</v>
      </c>
      <c r="BX6" s="645">
        <v>205.5</v>
      </c>
      <c r="BY6" s="645">
        <v>237</v>
      </c>
      <c r="BZ6" s="645">
        <v>237</v>
      </c>
    </row>
    <row r="7" spans="1:7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BY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6">
        <f t="shared" si="13"/>
        <v>290</v>
      </c>
      <c r="BZ7" s="596">
        <f t="shared" ref="BZ7" si="14">(BZ8+BZ9)/2</f>
        <v>272.5</v>
      </c>
    </row>
    <row r="8" spans="1:7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57">
        <v>300</v>
      </c>
      <c r="BZ8" s="657">
        <v>280</v>
      </c>
    </row>
    <row r="9" spans="1:7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57">
        <v>280</v>
      </c>
      <c r="BZ9" s="657">
        <v>265</v>
      </c>
    </row>
    <row r="10" spans="1:7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BY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651">
        <f t="shared" si="15"/>
        <v>-170.54545454545456</v>
      </c>
      <c r="BW10" s="651">
        <f t="shared" si="15"/>
        <v>-52.900000000000006</v>
      </c>
      <c r="BX10" s="651">
        <f t="shared" si="15"/>
        <v>-134.5</v>
      </c>
      <c r="BY10" s="651">
        <f t="shared" si="15"/>
        <v>-53</v>
      </c>
      <c r="BZ10" s="651">
        <f t="shared" ref="BZ10" si="16">BZ6-BZ7</f>
        <v>-35.5</v>
      </c>
    </row>
    <row r="11" spans="1:7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v>43831</v>
      </c>
      <c r="BU12" s="623">
        <v>43862</v>
      </c>
      <c r="BV12" s="623">
        <v>43892</v>
      </c>
      <c r="BW12" s="623">
        <v>43922</v>
      </c>
      <c r="BX12" s="623">
        <v>43952</v>
      </c>
      <c r="BY12" s="623">
        <v>43983</v>
      </c>
      <c r="BZ12" s="623">
        <v>43984</v>
      </c>
    </row>
    <row r="13" spans="1:78" ht="22.5" customHeight="1" thickBot="1">
      <c r="A13" s="484" t="s">
        <v>237</v>
      </c>
      <c r="B13" s="452">
        <f t="shared" ref="B13:M13" si="17">(B7/11.6)-B4</f>
        <v>-7.6432512315270955</v>
      </c>
      <c r="C13" s="453">
        <f t="shared" si="17"/>
        <v>-16.01966379310344</v>
      </c>
      <c r="D13" s="453">
        <f t="shared" si="17"/>
        <v>-12.933589341692787</v>
      </c>
      <c r="E13" s="453">
        <f t="shared" si="17"/>
        <v>-18.549523809523819</v>
      </c>
      <c r="F13" s="453">
        <f t="shared" si="17"/>
        <v>-23.125965517241376</v>
      </c>
      <c r="G13" s="453">
        <f t="shared" si="17"/>
        <v>-25.667405582922832</v>
      </c>
      <c r="H13" s="453">
        <f t="shared" si="17"/>
        <v>-21.0679235382309</v>
      </c>
      <c r="I13" s="453">
        <f t="shared" si="17"/>
        <v>-15.200205254515595</v>
      </c>
      <c r="J13" s="454">
        <f t="shared" si="17"/>
        <v>-17.189435736677126</v>
      </c>
      <c r="K13" s="454">
        <f t="shared" si="17"/>
        <v>-14.631739811912215</v>
      </c>
      <c r="L13" s="455">
        <f t="shared" si="17"/>
        <v>-6.3630131362889983</v>
      </c>
      <c r="M13" s="485">
        <f t="shared" si="17"/>
        <v>5.6571964017990979</v>
      </c>
      <c r="N13" s="452">
        <f t="shared" ref="N13:N14" si="18">AVERAGE(B13:D13)</f>
        <v>-12.198834788774441</v>
      </c>
      <c r="O13" s="453">
        <f t="shared" ref="O13:O14" si="19">AVERAGE(E13:G13)</f>
        <v>-22.447631636562676</v>
      </c>
      <c r="P13" s="453">
        <f t="shared" ref="P13:P14" si="20">AVERAGE(H13:J13)</f>
        <v>-17.81918817647454</v>
      </c>
      <c r="Q13" s="486">
        <f t="shared" ref="Q13:Q14" si="21">AVERAGE(K13:M13)</f>
        <v>-5.112518848800705</v>
      </c>
      <c r="R13" s="487">
        <f t="shared" ref="R13:R14" si="22">AVERAGE(B13:M13)</f>
        <v>-14.39454336265309</v>
      </c>
      <c r="S13" s="456">
        <f t="shared" ref="S13:AD13" si="23">(S7/11.6)-S4</f>
        <v>4.4836034482758613</v>
      </c>
      <c r="T13" s="457">
        <f t="shared" si="23"/>
        <v>-3.7965517241379274</v>
      </c>
      <c r="U13" s="457">
        <f t="shared" si="23"/>
        <v>-9.065517241379311</v>
      </c>
      <c r="V13" s="457">
        <f t="shared" si="23"/>
        <v>-10.407405582922831</v>
      </c>
      <c r="W13" s="457">
        <f t="shared" si="23"/>
        <v>-14.353934169278993</v>
      </c>
      <c r="X13" s="457">
        <f t="shared" si="23"/>
        <v>-16.715353901996366</v>
      </c>
      <c r="Y13" s="488">
        <f t="shared" si="23"/>
        <v>-16.511724137931033</v>
      </c>
      <c r="Z13" s="512">
        <f t="shared" si="23"/>
        <v>-18.960893416927892</v>
      </c>
      <c r="AA13" s="512">
        <f t="shared" si="23"/>
        <v>-17.036420361247952</v>
      </c>
      <c r="AB13" s="457">
        <f t="shared" si="23"/>
        <v>-18.639696223316911</v>
      </c>
      <c r="AC13" s="488">
        <f t="shared" si="23"/>
        <v>-8.5197178683385602</v>
      </c>
      <c r="AD13" s="520">
        <f t="shared" si="23"/>
        <v>-17.959688013136294</v>
      </c>
      <c r="AE13" s="459">
        <f t="shared" ref="AE13:AE14" si="24">AVERAGE(S13:U13)</f>
        <v>-2.7928218390804589</v>
      </c>
      <c r="AF13" s="458">
        <f t="shared" ref="AF13:AF14" si="25">AVERAGE(V13:X13)</f>
        <v>-13.825564551399395</v>
      </c>
      <c r="AG13" s="458">
        <f t="shared" ref="AG13:AG14" si="26">AVERAGE(Y13:AA13)</f>
        <v>-17.503012638702291</v>
      </c>
      <c r="AH13" s="458">
        <f t="shared" ref="AH13:AH14" si="27">AVERAGE(AB13:AD13)</f>
        <v>-15.039700701597255</v>
      </c>
      <c r="AI13" s="531">
        <f t="shared" ref="AI13:AI14" si="28">AVERAGE(S13:AD13)</f>
        <v>-12.290274932694849</v>
      </c>
      <c r="AJ13" s="567">
        <f t="shared" ref="AJ13:BY13" si="29">(AJ7/11.6)-AJ4</f>
        <v>-13.633793103448276</v>
      </c>
      <c r="AK13" s="565">
        <f t="shared" si="29"/>
        <v>-6.5951724137931009</v>
      </c>
      <c r="AL13" s="545">
        <f t="shared" si="29"/>
        <v>-4.6482758620689637</v>
      </c>
      <c r="AM13" s="546">
        <f t="shared" si="29"/>
        <v>-12.634827586206896</v>
      </c>
      <c r="AN13" s="546">
        <f t="shared" si="29"/>
        <v>-17.134827586206896</v>
      </c>
      <c r="AO13" s="546">
        <f t="shared" si="29"/>
        <v>-13.064827586206896</v>
      </c>
      <c r="AP13" s="546">
        <f t="shared" si="29"/>
        <v>-16.966551724137929</v>
      </c>
      <c r="AQ13" s="546">
        <f t="shared" si="29"/>
        <v>-12.28896551724138</v>
      </c>
      <c r="AR13" s="546">
        <f t="shared" si="29"/>
        <v>-11.427120689655169</v>
      </c>
      <c r="AS13" s="546">
        <f t="shared" si="29"/>
        <v>-5.7655172413793068</v>
      </c>
      <c r="AT13" s="546">
        <f t="shared" si="29"/>
        <v>-11.03551724137931</v>
      </c>
      <c r="AU13" s="566">
        <f t="shared" si="29"/>
        <v>-11.600000000000001</v>
      </c>
      <c r="AV13" s="560">
        <f t="shared" si="29"/>
        <v>-16.189999999999998</v>
      </c>
      <c r="AW13" s="561">
        <f t="shared" si="29"/>
        <v>-18.323448275862063</v>
      </c>
      <c r="AX13" s="561">
        <f t="shared" si="29"/>
        <v>-22.007241379310344</v>
      </c>
      <c r="AY13" s="561">
        <f t="shared" si="29"/>
        <v>-27.537241379310338</v>
      </c>
      <c r="AZ13" s="561">
        <f t="shared" si="29"/>
        <v>-31.091034482758616</v>
      </c>
      <c r="BA13" s="561">
        <f t="shared" si="29"/>
        <v>-25.314137931034487</v>
      </c>
      <c r="BB13" s="561">
        <f t="shared" si="29"/>
        <v>-24.628620689655179</v>
      </c>
      <c r="BC13" s="561">
        <f t="shared" si="29"/>
        <v>-21.843448275862059</v>
      </c>
      <c r="BD13" s="561">
        <f t="shared" si="29"/>
        <v>-21.767241379310342</v>
      </c>
      <c r="BE13" s="561">
        <f t="shared" si="29"/>
        <v>-22.924482758620691</v>
      </c>
      <c r="BF13" s="561">
        <f t="shared" si="29"/>
        <v>-19.654827586206899</v>
      </c>
      <c r="BG13" s="624">
        <f t="shared" si="29"/>
        <v>-20.231034482758616</v>
      </c>
      <c r="BH13" s="626">
        <f t="shared" si="29"/>
        <v>-22.442068965517237</v>
      </c>
      <c r="BI13" s="626">
        <f t="shared" si="29"/>
        <v>-25.345862068965509</v>
      </c>
      <c r="BJ13" s="626">
        <f t="shared" si="29"/>
        <v>-23.395517241379316</v>
      </c>
      <c r="BK13" s="626">
        <f t="shared" si="29"/>
        <v>-25.691379310344828</v>
      </c>
      <c r="BL13" s="626">
        <f t="shared" si="29"/>
        <v>-23.905862068965511</v>
      </c>
      <c r="BM13" s="626">
        <f t="shared" si="29"/>
        <v>-25.337586206896546</v>
      </c>
      <c r="BN13" s="626">
        <f t="shared" si="29"/>
        <v>-31.78448275862069</v>
      </c>
      <c r="BO13" s="626">
        <f t="shared" si="29"/>
        <v>-27.64448275862069</v>
      </c>
      <c r="BP13" s="626">
        <f t="shared" si="29"/>
        <v>-30.516551724137926</v>
      </c>
      <c r="BQ13" s="626">
        <f t="shared" si="29"/>
        <v>-22.516551724137926</v>
      </c>
      <c r="BR13" s="626">
        <f t="shared" si="29"/>
        <v>-24.084482758620688</v>
      </c>
      <c r="BS13" s="626">
        <f t="shared" si="29"/>
        <v>-25.422413793103445</v>
      </c>
      <c r="BT13" s="656">
        <f t="shared" si="29"/>
        <v>-14.505517241379316</v>
      </c>
      <c r="BU13" s="656">
        <f t="shared" si="29"/>
        <v>-8.9613793103448245</v>
      </c>
      <c r="BV13" s="650">
        <f t="shared" si="29"/>
        <v>5.5241379310344811</v>
      </c>
      <c r="BW13" s="650">
        <f t="shared" si="29"/>
        <v>-0.13137931034482619</v>
      </c>
      <c r="BX13" s="650">
        <f t="shared" si="29"/>
        <v>6.3103448275862064</v>
      </c>
      <c r="BY13" s="650">
        <f t="shared" si="29"/>
        <v>0</v>
      </c>
      <c r="BZ13" s="650">
        <f t="shared" ref="BZ13" si="30">(BZ7/11.6)-BZ4</f>
        <v>-3.5086206896551708</v>
      </c>
    </row>
    <row r="14" spans="1:7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1">(333/11.6)-C4</f>
        <v>-27.140353448275857</v>
      </c>
      <c r="D14" s="461">
        <f t="shared" si="31"/>
        <v>-25.950830721003133</v>
      </c>
      <c r="E14" s="461">
        <f t="shared" si="31"/>
        <v>-29.842627257799681</v>
      </c>
      <c r="F14" s="461">
        <f t="shared" si="31"/>
        <v>-34.85010344827586</v>
      </c>
      <c r="G14" s="461">
        <f t="shared" si="31"/>
        <v>-33.08119868637111</v>
      </c>
      <c r="H14" s="461">
        <f t="shared" si="31"/>
        <v>-27.447233883058484</v>
      </c>
      <c r="I14" s="461">
        <f t="shared" si="31"/>
        <v>-19.165722495894908</v>
      </c>
      <c r="J14" s="462">
        <f t="shared" si="31"/>
        <v>-16.672194357366781</v>
      </c>
      <c r="K14" s="490">
        <f t="shared" si="31"/>
        <v>-17.131739811912215</v>
      </c>
      <c r="L14" s="491">
        <f t="shared" si="31"/>
        <v>-13.087151067323479</v>
      </c>
      <c r="M14" s="492">
        <f t="shared" si="31"/>
        <v>-5.8083208395802153</v>
      </c>
      <c r="N14" s="493">
        <f t="shared" si="18"/>
        <v>-23.319524443946857</v>
      </c>
      <c r="O14" s="494">
        <f t="shared" si="19"/>
        <v>-32.591309797482218</v>
      </c>
      <c r="P14" s="494">
        <f t="shared" si="20"/>
        <v>-21.09505024544006</v>
      </c>
      <c r="Q14" s="495">
        <f t="shared" si="21"/>
        <v>-12.009070572938635</v>
      </c>
      <c r="R14" s="496">
        <f t="shared" si="22"/>
        <v>-22.253738764951944</v>
      </c>
      <c r="S14" s="497">
        <f t="shared" ref="S14:AD14" si="32">(333/11.6)-S4</f>
        <v>1.8973965517241353</v>
      </c>
      <c r="T14" s="498">
        <f t="shared" si="32"/>
        <v>-0.69310344827585979</v>
      </c>
      <c r="U14" s="498">
        <f t="shared" si="32"/>
        <v>-6.3931034482758626</v>
      </c>
      <c r="V14" s="498">
        <f t="shared" si="32"/>
        <v>-10.321198686371108</v>
      </c>
      <c r="W14" s="498">
        <f t="shared" si="32"/>
        <v>-15.560830721003132</v>
      </c>
      <c r="X14" s="498">
        <f t="shared" si="32"/>
        <v>-17.66362976406533</v>
      </c>
      <c r="Y14" s="499">
        <f t="shared" si="32"/>
        <v>-13.753103448275862</v>
      </c>
      <c r="Z14" s="513">
        <f t="shared" si="32"/>
        <v>-14.995376175548582</v>
      </c>
      <c r="AA14" s="513">
        <f t="shared" si="32"/>
        <v>-14.622627257799675</v>
      </c>
      <c r="AB14" s="498">
        <f t="shared" si="32"/>
        <v>-20.277627257799669</v>
      </c>
      <c r="AC14" s="499">
        <f t="shared" si="32"/>
        <v>-15.157648902821318</v>
      </c>
      <c r="AD14" s="525">
        <f t="shared" si="32"/>
        <v>-23.390722495894916</v>
      </c>
      <c r="AE14" s="501">
        <f t="shared" si="24"/>
        <v>-1.7296034482758624</v>
      </c>
      <c r="AF14" s="500">
        <f t="shared" si="25"/>
        <v>-14.515219723813189</v>
      </c>
      <c r="AG14" s="500">
        <f t="shared" si="26"/>
        <v>-14.457035627208038</v>
      </c>
      <c r="AH14" s="500">
        <f t="shared" si="27"/>
        <v>-19.608666218838636</v>
      </c>
      <c r="AI14" s="502">
        <f t="shared" si="28"/>
        <v>-12.577631254533932</v>
      </c>
      <c r="AJ14" s="537">
        <f t="shared" ref="AJ14:AU14" si="33">(333/11.6)-AJ4</f>
        <v>-25.01310344827586</v>
      </c>
      <c r="AK14" s="538">
        <f t="shared" si="33"/>
        <v>-25.733103448275859</v>
      </c>
      <c r="AL14" s="538">
        <f t="shared" si="33"/>
        <v>-22.493103448275864</v>
      </c>
      <c r="AM14" s="539">
        <f t="shared" si="33"/>
        <v>-23.58310344827586</v>
      </c>
      <c r="AN14" s="539">
        <f t="shared" si="33"/>
        <v>-21.83310344827586</v>
      </c>
      <c r="AO14" s="539">
        <f t="shared" si="33"/>
        <v>-17.76310344827586</v>
      </c>
      <c r="AP14" s="539">
        <f t="shared" si="33"/>
        <v>-18.863103448275861</v>
      </c>
      <c r="AQ14" s="540">
        <f t="shared" si="33"/>
        <v>-21.51310344827586</v>
      </c>
      <c r="AR14" s="541">
        <f t="shared" si="33"/>
        <v>-24.961603448275856</v>
      </c>
      <c r="AS14" s="542">
        <f t="shared" si="33"/>
        <v>-26.843103448275858</v>
      </c>
      <c r="AT14" s="543">
        <f t="shared" si="33"/>
        <v>-32.113103448275865</v>
      </c>
      <c r="AU14" s="544">
        <f t="shared" si="33"/>
        <v>-32.893103448275866</v>
      </c>
      <c r="AV14" s="542"/>
      <c r="AW14" s="543"/>
      <c r="AX14" s="543"/>
      <c r="AY14" s="543"/>
      <c r="AZ14" s="544"/>
      <c r="BB14"/>
    </row>
    <row r="15" spans="1:78" s="507" customFormat="1" ht="31.5" customHeight="1">
      <c r="A15" s="654" t="s">
        <v>301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302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52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303</v>
      </c>
      <c r="BU20" s="719"/>
      <c r="BV20" s="719"/>
      <c r="BW20" s="719"/>
      <c r="BX20" s="719"/>
      <c r="BY20" s="720"/>
      <c r="BZ20" s="718" t="s">
        <v>304</v>
      </c>
      <c r="CA20" s="719"/>
      <c r="CB20" s="719"/>
      <c r="CC20" s="719"/>
      <c r="CD20" s="719"/>
      <c r="CE20" s="720"/>
    </row>
    <row r="21" spans="4:83" ht="68.2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308</v>
      </c>
      <c r="BU21" s="719"/>
      <c r="BV21" s="719"/>
      <c r="BW21" s="719"/>
      <c r="BX21" s="719"/>
      <c r="BY21" s="720"/>
      <c r="BZ21" s="718" t="s">
        <v>305</v>
      </c>
      <c r="CA21" s="719"/>
      <c r="CB21" s="719"/>
      <c r="CC21" s="719"/>
      <c r="CD21" s="719"/>
      <c r="CE21" s="720"/>
    </row>
    <row r="22" spans="4:83" ht="49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T22" s="718"/>
      <c r="BU22" s="719"/>
      <c r="BV22" s="719"/>
      <c r="BW22" s="719"/>
      <c r="BX22" s="719"/>
      <c r="BY22" s="720"/>
      <c r="BZ22" s="718" t="s">
        <v>293</v>
      </c>
      <c r="CA22" s="719"/>
      <c r="CB22" s="719"/>
      <c r="CC22" s="719"/>
      <c r="CD22" s="719"/>
      <c r="CE22" s="720"/>
    </row>
    <row r="23" spans="4:83">
      <c r="BZ23"/>
    </row>
    <row r="24" spans="4:83">
      <c r="BT24" s="659" t="s">
        <v>306</v>
      </c>
      <c r="BZ24"/>
    </row>
    <row r="25" spans="4:83" ht="36.75" customHeight="1">
      <c r="BT25" s="729" t="s">
        <v>307</v>
      </c>
      <c r="BU25" s="730"/>
      <c r="BV25" s="730"/>
      <c r="BW25" s="730"/>
      <c r="BX25" s="730"/>
      <c r="BY25" s="730"/>
      <c r="BZ25" s="730"/>
      <c r="CA25" s="730"/>
      <c r="CB25" s="730"/>
      <c r="CC25" s="730"/>
      <c r="CD25" s="730"/>
      <c r="CE25" s="730"/>
    </row>
    <row r="26" spans="4:83">
      <c r="BT26" s="659"/>
      <c r="BZ26"/>
    </row>
    <row r="27" spans="4:83">
      <c r="BZ27"/>
    </row>
    <row r="28" spans="4:83">
      <c r="BT28" s="620" t="s">
        <v>251</v>
      </c>
      <c r="BZ28"/>
    </row>
    <row r="29" spans="4:83">
      <c r="AV29" s="619"/>
      <c r="BT29" s="619" t="s">
        <v>287</v>
      </c>
    </row>
    <row r="30" spans="4:83">
      <c r="BT30" s="619"/>
    </row>
    <row r="31" spans="4:83">
      <c r="BH31" s="619"/>
    </row>
  </sheetData>
  <mergeCells count="17">
    <mergeCell ref="AV2:BG2"/>
    <mergeCell ref="B2:M2"/>
    <mergeCell ref="N2:R2"/>
    <mergeCell ref="S2:AD2"/>
    <mergeCell ref="AE2:AI2"/>
    <mergeCell ref="AJ2:AU2"/>
    <mergeCell ref="BH2:BS2"/>
    <mergeCell ref="BT19:BY19"/>
    <mergeCell ref="BZ19:CE19"/>
    <mergeCell ref="BT20:BY20"/>
    <mergeCell ref="BZ20:CE20"/>
    <mergeCell ref="BT25:CE25"/>
    <mergeCell ref="BT2:BZ2"/>
    <mergeCell ref="BT21:BY21"/>
    <mergeCell ref="BZ21:CE21"/>
    <mergeCell ref="BT22:BY22"/>
    <mergeCell ref="BZ22:CE2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70C0"/>
    <pageSetUpPr fitToPage="1"/>
  </sheetPr>
  <dimension ref="A1:CE35"/>
  <sheetViews>
    <sheetView zoomScaleNormal="100" zoomScaleSheetLayoutView="50" workbookViewId="0">
      <pane xSplit="1" ySplit="3" topLeftCell="BT16" activePane="bottomRight" state="frozenSplit"/>
      <selection pane="topRight" activeCell="B1" sqref="B1"/>
      <selection pane="bottomLeft" activeCell="A3" sqref="A3"/>
      <selection pane="bottomRight" activeCell="BY32" sqref="BY32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78" width="9.08984375" style="432"/>
    <col min="79" max="79" width="9.7265625" style="432" bestFit="1" customWidth="1"/>
    <col min="80" max="16384" width="9.08984375" style="432"/>
  </cols>
  <sheetData>
    <row r="1" spans="1:79" ht="20.25" customHeight="1" thickBot="1">
      <c r="A1" s="428" t="s">
        <v>310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9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32">
        <v>2020</v>
      </c>
      <c r="BU2" s="733"/>
      <c r="BV2" s="733"/>
      <c r="BW2" s="733"/>
      <c r="BX2" s="733"/>
      <c r="BY2" s="733"/>
      <c r="BZ2" s="733"/>
      <c r="CA2" s="733"/>
    </row>
    <row r="3" spans="1:79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</row>
    <row r="4" spans="1:79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45">
        <v>26</v>
      </c>
      <c r="BY4" s="645">
        <v>28.5</v>
      </c>
      <c r="BZ4" s="645">
        <v>31</v>
      </c>
      <c r="CA4" s="645">
        <v>33</v>
      </c>
    </row>
    <row r="5" spans="1:79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45">
        <v>23</v>
      </c>
      <c r="BY5" s="645">
        <v>27.2</v>
      </c>
      <c r="BZ5" s="645">
        <v>30.1</v>
      </c>
      <c r="CA5" s="645">
        <v>32.5</v>
      </c>
    </row>
    <row r="6" spans="1:79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5">
        <v>219</v>
      </c>
      <c r="BY6" s="645">
        <v>256.79999999999995</v>
      </c>
      <c r="BZ6" s="645">
        <v>282.90000000000003</v>
      </c>
      <c r="CA6" s="645">
        <v>304.5</v>
      </c>
    </row>
    <row r="7" spans="1:79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A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6">
        <f t="shared" si="13"/>
        <v>312.5</v>
      </c>
      <c r="BZ7" s="596">
        <f t="shared" si="13"/>
        <v>297.5</v>
      </c>
      <c r="CA7" s="596">
        <f t="shared" si="13"/>
        <v>302.5</v>
      </c>
    </row>
    <row r="8" spans="1:79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57">
        <v>320</v>
      </c>
      <c r="BZ8" s="657">
        <v>305</v>
      </c>
      <c r="CA8" s="657">
        <v>305</v>
      </c>
    </row>
    <row r="9" spans="1:79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57">
        <v>305</v>
      </c>
      <c r="BZ9" s="657">
        <v>290</v>
      </c>
      <c r="CA9" s="657">
        <v>300</v>
      </c>
    </row>
    <row r="10" spans="1:79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A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651">
        <f t="shared" si="14"/>
        <v>-121</v>
      </c>
      <c r="BY10" s="651">
        <f t="shared" si="14"/>
        <v>-55.700000000000045</v>
      </c>
      <c r="BZ10" s="651">
        <f t="shared" si="14"/>
        <v>-14.599999999999966</v>
      </c>
      <c r="CA10" s="651">
        <f t="shared" si="14"/>
        <v>2</v>
      </c>
    </row>
    <row r="11" spans="1:79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9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A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</row>
    <row r="13" spans="1:79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A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0">
        <f t="shared" si="28"/>
        <v>3.3103448275862064</v>
      </c>
      <c r="BY13" s="650">
        <f t="shared" si="28"/>
        <v>-1.5603448275862064</v>
      </c>
      <c r="BZ13" s="650">
        <f t="shared" si="28"/>
        <v>-5.3534482758620676</v>
      </c>
      <c r="CA13" s="650">
        <f t="shared" si="28"/>
        <v>-6.9224137931034484</v>
      </c>
    </row>
    <row r="14" spans="1:79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79" s="507" customFormat="1" ht="31.5" customHeight="1">
      <c r="A15" s="654" t="s">
        <v>317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9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302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61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308</v>
      </c>
      <c r="BU20" s="719"/>
      <c r="BV20" s="719"/>
      <c r="BW20" s="719"/>
      <c r="BX20" s="719"/>
      <c r="BY20" s="720"/>
      <c r="BZ20" s="718" t="s">
        <v>311</v>
      </c>
      <c r="CA20" s="719"/>
      <c r="CB20" s="719"/>
      <c r="CC20" s="719"/>
      <c r="CD20" s="719"/>
      <c r="CE20" s="720"/>
    </row>
    <row r="21" spans="4:83" ht="68.2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303</v>
      </c>
      <c r="BU21" s="719"/>
      <c r="BV21" s="719"/>
      <c r="BW21" s="719"/>
      <c r="BX21" s="719"/>
      <c r="BY21" s="720"/>
      <c r="BZ21" s="718" t="s">
        <v>312</v>
      </c>
      <c r="CA21" s="719"/>
      <c r="CB21" s="719"/>
      <c r="CC21" s="719"/>
      <c r="CD21" s="719"/>
      <c r="CE21" s="720"/>
    </row>
    <row r="22" spans="4:83" ht="68.2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34"/>
      <c r="BU22" s="734"/>
      <c r="BV22" s="734"/>
      <c r="BW22" s="734"/>
      <c r="BX22" s="734"/>
      <c r="BY22" s="735"/>
      <c r="BZ22" s="718" t="s">
        <v>313</v>
      </c>
      <c r="CA22" s="719"/>
      <c r="CB22" s="719"/>
      <c r="CC22" s="719"/>
      <c r="CD22" s="719"/>
      <c r="CE22" s="720"/>
    </row>
    <row r="23" spans="4:83" ht="30.7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T23" s="718"/>
      <c r="BU23" s="719"/>
      <c r="BV23" s="719"/>
      <c r="BW23" s="719"/>
      <c r="BX23" s="719"/>
      <c r="BY23" s="720"/>
      <c r="BZ23" s="718" t="s">
        <v>318</v>
      </c>
      <c r="CA23" s="719"/>
      <c r="CB23" s="719"/>
      <c r="CC23" s="719"/>
      <c r="CD23" s="719"/>
      <c r="CE23" s="720"/>
    </row>
    <row r="24" spans="4:83">
      <c r="BZ24"/>
    </row>
    <row r="25" spans="4:83">
      <c r="BT25" s="659" t="s">
        <v>306</v>
      </c>
      <c r="BZ25"/>
    </row>
    <row r="26" spans="4:83" ht="54.75" customHeight="1">
      <c r="BT26" s="729" t="s">
        <v>315</v>
      </c>
      <c r="BU26" s="730"/>
      <c r="BV26" s="730"/>
      <c r="BW26" s="730"/>
      <c r="BX26" s="730"/>
      <c r="BY26" s="730"/>
      <c r="BZ26" s="730"/>
      <c r="CA26" s="730"/>
      <c r="CB26" s="730"/>
      <c r="CC26" s="730"/>
      <c r="CD26" s="730"/>
      <c r="CE26" s="730"/>
    </row>
    <row r="27" spans="4:83">
      <c r="BT27" s="660"/>
      <c r="BU27" s="660"/>
      <c r="BV27" s="660"/>
      <c r="BW27" s="660"/>
      <c r="BX27" s="660"/>
      <c r="BY27" s="660"/>
      <c r="BZ27" s="660"/>
      <c r="CA27" s="660"/>
      <c r="CB27" s="660"/>
      <c r="CC27" s="660"/>
      <c r="CD27" s="660"/>
      <c r="CE27" s="660"/>
    </row>
    <row r="28" spans="4:83">
      <c r="BT28" s="659" t="s">
        <v>314</v>
      </c>
      <c r="BU28" s="660"/>
      <c r="BV28" s="660"/>
      <c r="BW28" s="660"/>
      <c r="BX28" s="660"/>
      <c r="BY28" s="660"/>
      <c r="BZ28" s="660"/>
      <c r="CA28" s="660"/>
      <c r="CB28" s="660"/>
      <c r="CC28" s="660"/>
      <c r="CD28" s="660"/>
      <c r="CE28" s="660"/>
    </row>
    <row r="29" spans="4:83" ht="43.5" customHeight="1">
      <c r="BT29" s="731" t="s">
        <v>316</v>
      </c>
      <c r="BU29" s="731"/>
      <c r="BV29" s="731"/>
      <c r="BW29" s="731"/>
      <c r="BX29" s="731"/>
      <c r="BY29" s="731"/>
      <c r="BZ29" s="731"/>
      <c r="CA29" s="731"/>
      <c r="CB29" s="731"/>
      <c r="CC29" s="731"/>
      <c r="CD29" s="731"/>
      <c r="CE29" s="731"/>
    </row>
    <row r="30" spans="4:83">
      <c r="BT30" s="659"/>
      <c r="BZ30"/>
    </row>
    <row r="31" spans="4:83">
      <c r="BZ31"/>
    </row>
    <row r="32" spans="4:83">
      <c r="BT32" s="620" t="s">
        <v>251</v>
      </c>
      <c r="BZ32"/>
    </row>
    <row r="33" spans="48:72">
      <c r="AV33" s="619"/>
      <c r="BT33" s="619" t="s">
        <v>320</v>
      </c>
    </row>
    <row r="34" spans="48:72">
      <c r="BT34" s="619" t="s">
        <v>319</v>
      </c>
    </row>
    <row r="35" spans="48:72">
      <c r="BH35" s="619"/>
    </row>
  </sheetData>
  <mergeCells count="20">
    <mergeCell ref="AV2:BG2"/>
    <mergeCell ref="B2:M2"/>
    <mergeCell ref="N2:R2"/>
    <mergeCell ref="S2:AD2"/>
    <mergeCell ref="AE2:AI2"/>
    <mergeCell ref="AJ2:AU2"/>
    <mergeCell ref="BT2:CA2"/>
    <mergeCell ref="BT21:BY21"/>
    <mergeCell ref="BT22:BY22"/>
    <mergeCell ref="BZ22:CE22"/>
    <mergeCell ref="BH2:BS2"/>
    <mergeCell ref="BT19:BY19"/>
    <mergeCell ref="BZ19:CE19"/>
    <mergeCell ref="BZ20:CE20"/>
    <mergeCell ref="BT29:CE29"/>
    <mergeCell ref="BT20:BY20"/>
    <mergeCell ref="BZ21:CE21"/>
    <mergeCell ref="BT23:BY23"/>
    <mergeCell ref="BZ23:CE23"/>
    <mergeCell ref="BT26:CE26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70C0"/>
    <pageSetUpPr fitToPage="1"/>
  </sheetPr>
  <dimension ref="A1:CE35"/>
  <sheetViews>
    <sheetView zoomScaleNormal="100" zoomScaleSheetLayoutView="50" workbookViewId="0">
      <pane xSplit="1" ySplit="3" topLeftCell="BT13" activePane="bottomRight" state="frozenSplit"/>
      <selection pane="topRight" activeCell="B1" sqref="B1"/>
      <selection pane="bottomLeft" activeCell="A3" sqref="A3"/>
      <selection pane="bottomRight" activeCell="CD5" sqref="CD5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78" width="9.08984375" style="432"/>
    <col min="79" max="79" width="9.7265625" style="432" bestFit="1" customWidth="1"/>
    <col min="80" max="16384" width="9.08984375" style="432"/>
  </cols>
  <sheetData>
    <row r="1" spans="1:79" ht="20.25" customHeight="1" thickBot="1">
      <c r="A1" s="428" t="s">
        <v>321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79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32">
        <v>2020</v>
      </c>
      <c r="BU2" s="733"/>
      <c r="BV2" s="733"/>
      <c r="BW2" s="733"/>
      <c r="BX2" s="733"/>
      <c r="BY2" s="733"/>
      <c r="BZ2" s="733"/>
      <c r="CA2" s="733"/>
    </row>
    <row r="3" spans="1:79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</row>
    <row r="4" spans="1:79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45">
        <v>30</v>
      </c>
      <c r="BY4" s="645">
        <v>32.5</v>
      </c>
      <c r="BZ4" s="645">
        <v>34</v>
      </c>
      <c r="CA4" s="645">
        <v>36</v>
      </c>
    </row>
    <row r="5" spans="1:79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45">
        <v>25.8</v>
      </c>
      <c r="BY5" s="645">
        <v>28.5</v>
      </c>
      <c r="BZ5" s="645">
        <v>30.2</v>
      </c>
      <c r="CA5" s="645">
        <v>32</v>
      </c>
    </row>
    <row r="6" spans="1:79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5">
        <v>219</v>
      </c>
      <c r="BY6" s="645">
        <v>256.79999999999995</v>
      </c>
      <c r="BZ6" s="645">
        <v>282.90000000000003</v>
      </c>
      <c r="CA6" s="645">
        <v>304.5</v>
      </c>
    </row>
    <row r="7" spans="1:79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A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6">
        <f t="shared" si="13"/>
        <v>322.5</v>
      </c>
      <c r="BZ7" s="596">
        <f t="shared" si="13"/>
        <v>300</v>
      </c>
      <c r="CA7" s="596">
        <f t="shared" si="13"/>
        <v>302.5</v>
      </c>
    </row>
    <row r="8" spans="1:79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57">
        <v>330</v>
      </c>
      <c r="BZ8" s="657">
        <v>305</v>
      </c>
      <c r="CA8" s="657">
        <v>305</v>
      </c>
    </row>
    <row r="9" spans="1:79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57">
        <v>315</v>
      </c>
      <c r="BZ9" s="657">
        <v>295</v>
      </c>
      <c r="CA9" s="657">
        <v>300</v>
      </c>
    </row>
    <row r="10" spans="1:79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A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651">
        <f t="shared" si="14"/>
        <v>-121</v>
      </c>
      <c r="BY10" s="651">
        <f t="shared" si="14"/>
        <v>-65.700000000000045</v>
      </c>
      <c r="BZ10" s="651">
        <f t="shared" si="14"/>
        <v>-17.099999999999966</v>
      </c>
      <c r="CA10" s="651">
        <f t="shared" si="14"/>
        <v>2</v>
      </c>
    </row>
    <row r="11" spans="1:79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79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A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</row>
    <row r="13" spans="1:79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A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0">
        <f t="shared" si="28"/>
        <v>-0.68965517241379359</v>
      </c>
      <c r="BY13" s="650">
        <f t="shared" si="28"/>
        <v>-4.6982758620689644</v>
      </c>
      <c r="BZ13" s="650">
        <f t="shared" si="28"/>
        <v>-8.137931034482758</v>
      </c>
      <c r="CA13" s="650">
        <f t="shared" si="28"/>
        <v>-9.9224137931034484</v>
      </c>
    </row>
    <row r="14" spans="1:79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79" s="507" customFormat="1" ht="31.5" customHeight="1">
      <c r="A15" s="654" t="s">
        <v>322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79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302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61.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308</v>
      </c>
      <c r="BU20" s="719"/>
      <c r="BV20" s="719"/>
      <c r="BW20" s="719"/>
      <c r="BX20" s="719"/>
      <c r="BY20" s="720"/>
      <c r="BZ20" s="718" t="s">
        <v>311</v>
      </c>
      <c r="CA20" s="719"/>
      <c r="CB20" s="719"/>
      <c r="CC20" s="719"/>
      <c r="CD20" s="719"/>
      <c r="CE20" s="720"/>
    </row>
    <row r="21" spans="4:83" ht="68.2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303</v>
      </c>
      <c r="BU21" s="719"/>
      <c r="BV21" s="719"/>
      <c r="BW21" s="719"/>
      <c r="BX21" s="719"/>
      <c r="BY21" s="720"/>
      <c r="BZ21" s="718" t="s">
        <v>312</v>
      </c>
      <c r="CA21" s="719"/>
      <c r="CB21" s="719"/>
      <c r="CC21" s="719"/>
      <c r="CD21" s="719"/>
      <c r="CE21" s="720"/>
    </row>
    <row r="22" spans="4:83" ht="68.2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34"/>
      <c r="BU22" s="734"/>
      <c r="BV22" s="734"/>
      <c r="BW22" s="734"/>
      <c r="BX22" s="734"/>
      <c r="BY22" s="735"/>
      <c r="BZ22" s="718" t="s">
        <v>313</v>
      </c>
      <c r="CA22" s="719"/>
      <c r="CB22" s="719"/>
      <c r="CC22" s="719"/>
      <c r="CD22" s="719"/>
      <c r="CE22" s="720"/>
    </row>
    <row r="23" spans="4:83" ht="30.7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T23" s="718"/>
      <c r="BU23" s="719"/>
      <c r="BV23" s="719"/>
      <c r="BW23" s="719"/>
      <c r="BX23" s="719"/>
      <c r="BY23" s="720"/>
      <c r="BZ23" s="718" t="s">
        <v>318</v>
      </c>
      <c r="CA23" s="719"/>
      <c r="CB23" s="719"/>
      <c r="CC23" s="719"/>
      <c r="CD23" s="719"/>
      <c r="CE23" s="720"/>
    </row>
    <row r="24" spans="4:83">
      <c r="BZ24"/>
    </row>
    <row r="25" spans="4:83">
      <c r="BT25" s="659" t="s">
        <v>306</v>
      </c>
      <c r="BZ25"/>
    </row>
    <row r="26" spans="4:83" ht="54.75" customHeight="1">
      <c r="BT26" s="729" t="s">
        <v>315</v>
      </c>
      <c r="BU26" s="730"/>
      <c r="BV26" s="730"/>
      <c r="BW26" s="730"/>
      <c r="BX26" s="730"/>
      <c r="BY26" s="730"/>
      <c r="BZ26" s="730"/>
      <c r="CA26" s="730"/>
      <c r="CB26" s="730"/>
      <c r="CC26" s="730"/>
      <c r="CD26" s="730"/>
      <c r="CE26" s="730"/>
    </row>
    <row r="27" spans="4:83">
      <c r="BT27" s="661"/>
      <c r="BU27" s="661"/>
      <c r="BV27" s="661"/>
      <c r="BW27" s="661"/>
      <c r="BX27" s="661"/>
      <c r="BY27" s="661"/>
      <c r="BZ27" s="661"/>
      <c r="CA27" s="661"/>
      <c r="CB27" s="661"/>
      <c r="CC27" s="661"/>
      <c r="CD27" s="661"/>
      <c r="CE27" s="661"/>
    </row>
    <row r="28" spans="4:83">
      <c r="BT28" s="659" t="s">
        <v>314</v>
      </c>
      <c r="BU28" s="661"/>
      <c r="BV28" s="661"/>
      <c r="BW28" s="661"/>
      <c r="BX28" s="661"/>
      <c r="BY28" s="661"/>
      <c r="BZ28" s="661"/>
      <c r="CA28" s="661"/>
      <c r="CB28" s="661"/>
      <c r="CC28" s="661"/>
      <c r="CD28" s="661"/>
      <c r="CE28" s="661"/>
    </row>
    <row r="29" spans="4:83" ht="43.5" customHeight="1">
      <c r="BT29" s="731" t="s">
        <v>316</v>
      </c>
      <c r="BU29" s="731"/>
      <c r="BV29" s="731"/>
      <c r="BW29" s="731"/>
      <c r="BX29" s="731"/>
      <c r="BY29" s="731"/>
      <c r="BZ29" s="731"/>
      <c r="CA29" s="731"/>
      <c r="CB29" s="731"/>
      <c r="CC29" s="731"/>
      <c r="CD29" s="731"/>
      <c r="CE29" s="731"/>
    </row>
    <row r="30" spans="4:83">
      <c r="BT30" s="659"/>
      <c r="BZ30"/>
    </row>
    <row r="31" spans="4:83">
      <c r="BZ31"/>
    </row>
    <row r="32" spans="4:83">
      <c r="BT32" s="620" t="s">
        <v>251</v>
      </c>
      <c r="BZ32"/>
    </row>
    <row r="33" spans="48:72">
      <c r="AV33" s="619"/>
      <c r="BT33" s="619" t="s">
        <v>320</v>
      </c>
    </row>
    <row r="34" spans="48:72">
      <c r="BT34" s="619" t="s">
        <v>319</v>
      </c>
    </row>
    <row r="35" spans="48:72">
      <c r="BH35" s="619"/>
    </row>
  </sheetData>
  <mergeCells count="20">
    <mergeCell ref="BT26:CE26"/>
    <mergeCell ref="BT29:CE29"/>
    <mergeCell ref="BT21:BY21"/>
    <mergeCell ref="BZ21:CE21"/>
    <mergeCell ref="BT22:BY22"/>
    <mergeCell ref="BZ22:CE22"/>
    <mergeCell ref="BT23:BY23"/>
    <mergeCell ref="BZ23:CE23"/>
    <mergeCell ref="BH2:BS2"/>
    <mergeCell ref="BT2:CA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70C0"/>
    <pageSetUpPr fitToPage="1"/>
  </sheetPr>
  <dimension ref="A1:CE34"/>
  <sheetViews>
    <sheetView zoomScaleNormal="100" zoomScaleSheetLayoutView="50" workbookViewId="0">
      <pane xSplit="1" ySplit="3" topLeftCell="B16" activePane="bottomRight" state="frozenSplit"/>
      <selection pane="topRight" activeCell="B1" sqref="B1"/>
      <selection pane="bottomLeft" activeCell="A3" sqref="A3"/>
      <selection pane="bottomRight" activeCell="CB31" sqref="CB31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78" width="9.08984375" style="432"/>
    <col min="79" max="79" width="9.7265625" style="432" bestFit="1" customWidth="1"/>
    <col min="80" max="80" width="9.453125" style="432" bestFit="1" customWidth="1"/>
    <col min="81" max="16384" width="9.08984375" style="432"/>
  </cols>
  <sheetData>
    <row r="1" spans="1:80" ht="20.25" customHeight="1" thickBot="1">
      <c r="A1" s="428" t="s">
        <v>323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0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</row>
    <row r="3" spans="1:80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</row>
    <row r="4" spans="1:80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45">
        <v>39.5</v>
      </c>
      <c r="BZ4" s="645">
        <v>40</v>
      </c>
      <c r="CA4" s="645">
        <v>40.5</v>
      </c>
      <c r="CB4" s="645">
        <v>40.5</v>
      </c>
    </row>
    <row r="5" spans="1:80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45">
        <v>36.5</v>
      </c>
      <c r="BZ5" s="645">
        <v>37.1</v>
      </c>
      <c r="CA5" s="645">
        <v>36.9</v>
      </c>
      <c r="CB5" s="645">
        <v>36.799999999999997</v>
      </c>
    </row>
    <row r="6" spans="1:80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219</v>
      </c>
      <c r="BY6" s="645">
        <v>256.79999999999995</v>
      </c>
      <c r="BZ6" s="645">
        <v>282.90000000000003</v>
      </c>
      <c r="CA6" s="645">
        <v>304.5</v>
      </c>
      <c r="CB6" s="645">
        <v>304.5</v>
      </c>
    </row>
    <row r="7" spans="1:80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A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6">
        <f t="shared" si="13"/>
        <v>317.5</v>
      </c>
      <c r="CA7" s="596">
        <f t="shared" si="13"/>
        <v>320</v>
      </c>
      <c r="CB7" s="596">
        <f t="shared" ref="CB7" si="14">(CB8+CB9)/2</f>
        <v>327.5</v>
      </c>
    </row>
    <row r="8" spans="1:80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57">
        <v>325</v>
      </c>
      <c r="CA8" s="657">
        <v>320</v>
      </c>
      <c r="CB8" s="657">
        <v>325</v>
      </c>
    </row>
    <row r="9" spans="1:80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57">
        <v>310</v>
      </c>
      <c r="CA9" s="657">
        <v>320</v>
      </c>
      <c r="CB9" s="657">
        <v>330</v>
      </c>
    </row>
    <row r="10" spans="1:80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A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-121</v>
      </c>
      <c r="BY10" s="651">
        <f t="shared" si="15"/>
        <v>-83.200000000000045</v>
      </c>
      <c r="BZ10" s="651">
        <f t="shared" si="15"/>
        <v>-34.599999999999966</v>
      </c>
      <c r="CA10" s="651">
        <f t="shared" si="15"/>
        <v>-15.5</v>
      </c>
      <c r="CB10" s="651">
        <f t="shared" ref="CB10" si="16">CB6-CB7</f>
        <v>-23</v>
      </c>
    </row>
    <row r="11" spans="1:80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0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A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ref="CB12" si="18">CB3</f>
        <v>44075</v>
      </c>
    </row>
    <row r="13" spans="1:80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A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0">
        <f t="shared" si="31"/>
        <v>-10.189655172413794</v>
      </c>
      <c r="BZ13" s="650">
        <f t="shared" si="31"/>
        <v>-12.629310344827584</v>
      </c>
      <c r="CA13" s="650">
        <f t="shared" si="31"/>
        <v>-12.913793103448274</v>
      </c>
      <c r="CB13" s="650">
        <f t="shared" ref="CB13" si="32">(CB7/11.6)-CB4</f>
        <v>-12.267241379310345</v>
      </c>
    </row>
    <row r="14" spans="1:80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80" s="507" customFormat="1" ht="31.5" customHeight="1">
      <c r="A15" s="654" t="s">
        <v>324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0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325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89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326</v>
      </c>
      <c r="BU20" s="719"/>
      <c r="BV20" s="719"/>
      <c r="BW20" s="719"/>
      <c r="BX20" s="719"/>
      <c r="BY20" s="720"/>
      <c r="BZ20" s="718" t="s">
        <v>330</v>
      </c>
      <c r="CA20" s="719"/>
      <c r="CB20" s="719"/>
      <c r="CC20" s="719"/>
      <c r="CD20" s="719"/>
      <c r="CE20" s="720"/>
    </row>
    <row r="21" spans="4:83" ht="45.7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327</v>
      </c>
      <c r="BU21" s="719"/>
      <c r="BV21" s="719"/>
      <c r="BW21" s="719"/>
      <c r="BX21" s="719"/>
      <c r="BY21" s="720"/>
      <c r="BZ21" s="718" t="s">
        <v>311</v>
      </c>
      <c r="CA21" s="719"/>
      <c r="CB21" s="719"/>
      <c r="CC21" s="719"/>
      <c r="CD21" s="719"/>
      <c r="CE21" s="720"/>
    </row>
    <row r="22" spans="4:83" ht="33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34"/>
      <c r="BU22" s="734"/>
      <c r="BV22" s="734"/>
      <c r="BW22" s="734"/>
      <c r="BX22" s="734"/>
      <c r="BY22" s="735"/>
      <c r="BZ22" s="718" t="s">
        <v>318</v>
      </c>
      <c r="CA22" s="719"/>
      <c r="CB22" s="719"/>
      <c r="CC22" s="719"/>
      <c r="CD22" s="719"/>
      <c r="CE22" s="720"/>
    </row>
    <row r="23" spans="4:83">
      <c r="BZ23"/>
    </row>
    <row r="24" spans="4:83">
      <c r="BT24" s="659" t="s">
        <v>314</v>
      </c>
      <c r="BZ24"/>
    </row>
    <row r="25" spans="4:83" ht="54.75" customHeight="1">
      <c r="BT25" s="729" t="s">
        <v>331</v>
      </c>
      <c r="BU25" s="730"/>
      <c r="BV25" s="730"/>
      <c r="BW25" s="730"/>
      <c r="BX25" s="730"/>
      <c r="BY25" s="730"/>
      <c r="BZ25" s="730"/>
      <c r="CA25" s="730"/>
      <c r="CB25" s="730"/>
      <c r="CC25" s="730"/>
      <c r="CD25" s="730"/>
      <c r="CE25" s="730"/>
    </row>
    <row r="26" spans="4:83">
      <c r="BT26" s="662"/>
      <c r="BU26" s="662"/>
      <c r="BV26" s="662"/>
      <c r="BW26" s="662"/>
      <c r="BX26" s="662"/>
      <c r="BY26" s="662"/>
      <c r="BZ26" s="662"/>
      <c r="CA26" s="662"/>
      <c r="CB26" s="662"/>
      <c r="CC26" s="662"/>
      <c r="CD26" s="662"/>
      <c r="CE26" s="662"/>
    </row>
    <row r="27" spans="4:83">
      <c r="BT27" s="659" t="s">
        <v>328</v>
      </c>
      <c r="BU27" s="662"/>
      <c r="BV27" s="662"/>
      <c r="BW27" s="662"/>
      <c r="BX27" s="662"/>
      <c r="BY27" s="662"/>
      <c r="BZ27" s="662"/>
      <c r="CA27" s="662"/>
      <c r="CB27" s="662"/>
      <c r="CC27" s="662"/>
      <c r="CD27" s="662"/>
      <c r="CE27" s="662"/>
    </row>
    <row r="28" spans="4:83">
      <c r="BT28" s="731" t="s">
        <v>332</v>
      </c>
      <c r="BU28" s="731"/>
      <c r="BV28" s="731"/>
      <c r="BW28" s="731"/>
      <c r="BX28" s="731"/>
      <c r="BY28" s="731"/>
      <c r="BZ28" s="731"/>
      <c r="CA28" s="731"/>
      <c r="CB28" s="731"/>
      <c r="CC28" s="731"/>
      <c r="CD28" s="731"/>
      <c r="CE28" s="731"/>
    </row>
    <row r="29" spans="4:83">
      <c r="BT29" s="659"/>
      <c r="BZ29"/>
    </row>
    <row r="30" spans="4:83">
      <c r="BZ30"/>
    </row>
    <row r="31" spans="4:83">
      <c r="BT31" s="620" t="s">
        <v>251</v>
      </c>
      <c r="BZ31"/>
    </row>
    <row r="32" spans="4:83">
      <c r="AV32" s="619"/>
      <c r="BT32" s="619" t="s">
        <v>320</v>
      </c>
    </row>
    <row r="33" spans="60:72">
      <c r="BT33" s="619" t="s">
        <v>319</v>
      </c>
    </row>
    <row r="34" spans="60:72">
      <c r="BH34" s="619"/>
      <c r="BT34" s="619" t="s">
        <v>329</v>
      </c>
    </row>
  </sheetData>
  <mergeCells count="18">
    <mergeCell ref="AV2:BG2"/>
    <mergeCell ref="B2:M2"/>
    <mergeCell ref="N2:R2"/>
    <mergeCell ref="S2:AD2"/>
    <mergeCell ref="AE2:AI2"/>
    <mergeCell ref="AJ2:AU2"/>
    <mergeCell ref="BH2:BS2"/>
    <mergeCell ref="BT19:BY19"/>
    <mergeCell ref="BZ19:CE19"/>
    <mergeCell ref="BT20:BY20"/>
    <mergeCell ref="BZ20:CE20"/>
    <mergeCell ref="BT25:CE25"/>
    <mergeCell ref="BT28:CE28"/>
    <mergeCell ref="BT2:CB2"/>
    <mergeCell ref="BT21:BY21"/>
    <mergeCell ref="BZ21:CE21"/>
    <mergeCell ref="BT22:BY22"/>
    <mergeCell ref="BZ22:CE2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70C0"/>
    <pageSetUpPr fitToPage="1"/>
  </sheetPr>
  <dimension ref="A1:CE34"/>
  <sheetViews>
    <sheetView zoomScaleNormal="100" zoomScaleSheetLayoutView="50" workbookViewId="0">
      <pane xSplit="1" ySplit="3" topLeftCell="B16" activePane="bottomRight" state="frozenSplit"/>
      <selection pane="topRight" activeCell="B1" sqref="B1"/>
      <selection pane="bottomLeft" activeCell="A3" sqref="A3"/>
      <selection pane="bottomRight" activeCell="BZ22" sqref="BZ22:CE22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78" width="9.08984375" style="432"/>
    <col min="79" max="79" width="9.7265625" style="432" bestFit="1" customWidth="1"/>
    <col min="80" max="80" width="9.453125" style="432" bestFit="1" customWidth="1"/>
    <col min="81" max="16384" width="9.08984375" style="432"/>
  </cols>
  <sheetData>
    <row r="1" spans="1:80" ht="20.25" customHeight="1" thickBot="1">
      <c r="A1" s="428" t="s">
        <v>333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0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</row>
    <row r="3" spans="1:80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</row>
    <row r="4" spans="1:80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45">
        <v>40</v>
      </c>
      <c r="BZ4" s="645">
        <v>40.5</v>
      </c>
      <c r="CA4" s="645">
        <v>41</v>
      </c>
      <c r="CB4" s="645">
        <v>41</v>
      </c>
    </row>
    <row r="5" spans="1:80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45">
        <v>37.5</v>
      </c>
      <c r="BZ5" s="645">
        <v>38.299999999999997</v>
      </c>
      <c r="CA5" s="645">
        <v>38</v>
      </c>
      <c r="CB5" s="645">
        <v>37.700000000000003</v>
      </c>
    </row>
    <row r="6" spans="1:80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5">
        <v>349.5</v>
      </c>
      <c r="BZ6" s="645">
        <v>356.7</v>
      </c>
      <c r="CA6" s="645">
        <v>354</v>
      </c>
      <c r="CB6" s="645">
        <v>351.3</v>
      </c>
    </row>
    <row r="7" spans="1:80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B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6">
        <f t="shared" si="13"/>
        <v>335</v>
      </c>
      <c r="CA7" s="596">
        <f t="shared" si="13"/>
        <v>330</v>
      </c>
      <c r="CB7" s="596">
        <f t="shared" si="13"/>
        <v>340</v>
      </c>
    </row>
    <row r="8" spans="1:80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57">
        <v>345</v>
      </c>
      <c r="CA8" s="657">
        <v>340</v>
      </c>
      <c r="CB8" s="657">
        <v>340</v>
      </c>
    </row>
    <row r="9" spans="1:80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57">
        <v>325</v>
      </c>
      <c r="CA9" s="657">
        <v>320</v>
      </c>
      <c r="CB9" s="657">
        <v>340</v>
      </c>
    </row>
    <row r="10" spans="1:80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B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651">
        <f t="shared" si="14"/>
        <v>9.5</v>
      </c>
      <c r="BZ10" s="651">
        <f t="shared" si="14"/>
        <v>21.699999999999989</v>
      </c>
      <c r="CA10" s="651">
        <f t="shared" si="14"/>
        <v>24</v>
      </c>
      <c r="CB10" s="651">
        <f t="shared" si="14"/>
        <v>11.300000000000011</v>
      </c>
    </row>
    <row r="11" spans="1:80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0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B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</row>
    <row r="13" spans="1:80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B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0">
        <f t="shared" si="28"/>
        <v>-10.689655172413794</v>
      </c>
      <c r="BZ13" s="650">
        <f t="shared" si="28"/>
        <v>-11.620689655172413</v>
      </c>
      <c r="CA13" s="650">
        <f t="shared" si="28"/>
        <v>-12.551724137931032</v>
      </c>
      <c r="CB13" s="650">
        <f t="shared" si="28"/>
        <v>-11.689655172413794</v>
      </c>
    </row>
    <row r="14" spans="1:80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0" s="507" customFormat="1" ht="31.5" customHeight="1">
      <c r="A15" s="654" t="s">
        <v>334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0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325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335</v>
      </c>
      <c r="BU20" s="719"/>
      <c r="BV20" s="719"/>
      <c r="BW20" s="719"/>
      <c r="BX20" s="719"/>
      <c r="BY20" s="720"/>
      <c r="BZ20" s="718" t="s">
        <v>338</v>
      </c>
      <c r="CA20" s="719"/>
      <c r="CB20" s="719"/>
      <c r="CC20" s="719"/>
      <c r="CD20" s="719"/>
      <c r="CE20" s="720"/>
    </row>
    <row r="21" spans="4:83" ht="66.7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326</v>
      </c>
      <c r="BU21" s="719"/>
      <c r="BV21" s="719"/>
      <c r="BW21" s="719"/>
      <c r="BX21" s="719"/>
      <c r="BY21" s="720"/>
      <c r="BZ21" s="718" t="s">
        <v>336</v>
      </c>
      <c r="CA21" s="719"/>
      <c r="CB21" s="719"/>
      <c r="CC21" s="719"/>
      <c r="CD21" s="719"/>
      <c r="CE21" s="720"/>
    </row>
    <row r="22" spans="4:83" ht="45.7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18" t="s">
        <v>339</v>
      </c>
      <c r="BU22" s="719"/>
      <c r="BV22" s="719"/>
      <c r="BW22" s="719"/>
      <c r="BX22" s="719"/>
      <c r="BY22" s="720"/>
      <c r="BZ22" s="718" t="s">
        <v>337</v>
      </c>
      <c r="CA22" s="719"/>
      <c r="CB22" s="719"/>
      <c r="CC22" s="719"/>
      <c r="CD22" s="719"/>
      <c r="CE22" s="720"/>
    </row>
    <row r="23" spans="4:83">
      <c r="BZ23"/>
    </row>
    <row r="24" spans="4:83">
      <c r="BT24" s="659" t="s">
        <v>314</v>
      </c>
      <c r="BZ24"/>
    </row>
    <row r="25" spans="4:83" ht="38.25" customHeight="1">
      <c r="BT25" s="729" t="s">
        <v>340</v>
      </c>
      <c r="BU25" s="730"/>
      <c r="BV25" s="730"/>
      <c r="BW25" s="730"/>
      <c r="BX25" s="730"/>
      <c r="BY25" s="730"/>
      <c r="BZ25" s="730"/>
      <c r="CA25" s="730"/>
      <c r="CB25" s="730"/>
      <c r="CC25" s="730"/>
      <c r="CD25" s="730"/>
      <c r="CE25" s="730"/>
    </row>
    <row r="26" spans="4:83">
      <c r="BT26" s="663"/>
      <c r="BU26" s="663"/>
      <c r="BV26" s="663"/>
      <c r="BW26" s="663"/>
      <c r="BX26" s="663"/>
      <c r="BY26" s="663"/>
      <c r="BZ26" s="663"/>
      <c r="CA26" s="663"/>
      <c r="CB26" s="663"/>
      <c r="CC26" s="663"/>
      <c r="CD26" s="663"/>
      <c r="CE26" s="663"/>
    </row>
    <row r="27" spans="4:83">
      <c r="BT27" s="659" t="s">
        <v>328</v>
      </c>
      <c r="BU27" s="663"/>
      <c r="BV27" s="663"/>
      <c r="BW27" s="663"/>
      <c r="BX27" s="663"/>
      <c r="BY27" s="663"/>
      <c r="BZ27" s="663"/>
      <c r="CA27" s="663"/>
      <c r="CB27" s="663"/>
      <c r="CC27" s="663"/>
      <c r="CD27" s="663"/>
      <c r="CE27" s="663"/>
    </row>
    <row r="28" spans="4:83">
      <c r="BT28" s="731" t="s">
        <v>341</v>
      </c>
      <c r="BU28" s="731"/>
      <c r="BV28" s="731"/>
      <c r="BW28" s="731"/>
      <c r="BX28" s="731"/>
      <c r="BY28" s="731"/>
      <c r="BZ28" s="731"/>
      <c r="CA28" s="731"/>
      <c r="CB28" s="731"/>
      <c r="CC28" s="731"/>
      <c r="CD28" s="731"/>
      <c r="CE28" s="731"/>
    </row>
    <row r="29" spans="4:83">
      <c r="BT29" s="659"/>
      <c r="BZ29"/>
    </row>
    <row r="30" spans="4:83">
      <c r="BZ30"/>
    </row>
    <row r="31" spans="4:83">
      <c r="BT31" s="620" t="s">
        <v>251</v>
      </c>
      <c r="BZ31"/>
    </row>
    <row r="32" spans="4:83">
      <c r="AV32" s="619"/>
      <c r="BT32" s="619" t="s">
        <v>320</v>
      </c>
    </row>
    <row r="33" spans="60:72">
      <c r="BT33" s="619" t="s">
        <v>319</v>
      </c>
    </row>
    <row r="34" spans="60:72">
      <c r="BH34" s="619"/>
      <c r="BT34" s="619"/>
    </row>
  </sheetData>
  <mergeCells count="18">
    <mergeCell ref="BT28:CE28"/>
    <mergeCell ref="BH2:BS2"/>
    <mergeCell ref="BT2:CB2"/>
    <mergeCell ref="BT19:BY19"/>
    <mergeCell ref="BZ19:CE19"/>
    <mergeCell ref="BT20:BY20"/>
    <mergeCell ref="BZ20:CE20"/>
    <mergeCell ref="BT21:BY21"/>
    <mergeCell ref="BZ21:CE21"/>
    <mergeCell ref="BT22:BY22"/>
    <mergeCell ref="BZ22:CE22"/>
    <mergeCell ref="BT25:CE25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70C0"/>
    <pageSetUpPr fitToPage="1"/>
  </sheetPr>
  <dimension ref="A1:CE29"/>
  <sheetViews>
    <sheetView zoomScaleNormal="100" zoomScaleSheetLayoutView="50" workbookViewId="0">
      <pane xSplit="1" ySplit="3" topLeftCell="B16" activePane="bottomRight" state="frozenSplit"/>
      <selection pane="topRight" activeCell="B1" sqref="B1"/>
      <selection pane="bottomLeft" activeCell="A3" sqref="A3"/>
      <selection pane="bottomRight" activeCell="BZ21" sqref="BZ21:CE21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78" width="9.08984375" style="432"/>
    <col min="79" max="79" width="9.7265625" style="432" bestFit="1" customWidth="1"/>
    <col min="80" max="80" width="9.453125" style="432" bestFit="1" customWidth="1"/>
    <col min="81" max="16384" width="9.08984375" style="432"/>
  </cols>
  <sheetData>
    <row r="1" spans="1:81" ht="20.25" customHeight="1" thickBot="1">
      <c r="A1" s="428" t="s">
        <v>342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1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32">
        <v>2020</v>
      </c>
      <c r="BU2" s="733"/>
      <c r="BV2" s="733"/>
      <c r="BW2" s="733"/>
      <c r="BX2" s="733"/>
      <c r="BY2" s="733"/>
      <c r="BZ2" s="733"/>
      <c r="CA2" s="733"/>
      <c r="CB2" s="733"/>
      <c r="CC2" s="733"/>
    </row>
    <row r="3" spans="1:81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</row>
    <row r="4" spans="1:81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45">
        <v>42.5</v>
      </c>
      <c r="CA4" s="645">
        <v>41.5</v>
      </c>
      <c r="CB4" s="645">
        <v>41.5</v>
      </c>
      <c r="CC4" s="645">
        <v>42.5</v>
      </c>
    </row>
    <row r="5" spans="1:81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45">
        <v>43.5</v>
      </c>
      <c r="CA5" s="645">
        <v>40.299999999999997</v>
      </c>
      <c r="CB5" s="645">
        <v>39</v>
      </c>
      <c r="CC5" s="645">
        <v>39.299999999999997</v>
      </c>
    </row>
    <row r="6" spans="1:81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5">
        <v>403.5</v>
      </c>
      <c r="CA6" s="645">
        <v>374.7</v>
      </c>
      <c r="CB6" s="645">
        <v>363</v>
      </c>
      <c r="CC6" s="645">
        <v>365.7</v>
      </c>
    </row>
    <row r="7" spans="1:81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B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6">
        <f t="shared" si="13"/>
        <v>352.5</v>
      </c>
      <c r="CB7" s="596">
        <f t="shared" si="13"/>
        <v>360</v>
      </c>
      <c r="CC7" s="596">
        <f t="shared" ref="CC7" si="14">(CC8+CC9)/2</f>
        <v>370</v>
      </c>
    </row>
    <row r="8" spans="1:81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57">
        <v>360</v>
      </c>
      <c r="CB8" s="657">
        <v>365</v>
      </c>
      <c r="CC8" s="657">
        <v>370</v>
      </c>
    </row>
    <row r="9" spans="1:81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57">
        <v>345</v>
      </c>
      <c r="CB9" s="657">
        <v>355</v>
      </c>
      <c r="CC9" s="657">
        <v>370</v>
      </c>
    </row>
    <row r="10" spans="1:81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B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651">
        <f t="shared" si="15"/>
        <v>53.5</v>
      </c>
      <c r="CA10" s="651">
        <f t="shared" si="15"/>
        <v>22.199999999999989</v>
      </c>
      <c r="CB10" s="651">
        <f t="shared" si="15"/>
        <v>3</v>
      </c>
      <c r="CC10" s="651">
        <f t="shared" ref="CC10" si="16">CC6-CC7</f>
        <v>-4.3000000000000114</v>
      </c>
    </row>
    <row r="11" spans="1:81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1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B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ref="CC12" si="18">CC3</f>
        <v>44105</v>
      </c>
    </row>
    <row r="13" spans="1:81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B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6">
        <f t="shared" si="31"/>
        <v>-11.479655172413793</v>
      </c>
      <c r="BZ13" s="650">
        <f t="shared" si="31"/>
        <v>-12.327586206896552</v>
      </c>
      <c r="CA13" s="650">
        <f t="shared" si="31"/>
        <v>-11.112068965517242</v>
      </c>
      <c r="CB13" s="650">
        <f t="shared" si="31"/>
        <v>-10.46551724137931</v>
      </c>
      <c r="CC13" s="650">
        <f t="shared" ref="CC13" si="32">(CC7/11.6)-CC4</f>
        <v>-10.603448275862068</v>
      </c>
    </row>
    <row r="14" spans="1:81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81" s="507" customFormat="1" ht="31.5" customHeight="1">
      <c r="A15" s="654" t="s">
        <v>343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1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344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335</v>
      </c>
      <c r="BU20" s="719"/>
      <c r="BV20" s="719"/>
      <c r="BW20" s="719"/>
      <c r="BX20" s="719"/>
      <c r="BY20" s="720"/>
      <c r="BZ20" s="718" t="s">
        <v>347</v>
      </c>
      <c r="CA20" s="719"/>
      <c r="CB20" s="719"/>
      <c r="CC20" s="719"/>
      <c r="CD20" s="719"/>
      <c r="CE20" s="720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345</v>
      </c>
      <c r="BU21" s="719"/>
      <c r="BV21" s="719"/>
      <c r="BW21" s="719"/>
      <c r="BX21" s="719"/>
      <c r="BY21" s="720"/>
      <c r="BZ21" s="718" t="s">
        <v>348</v>
      </c>
      <c r="CA21" s="719"/>
      <c r="CB21" s="719"/>
      <c r="CC21" s="719"/>
      <c r="CD21" s="719"/>
      <c r="CE21" s="720"/>
    </row>
    <row r="22" spans="4:83" ht="45.7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18" t="s">
        <v>346</v>
      </c>
      <c r="BU22" s="719"/>
      <c r="BV22" s="719"/>
      <c r="BW22" s="719"/>
      <c r="BX22" s="719"/>
      <c r="BY22" s="720"/>
      <c r="BZ22" s="718"/>
      <c r="CA22" s="719"/>
      <c r="CB22" s="719"/>
      <c r="CC22" s="719"/>
      <c r="CD22" s="719"/>
      <c r="CE22" s="720"/>
    </row>
    <row r="23" spans="4:83">
      <c r="BZ23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6">
    <mergeCell ref="BT21:BY21"/>
    <mergeCell ref="BZ21:CE21"/>
    <mergeCell ref="BT22:BY22"/>
    <mergeCell ref="BZ22:CE22"/>
    <mergeCell ref="AV2:BG2"/>
    <mergeCell ref="BH2:BS2"/>
    <mergeCell ref="BT19:BY19"/>
    <mergeCell ref="BZ19:CE19"/>
    <mergeCell ref="BT20:BY20"/>
    <mergeCell ref="BZ20:CE20"/>
    <mergeCell ref="BT2:CC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70C0"/>
    <pageSetUpPr fitToPage="1"/>
  </sheetPr>
  <dimension ref="A1:CE29"/>
  <sheetViews>
    <sheetView zoomScaleNormal="100" zoomScaleSheetLayoutView="50" workbookViewId="0">
      <pane xSplit="1" ySplit="3" topLeftCell="B19" activePane="bottomRight" state="frozenSplit"/>
      <selection pane="topRight" activeCell="B1" sqref="B1"/>
      <selection pane="bottomLeft" activeCell="A3" sqref="A3"/>
      <selection pane="bottomRight" activeCell="CE8" sqref="CE8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78" width="9.08984375" style="432"/>
    <col min="79" max="79" width="9.7265625" style="432" bestFit="1" customWidth="1"/>
    <col min="80" max="80" width="9.453125" style="432" bestFit="1" customWidth="1"/>
    <col min="81" max="16384" width="9.08984375" style="432"/>
  </cols>
  <sheetData>
    <row r="1" spans="1:81" ht="20.25" customHeight="1" thickBot="1">
      <c r="A1" s="428" t="s">
        <v>349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1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32">
        <v>2020</v>
      </c>
      <c r="BU2" s="733"/>
      <c r="BV2" s="733"/>
      <c r="BW2" s="733"/>
      <c r="BX2" s="733"/>
      <c r="BY2" s="733"/>
      <c r="BZ2" s="733"/>
      <c r="CA2" s="733"/>
      <c r="CB2" s="733"/>
      <c r="CC2" s="733"/>
    </row>
    <row r="3" spans="1:81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</row>
    <row r="4" spans="1:81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45">
        <v>43</v>
      </c>
      <c r="CA4" s="645">
        <v>41.5</v>
      </c>
      <c r="CB4" s="645">
        <v>41.5</v>
      </c>
      <c r="CC4" s="645">
        <v>42.5</v>
      </c>
    </row>
    <row r="5" spans="1:81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45">
        <v>43.25</v>
      </c>
      <c r="CA5" s="645">
        <v>40.1</v>
      </c>
      <c r="CB5" s="645">
        <v>39</v>
      </c>
      <c r="CC5" s="645">
        <v>39.299999999999997</v>
      </c>
    </row>
    <row r="6" spans="1:81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5">
        <v>401.25</v>
      </c>
      <c r="CA6" s="645">
        <v>372.90000000000003</v>
      </c>
      <c r="CB6" s="645">
        <v>363</v>
      </c>
      <c r="CC6" s="645">
        <v>365.7</v>
      </c>
    </row>
    <row r="7" spans="1:81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C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6">
        <f t="shared" si="13"/>
        <v>352.5</v>
      </c>
      <c r="CB7" s="596">
        <f t="shared" si="13"/>
        <v>360</v>
      </c>
      <c r="CC7" s="596">
        <f t="shared" si="13"/>
        <v>370</v>
      </c>
    </row>
    <row r="8" spans="1:81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57">
        <v>360</v>
      </c>
      <c r="CB8" s="657">
        <v>365</v>
      </c>
      <c r="CC8" s="657">
        <v>370</v>
      </c>
    </row>
    <row r="9" spans="1:81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57">
        <v>345</v>
      </c>
      <c r="CB9" s="657">
        <v>355</v>
      </c>
      <c r="CC9" s="657">
        <v>370</v>
      </c>
    </row>
    <row r="10" spans="1:81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C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651">
        <f t="shared" si="14"/>
        <v>51.25</v>
      </c>
      <c r="CA10" s="651">
        <f t="shared" si="14"/>
        <v>20.400000000000034</v>
      </c>
      <c r="CB10" s="651">
        <f t="shared" si="14"/>
        <v>3</v>
      </c>
      <c r="CC10" s="651">
        <f t="shared" si="14"/>
        <v>-4.3000000000000114</v>
      </c>
    </row>
    <row r="11" spans="1:81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1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C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</row>
    <row r="13" spans="1:81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C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0">
        <f t="shared" si="28"/>
        <v>-12.827586206896552</v>
      </c>
      <c r="CA13" s="650">
        <f t="shared" si="28"/>
        <v>-11.112068965517242</v>
      </c>
      <c r="CB13" s="650">
        <f t="shared" si="28"/>
        <v>-10.46551724137931</v>
      </c>
      <c r="CC13" s="650">
        <f t="shared" si="28"/>
        <v>-10.603448275862068</v>
      </c>
    </row>
    <row r="14" spans="1:81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1" s="507" customFormat="1" ht="31.5" customHeight="1">
      <c r="A15" s="654" t="s">
        <v>350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1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344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335</v>
      </c>
      <c r="BU20" s="719"/>
      <c r="BV20" s="719"/>
      <c r="BW20" s="719"/>
      <c r="BX20" s="719"/>
      <c r="BY20" s="720"/>
      <c r="BZ20" s="718" t="s">
        <v>347</v>
      </c>
      <c r="CA20" s="719"/>
      <c r="CB20" s="719"/>
      <c r="CC20" s="719"/>
      <c r="CD20" s="719"/>
      <c r="CE20" s="720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345</v>
      </c>
      <c r="BU21" s="719"/>
      <c r="BV21" s="719"/>
      <c r="BW21" s="719"/>
      <c r="BX21" s="719"/>
      <c r="BY21" s="720"/>
      <c r="BZ21" s="718" t="s">
        <v>348</v>
      </c>
      <c r="CA21" s="719"/>
      <c r="CB21" s="719"/>
      <c r="CC21" s="719"/>
      <c r="CD21" s="719"/>
      <c r="CE21" s="720"/>
    </row>
    <row r="22" spans="4:83" ht="45.7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18" t="s">
        <v>346</v>
      </c>
      <c r="BU22" s="719"/>
      <c r="BV22" s="719"/>
      <c r="BW22" s="719"/>
      <c r="BX22" s="719"/>
      <c r="BY22" s="720"/>
      <c r="BZ22" s="718"/>
      <c r="CA22" s="719"/>
      <c r="CB22" s="719"/>
      <c r="CC22" s="719"/>
      <c r="CD22" s="719"/>
      <c r="CE22" s="720"/>
    </row>
    <row r="23" spans="4:83">
      <c r="BZ23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6">
    <mergeCell ref="AV2:BG2"/>
    <mergeCell ref="B2:M2"/>
    <mergeCell ref="N2:R2"/>
    <mergeCell ref="S2:AD2"/>
    <mergeCell ref="AE2:AI2"/>
    <mergeCell ref="AJ2:AU2"/>
    <mergeCell ref="BT21:BY21"/>
    <mergeCell ref="BZ21:CE21"/>
    <mergeCell ref="BT22:BY22"/>
    <mergeCell ref="BZ22:CE22"/>
    <mergeCell ref="BH2:BS2"/>
    <mergeCell ref="BT2:CC2"/>
    <mergeCell ref="BT19:BY19"/>
    <mergeCell ref="BZ19:CE19"/>
    <mergeCell ref="BT20:BY20"/>
    <mergeCell ref="BZ20:CE20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70C0"/>
    <pageSetUpPr fitToPage="1"/>
  </sheetPr>
  <dimension ref="A1:CE29"/>
  <sheetViews>
    <sheetView zoomScaleNormal="100" zoomScaleSheetLayoutView="50" workbookViewId="0">
      <pane xSplit="1" ySplit="3" topLeftCell="B19" activePane="bottomRight" state="frozenSplit"/>
      <selection pane="topRight" activeCell="B1" sqref="B1"/>
      <selection pane="bottomLeft" activeCell="A3" sqref="A3"/>
      <selection pane="bottomRight" activeCell="BZ22" sqref="BZ22:CE22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78" width="9.08984375" style="432"/>
    <col min="79" max="79" width="9.7265625" style="432" bestFit="1" customWidth="1"/>
    <col min="80" max="80" width="9.453125" style="432" bestFit="1" customWidth="1"/>
    <col min="81" max="81" width="9.08984375" style="432"/>
    <col min="82" max="82" width="9.90625" style="432" bestFit="1" customWidth="1"/>
    <col min="83" max="16384" width="9.08984375" style="432"/>
  </cols>
  <sheetData>
    <row r="1" spans="1:82" ht="20.25" customHeight="1" thickBot="1">
      <c r="A1" s="428" t="s">
        <v>351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2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</row>
    <row r="3" spans="1:82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</row>
    <row r="4" spans="1:82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45">
        <v>42.5</v>
      </c>
      <c r="CB4" s="645">
        <v>43.2</v>
      </c>
      <c r="CC4" s="645">
        <v>44</v>
      </c>
      <c r="CD4" s="645">
        <v>45</v>
      </c>
    </row>
    <row r="5" spans="1:82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45">
        <v>40.299999999999997</v>
      </c>
      <c r="CB5" s="645">
        <v>40.200000000000003</v>
      </c>
      <c r="CC5" s="645">
        <v>41.1</v>
      </c>
      <c r="CD5" s="645">
        <v>42.4</v>
      </c>
    </row>
    <row r="6" spans="1:82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5">
        <v>372.90000000000003</v>
      </c>
      <c r="CB6" s="645">
        <v>363</v>
      </c>
      <c r="CC6" s="645">
        <v>365.7</v>
      </c>
      <c r="CD6" s="645">
        <v>365.7</v>
      </c>
    </row>
    <row r="7" spans="1:82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C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6">
        <f t="shared" si="13"/>
        <v>355</v>
      </c>
      <c r="CB7" s="596">
        <f t="shared" si="13"/>
        <v>360</v>
      </c>
      <c r="CC7" s="596">
        <f t="shared" si="13"/>
        <v>367.5</v>
      </c>
      <c r="CD7" s="596">
        <f t="shared" ref="CD7" si="14">(CD8+CD9)/2</f>
        <v>377.5</v>
      </c>
    </row>
    <row r="8" spans="1:82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57">
        <v>365</v>
      </c>
      <c r="CC8" s="657">
        <v>370</v>
      </c>
      <c r="CD8" s="657">
        <v>380</v>
      </c>
    </row>
    <row r="9" spans="1:82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57">
        <v>355</v>
      </c>
      <c r="CC9" s="657">
        <v>365</v>
      </c>
      <c r="CD9" s="657">
        <v>375</v>
      </c>
    </row>
    <row r="10" spans="1:82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C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651">
        <f t="shared" si="15"/>
        <v>17.900000000000034</v>
      </c>
      <c r="CB10" s="651">
        <f t="shared" si="15"/>
        <v>3</v>
      </c>
      <c r="CC10" s="651">
        <f t="shared" si="15"/>
        <v>-1.8000000000000114</v>
      </c>
      <c r="CD10" s="651">
        <f t="shared" ref="CD10" si="16">CD6-CD7</f>
        <v>-11.800000000000011</v>
      </c>
    </row>
    <row r="11" spans="1:82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2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C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si="17"/>
        <v>44105</v>
      </c>
      <c r="CD12" s="623">
        <f t="shared" ref="CD12" si="18">CD3</f>
        <v>44136</v>
      </c>
    </row>
    <row r="13" spans="1:82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C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6">
        <f t="shared" si="31"/>
        <v>-11.479655172413793</v>
      </c>
      <c r="BZ13" s="656">
        <f t="shared" si="31"/>
        <v>-12.827586206896552</v>
      </c>
      <c r="CA13" s="650">
        <f t="shared" si="31"/>
        <v>-11.896551724137929</v>
      </c>
      <c r="CB13" s="650">
        <f t="shared" si="31"/>
        <v>-12.165517241379312</v>
      </c>
      <c r="CC13" s="650">
        <f t="shared" si="31"/>
        <v>-12.318965517241377</v>
      </c>
      <c r="CD13" s="650">
        <f t="shared" ref="CD13" si="32">(CD7/11.6)-CD4</f>
        <v>-12.456896551724135</v>
      </c>
    </row>
    <row r="14" spans="1:82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82" s="507" customFormat="1" ht="31.5" customHeight="1">
      <c r="A15" s="654" t="s">
        <v>352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2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353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354</v>
      </c>
      <c r="BU20" s="719"/>
      <c r="BV20" s="719"/>
      <c r="BW20" s="719"/>
      <c r="BX20" s="719"/>
      <c r="BY20" s="720"/>
      <c r="BZ20" s="718" t="s">
        <v>356</v>
      </c>
      <c r="CA20" s="719"/>
      <c r="CB20" s="719"/>
      <c r="CC20" s="719"/>
      <c r="CD20" s="719"/>
      <c r="CE20" s="720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355</v>
      </c>
      <c r="BU21" s="719"/>
      <c r="BV21" s="719"/>
      <c r="BW21" s="719"/>
      <c r="BX21" s="719"/>
      <c r="BY21" s="720"/>
      <c r="BZ21" s="718" t="s">
        <v>347</v>
      </c>
      <c r="CA21" s="719"/>
      <c r="CB21" s="719"/>
      <c r="CC21" s="719"/>
      <c r="CD21" s="719"/>
      <c r="CE21" s="720"/>
    </row>
    <row r="22" spans="4:83" ht="45.7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18" t="s">
        <v>357</v>
      </c>
      <c r="BU22" s="719"/>
      <c r="BV22" s="719"/>
      <c r="BW22" s="719"/>
      <c r="BX22" s="719"/>
      <c r="BY22" s="720"/>
      <c r="BZ22" s="718" t="s">
        <v>358</v>
      </c>
      <c r="CA22" s="719"/>
      <c r="CB22" s="719"/>
      <c r="CC22" s="719"/>
      <c r="CD22" s="719"/>
      <c r="CE22" s="720"/>
    </row>
    <row r="23" spans="4:83">
      <c r="BZ23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6">
    <mergeCell ref="BT21:BY21"/>
    <mergeCell ref="BZ21:CE21"/>
    <mergeCell ref="BT22:BY22"/>
    <mergeCell ref="BZ22:CE22"/>
    <mergeCell ref="BT2:CD2"/>
    <mergeCell ref="BH2:BS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70C0"/>
    <pageSetUpPr fitToPage="1"/>
  </sheetPr>
  <dimension ref="A1:CE29"/>
  <sheetViews>
    <sheetView zoomScale="85" zoomScaleNormal="85" zoomScaleSheetLayoutView="50" workbookViewId="0">
      <pane xSplit="1" ySplit="3" topLeftCell="B10" activePane="bottomRight" state="frozenSplit"/>
      <selection pane="topRight" activeCell="B1" sqref="B1"/>
      <selection pane="bottomLeft" activeCell="A3" sqref="A3"/>
      <selection pane="bottomRight" activeCell="BZ23" sqref="BZ23:CE23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78" width="9.08984375" style="432"/>
    <col min="79" max="79" width="9.7265625" style="432" bestFit="1" customWidth="1"/>
    <col min="80" max="80" width="9.453125" style="432" bestFit="1" customWidth="1"/>
    <col min="81" max="81" width="9.08984375" style="432"/>
    <col min="82" max="82" width="9.90625" style="432" bestFit="1" customWidth="1"/>
    <col min="83" max="16384" width="9.08984375" style="432"/>
  </cols>
  <sheetData>
    <row r="1" spans="1:82" ht="20.25" customHeight="1" thickBot="1">
      <c r="A1" s="428" t="s">
        <v>359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2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</row>
    <row r="3" spans="1:82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</row>
    <row r="4" spans="1:82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45">
        <v>43.8</v>
      </c>
      <c r="CB4" s="645">
        <v>43.2</v>
      </c>
      <c r="CC4" s="645">
        <v>43</v>
      </c>
      <c r="CD4" s="645">
        <v>44</v>
      </c>
    </row>
    <row r="5" spans="1:82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45">
        <v>42.3</v>
      </c>
      <c r="CB5" s="645">
        <v>40.700000000000003</v>
      </c>
      <c r="CC5" s="645">
        <v>40</v>
      </c>
      <c r="CD5" s="645">
        <v>41.3</v>
      </c>
    </row>
    <row r="6" spans="1:82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5">
        <v>372.90000000000003</v>
      </c>
      <c r="CB6" s="645">
        <v>363</v>
      </c>
      <c r="CC6" s="645">
        <v>365.7</v>
      </c>
      <c r="CD6" s="645">
        <v>365.7</v>
      </c>
    </row>
    <row r="7" spans="1:82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D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6">
        <f t="shared" si="13"/>
        <v>355</v>
      </c>
      <c r="CB7" s="596">
        <f t="shared" si="13"/>
        <v>360</v>
      </c>
      <c r="CC7" s="596">
        <f t="shared" si="13"/>
        <v>367.5</v>
      </c>
      <c r="CD7" s="596">
        <f t="shared" si="13"/>
        <v>377.5</v>
      </c>
    </row>
    <row r="8" spans="1:82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57">
        <v>365</v>
      </c>
      <c r="CC8" s="657">
        <v>370</v>
      </c>
      <c r="CD8" s="657">
        <v>380</v>
      </c>
    </row>
    <row r="9" spans="1:82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57">
        <v>355</v>
      </c>
      <c r="CC9" s="657">
        <v>365</v>
      </c>
      <c r="CD9" s="657">
        <v>375</v>
      </c>
    </row>
    <row r="10" spans="1:82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D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651">
        <f t="shared" si="14"/>
        <v>17.900000000000034</v>
      </c>
      <c r="CB10" s="651">
        <f t="shared" si="14"/>
        <v>3</v>
      </c>
      <c r="CC10" s="651">
        <f t="shared" si="14"/>
        <v>-1.8000000000000114</v>
      </c>
      <c r="CD10" s="651">
        <f t="shared" si="14"/>
        <v>-11.800000000000011</v>
      </c>
    </row>
    <row r="11" spans="1:82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2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</row>
    <row r="13" spans="1:82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D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0">
        <f t="shared" si="28"/>
        <v>-13.196551724137926</v>
      </c>
      <c r="CB13" s="650">
        <f t="shared" si="28"/>
        <v>-12.165517241379312</v>
      </c>
      <c r="CC13" s="650">
        <f t="shared" si="28"/>
        <v>-11.318965517241377</v>
      </c>
      <c r="CD13" s="650">
        <f t="shared" si="28"/>
        <v>-11.456896551724135</v>
      </c>
    </row>
    <row r="14" spans="1:82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2" s="507" customFormat="1" ht="31.5" customHeight="1">
      <c r="A15" s="654" t="s">
        <v>352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2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353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360</v>
      </c>
      <c r="BU20" s="719"/>
      <c r="BV20" s="719"/>
      <c r="BW20" s="719"/>
      <c r="BX20" s="719"/>
      <c r="BY20" s="720"/>
      <c r="BZ20" s="718" t="s">
        <v>356</v>
      </c>
      <c r="CA20" s="719"/>
      <c r="CB20" s="719"/>
      <c r="CC20" s="719"/>
      <c r="CD20" s="719"/>
      <c r="CE20" s="720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355</v>
      </c>
      <c r="BU21" s="719"/>
      <c r="BV21" s="719"/>
      <c r="BW21" s="719"/>
      <c r="BX21" s="719"/>
      <c r="BY21" s="720"/>
      <c r="BZ21" s="718" t="s">
        <v>347</v>
      </c>
      <c r="CA21" s="719"/>
      <c r="CB21" s="719"/>
      <c r="CC21" s="719"/>
      <c r="CD21" s="719"/>
      <c r="CE21" s="720"/>
    </row>
    <row r="22" spans="4:83" ht="66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18" t="s">
        <v>361</v>
      </c>
      <c r="BU22" s="719"/>
      <c r="BV22" s="719"/>
      <c r="BW22" s="719"/>
      <c r="BX22" s="719"/>
      <c r="BY22" s="720"/>
      <c r="BZ22" s="718" t="s">
        <v>358</v>
      </c>
      <c r="CA22" s="719"/>
      <c r="CB22" s="719"/>
      <c r="CC22" s="719"/>
      <c r="CD22" s="719"/>
      <c r="CE22" s="720"/>
    </row>
    <row r="23" spans="4:83" ht="31.5" customHeight="1">
      <c r="BT23" s="718"/>
      <c r="BU23" s="719"/>
      <c r="BV23" s="719"/>
      <c r="BW23" s="719"/>
      <c r="BX23" s="719"/>
      <c r="BY23" s="720"/>
      <c r="BZ23" s="718" t="s">
        <v>362</v>
      </c>
      <c r="CA23" s="719"/>
      <c r="CB23" s="719"/>
      <c r="CC23" s="719"/>
      <c r="CD23" s="719"/>
      <c r="CE23" s="720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8">
    <mergeCell ref="AV2:BG2"/>
    <mergeCell ref="B2:M2"/>
    <mergeCell ref="N2:R2"/>
    <mergeCell ref="S2:AD2"/>
    <mergeCell ref="AE2:AI2"/>
    <mergeCell ref="AJ2:AU2"/>
    <mergeCell ref="BH2:BS2"/>
    <mergeCell ref="BT2:CD2"/>
    <mergeCell ref="BT19:BY19"/>
    <mergeCell ref="BZ19:CE19"/>
    <mergeCell ref="BT20:BY20"/>
    <mergeCell ref="BZ20:CE20"/>
    <mergeCell ref="BT21:BY21"/>
    <mergeCell ref="BZ21:CE21"/>
    <mergeCell ref="BT22:BY22"/>
    <mergeCell ref="BZ22:CE22"/>
    <mergeCell ref="BZ23:CE23"/>
    <mergeCell ref="BT23:BY23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70C0"/>
    <pageSetUpPr fitToPage="1"/>
  </sheetPr>
  <dimension ref="A1:CE28"/>
  <sheetViews>
    <sheetView zoomScale="85" zoomScaleNormal="85" zoomScaleSheetLayoutView="50" workbookViewId="0">
      <pane xSplit="1" ySplit="3" topLeftCell="B16" activePane="bottomRight" state="frozenSplit"/>
      <selection pane="topRight" activeCell="B1" sqref="B1"/>
      <selection pane="bottomLeft" activeCell="A3" sqref="A3"/>
      <selection pane="bottomRight" activeCell="BZ20" sqref="BZ20:CE20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78" width="9.08984375" style="432"/>
    <col min="79" max="79" width="9.7265625" style="432" bestFit="1" customWidth="1"/>
    <col min="80" max="80" width="9.453125" style="432" bestFit="1" customWidth="1"/>
    <col min="81" max="81" width="9.08984375" style="432"/>
    <col min="82" max="82" width="9.90625" style="432" bestFit="1" customWidth="1"/>
    <col min="83" max="83" width="9.6328125" style="432" bestFit="1" customWidth="1"/>
    <col min="84" max="16384" width="9.08984375" style="432"/>
  </cols>
  <sheetData>
    <row r="1" spans="1:83" ht="20.25" customHeight="1" thickBot="1">
      <c r="A1" s="428" t="s">
        <v>363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3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  <c r="CE2" s="717"/>
    </row>
    <row r="3" spans="1:83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</row>
    <row r="4" spans="1:83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45">
        <v>41</v>
      </c>
      <c r="CC4" s="645">
        <v>41.7</v>
      </c>
      <c r="CD4" s="645">
        <v>42.5</v>
      </c>
      <c r="CE4" s="645">
        <v>43.5</v>
      </c>
    </row>
    <row r="5" spans="1:83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45">
        <v>42</v>
      </c>
      <c r="CC5" s="645">
        <v>41.2</v>
      </c>
      <c r="CD5" s="645">
        <v>41.5</v>
      </c>
      <c r="CE5" s="645">
        <v>42.3</v>
      </c>
    </row>
    <row r="6" spans="1:83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5">
        <v>390</v>
      </c>
      <c r="CC6" s="645">
        <v>382.8</v>
      </c>
      <c r="CD6" s="645">
        <v>385.5</v>
      </c>
      <c r="CE6" s="645">
        <v>392.7</v>
      </c>
    </row>
    <row r="7" spans="1:83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E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6">
        <f t="shared" si="13"/>
        <v>372.5</v>
      </c>
      <c r="CD7" s="596">
        <f t="shared" si="13"/>
        <v>380</v>
      </c>
      <c r="CE7" s="596">
        <f t="shared" si="13"/>
        <v>390</v>
      </c>
    </row>
    <row r="8" spans="1:83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57">
        <v>370</v>
      </c>
      <c r="CD8" s="657">
        <v>375</v>
      </c>
      <c r="CE8" s="657">
        <v>385</v>
      </c>
    </row>
    <row r="9" spans="1:83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57">
        <v>375</v>
      </c>
      <c r="CD9" s="657">
        <v>385</v>
      </c>
      <c r="CE9" s="657">
        <v>395</v>
      </c>
    </row>
    <row r="10" spans="1:83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D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651">
        <f t="shared" si="14"/>
        <v>43.099999999999909</v>
      </c>
      <c r="CB10" s="651">
        <f t="shared" si="14"/>
        <v>30</v>
      </c>
      <c r="CC10" s="651">
        <f t="shared" si="14"/>
        <v>10.300000000000011</v>
      </c>
      <c r="CD10" s="651">
        <f t="shared" si="14"/>
        <v>5.5</v>
      </c>
      <c r="CE10" s="651"/>
    </row>
    <row r="11" spans="1:83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3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</row>
    <row r="13" spans="1:83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E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0">
        <f t="shared" si="28"/>
        <v>-9.9655172413793096</v>
      </c>
      <c r="CC13" s="650">
        <f t="shared" si="28"/>
        <v>-9.5879310344827573</v>
      </c>
      <c r="CD13" s="650">
        <f t="shared" si="28"/>
        <v>-9.7413793103448256</v>
      </c>
      <c r="CE13" s="650">
        <f t="shared" si="28"/>
        <v>-9.8793103448275872</v>
      </c>
    </row>
    <row r="14" spans="1:83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3" s="507" customFormat="1" ht="31.5" customHeight="1">
      <c r="A15" s="654" t="s">
        <v>364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3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365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360</v>
      </c>
      <c r="BU20" s="719"/>
      <c r="BV20" s="719"/>
      <c r="BW20" s="719"/>
      <c r="BX20" s="719"/>
      <c r="BY20" s="720"/>
      <c r="BZ20" s="718" t="s">
        <v>356</v>
      </c>
      <c r="CA20" s="719"/>
      <c r="CB20" s="719"/>
      <c r="CC20" s="719"/>
      <c r="CD20" s="719"/>
      <c r="CE20" s="720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367</v>
      </c>
      <c r="BU21" s="719"/>
      <c r="BV21" s="719"/>
      <c r="BW21" s="719"/>
      <c r="BX21" s="719"/>
      <c r="BY21" s="720"/>
      <c r="BZ21" s="718" t="s">
        <v>347</v>
      </c>
      <c r="CA21" s="719"/>
      <c r="CB21" s="719"/>
      <c r="CC21" s="719"/>
      <c r="CD21" s="719"/>
      <c r="CE21" s="720"/>
    </row>
    <row r="22" spans="4:83" ht="66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18" t="s">
        <v>366</v>
      </c>
      <c r="BU22" s="719"/>
      <c r="BV22" s="719"/>
      <c r="BW22" s="719"/>
      <c r="BX22" s="719"/>
      <c r="BY22" s="720"/>
      <c r="BZ22" s="718" t="s">
        <v>368</v>
      </c>
      <c r="CA22" s="719"/>
      <c r="CB22" s="719"/>
      <c r="CC22" s="719"/>
      <c r="CD22" s="719"/>
      <c r="CE22" s="720"/>
    </row>
    <row r="23" spans="4:83">
      <c r="BT23" s="659"/>
      <c r="BZ23"/>
    </row>
    <row r="24" spans="4:83">
      <c r="BZ24"/>
    </row>
    <row r="25" spans="4:83">
      <c r="BT25" s="620" t="s">
        <v>251</v>
      </c>
      <c r="BZ25"/>
    </row>
    <row r="26" spans="4:83">
      <c r="AV26" s="619"/>
      <c r="BT26" s="619" t="s">
        <v>320</v>
      </c>
    </row>
    <row r="27" spans="4:83">
      <c r="BT27" s="619" t="s">
        <v>319</v>
      </c>
    </row>
    <row r="28" spans="4:83">
      <c r="BH28" s="619"/>
      <c r="BT28" s="619"/>
    </row>
  </sheetData>
  <mergeCells count="16">
    <mergeCell ref="BT21:BY21"/>
    <mergeCell ref="BZ21:CE21"/>
    <mergeCell ref="BT22:BY22"/>
    <mergeCell ref="BZ22:CE22"/>
    <mergeCell ref="BH2:BS2"/>
    <mergeCell ref="BT19:BY19"/>
    <mergeCell ref="BZ19:CE19"/>
    <mergeCell ref="BT20:BY20"/>
    <mergeCell ref="BZ20:CE20"/>
    <mergeCell ref="BT2:CE2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70C0"/>
    <pageSetUpPr fitToPage="1"/>
  </sheetPr>
  <dimension ref="A1:CE29"/>
  <sheetViews>
    <sheetView zoomScale="85" zoomScaleNormal="85" zoomScaleSheetLayoutView="50" workbookViewId="0">
      <pane xSplit="1" ySplit="3" topLeftCell="B10" activePane="bottomRight" state="frozenSplit"/>
      <selection pane="topRight" activeCell="B1" sqref="B1"/>
      <selection pane="bottomLeft" activeCell="A3" sqref="A3"/>
      <selection pane="bottomRight" activeCell="BT22" sqref="BT22:BY22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78" width="9.08984375" style="432"/>
    <col min="79" max="79" width="9.7265625" style="432" bestFit="1" customWidth="1"/>
    <col min="80" max="80" width="9.453125" style="432" bestFit="1" customWidth="1"/>
    <col min="81" max="81" width="9.08984375" style="432"/>
    <col min="82" max="82" width="9.90625" style="432" bestFit="1" customWidth="1"/>
    <col min="83" max="83" width="9.6328125" style="432" bestFit="1" customWidth="1"/>
    <col min="84" max="16384" width="9.08984375" style="432"/>
  </cols>
  <sheetData>
    <row r="1" spans="1:83" ht="20.25" customHeight="1" thickBot="1">
      <c r="A1" s="428" t="s">
        <v>369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3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  <c r="CE2" s="717"/>
    </row>
    <row r="3" spans="1:83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</row>
    <row r="4" spans="1:83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45">
        <v>41.5</v>
      </c>
      <c r="CC4" s="645">
        <v>41.7</v>
      </c>
      <c r="CD4" s="645">
        <v>42.5</v>
      </c>
      <c r="CE4" s="645">
        <v>43.5</v>
      </c>
    </row>
    <row r="5" spans="1:83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45">
        <v>43</v>
      </c>
      <c r="CC5" s="645">
        <v>42.2</v>
      </c>
      <c r="CD5" s="645">
        <v>42.5</v>
      </c>
      <c r="CE5" s="645">
        <v>43</v>
      </c>
    </row>
    <row r="6" spans="1:83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5">
        <v>390</v>
      </c>
      <c r="CC6" s="645">
        <v>382.8</v>
      </c>
      <c r="CD6" s="645">
        <v>385.5</v>
      </c>
      <c r="CE6" s="645">
        <v>392.7</v>
      </c>
    </row>
    <row r="7" spans="1:83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E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6">
        <f t="shared" si="13"/>
        <v>367.5</v>
      </c>
      <c r="CD7" s="596">
        <f t="shared" si="13"/>
        <v>380</v>
      </c>
      <c r="CE7" s="596">
        <f t="shared" si="13"/>
        <v>390</v>
      </c>
    </row>
    <row r="8" spans="1:83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57">
        <v>365</v>
      </c>
      <c r="CD8" s="657">
        <v>375</v>
      </c>
      <c r="CE8" s="657">
        <v>385</v>
      </c>
    </row>
    <row r="9" spans="1:83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57">
        <v>370</v>
      </c>
      <c r="CD9" s="657">
        <v>385</v>
      </c>
      <c r="CE9" s="657">
        <v>395</v>
      </c>
    </row>
    <row r="10" spans="1:83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D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651">
        <f t="shared" si="14"/>
        <v>43.099999999999909</v>
      </c>
      <c r="CB10" s="651">
        <f t="shared" si="14"/>
        <v>30</v>
      </c>
      <c r="CC10" s="651">
        <f t="shared" si="14"/>
        <v>15.300000000000011</v>
      </c>
      <c r="CD10" s="651">
        <f t="shared" si="14"/>
        <v>5.5</v>
      </c>
      <c r="CE10" s="651"/>
    </row>
    <row r="11" spans="1:83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3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</row>
    <row r="13" spans="1:83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E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0">
        <f t="shared" si="28"/>
        <v>-10.46551724137931</v>
      </c>
      <c r="CC13" s="650">
        <f t="shared" si="28"/>
        <v>-10.01896551724138</v>
      </c>
      <c r="CD13" s="650">
        <f t="shared" si="28"/>
        <v>-9.7413793103448256</v>
      </c>
      <c r="CE13" s="650">
        <f t="shared" si="28"/>
        <v>-9.8793103448275872</v>
      </c>
    </row>
    <row r="14" spans="1:83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3" s="507" customFormat="1" ht="31.5" customHeight="1">
      <c r="A15" s="654" t="s">
        <v>370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3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365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50.25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360</v>
      </c>
      <c r="BU20" s="719"/>
      <c r="BV20" s="719"/>
      <c r="BW20" s="719"/>
      <c r="BX20" s="719"/>
      <c r="BY20" s="720"/>
      <c r="BZ20" s="718" t="s">
        <v>347</v>
      </c>
      <c r="CA20" s="719"/>
      <c r="CB20" s="719"/>
      <c r="CC20" s="719"/>
      <c r="CD20" s="719"/>
      <c r="CE20" s="720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367</v>
      </c>
      <c r="BU21" s="719"/>
      <c r="BV21" s="719"/>
      <c r="BW21" s="719"/>
      <c r="BX21" s="719"/>
      <c r="BY21" s="720"/>
      <c r="BZ21" s="718" t="s">
        <v>362</v>
      </c>
      <c r="CA21" s="719"/>
      <c r="CB21" s="719"/>
      <c r="CC21" s="719"/>
      <c r="CD21" s="719"/>
      <c r="CE21" s="720"/>
    </row>
    <row r="22" spans="4:83" ht="66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18" t="s">
        <v>366</v>
      </c>
      <c r="BU22" s="719"/>
      <c r="BV22" s="719"/>
      <c r="BW22" s="719"/>
      <c r="BX22" s="719"/>
      <c r="BY22" s="720"/>
      <c r="BZ22" s="718" t="s">
        <v>356</v>
      </c>
      <c r="CA22" s="719"/>
      <c r="CB22" s="719"/>
      <c r="CC22" s="719"/>
      <c r="CD22" s="719"/>
      <c r="CE22" s="720"/>
    </row>
    <row r="23" spans="4:83" ht="66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B23" s="643"/>
      <c r="BT23" s="718" t="s">
        <v>371</v>
      </c>
      <c r="BU23" s="719"/>
      <c r="BV23" s="719"/>
      <c r="BW23" s="719"/>
      <c r="BX23" s="719"/>
      <c r="BY23" s="720"/>
      <c r="BZ23" s="718"/>
      <c r="CA23" s="719"/>
      <c r="CB23" s="719"/>
      <c r="CC23" s="719"/>
      <c r="CD23" s="719"/>
      <c r="CE23" s="720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8">
    <mergeCell ref="AV2:BG2"/>
    <mergeCell ref="B2:M2"/>
    <mergeCell ref="N2:R2"/>
    <mergeCell ref="S2:AD2"/>
    <mergeCell ref="AE2:AI2"/>
    <mergeCell ref="AJ2:AU2"/>
    <mergeCell ref="BH2:BS2"/>
    <mergeCell ref="BT2:CE2"/>
    <mergeCell ref="BT19:BY19"/>
    <mergeCell ref="BZ19:CE19"/>
    <mergeCell ref="BT20:BY20"/>
    <mergeCell ref="BZ20:CE20"/>
    <mergeCell ref="BT21:BY21"/>
    <mergeCell ref="BZ21:CE21"/>
    <mergeCell ref="BT22:BY22"/>
    <mergeCell ref="BZ22:CE22"/>
    <mergeCell ref="BT23:BY23"/>
    <mergeCell ref="BZ23:CE23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70C0"/>
    <pageSetUpPr fitToPage="1"/>
  </sheetPr>
  <dimension ref="A1:CF28"/>
  <sheetViews>
    <sheetView zoomScale="85" zoomScaleNormal="85" zoomScaleSheetLayoutView="50" workbookViewId="0">
      <pane xSplit="1" ySplit="3" topLeftCell="B19" activePane="bottomRight" state="frozenSplit"/>
      <selection pane="topRight" activeCell="B1" sqref="B1"/>
      <selection pane="bottomLeft" activeCell="A3" sqref="A3"/>
      <selection pane="bottomRight" activeCell="CD16" sqref="CD16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78" width="9.08984375" style="432"/>
    <col min="79" max="79" width="9.7265625" style="432" bestFit="1" customWidth="1"/>
    <col min="80" max="80" width="9.453125" style="432" bestFit="1" customWidth="1"/>
    <col min="81" max="81" width="9.08984375" style="432"/>
    <col min="82" max="82" width="9.90625" style="432" bestFit="1" customWidth="1"/>
    <col min="83" max="83" width="9.6328125" style="432" bestFit="1" customWidth="1"/>
    <col min="84" max="16384" width="9.08984375" style="432"/>
  </cols>
  <sheetData>
    <row r="1" spans="1:84" ht="20.25" customHeight="1" thickBot="1">
      <c r="A1" s="428" t="s">
        <v>372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4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  <c r="CE2" s="717"/>
      <c r="CF2" s="665">
        <v>2021</v>
      </c>
    </row>
    <row r="3" spans="1:84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</row>
    <row r="4" spans="1:84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45">
        <v>41</v>
      </c>
      <c r="CD4" s="645">
        <v>42</v>
      </c>
      <c r="CE4" s="645">
        <v>43</v>
      </c>
      <c r="CF4" s="664">
        <v>45</v>
      </c>
    </row>
    <row r="5" spans="1:84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45">
        <v>43.25</v>
      </c>
      <c r="CD5" s="645">
        <v>43</v>
      </c>
      <c r="CE5" s="645">
        <v>43</v>
      </c>
      <c r="CF5" s="664">
        <v>44.5</v>
      </c>
    </row>
    <row r="6" spans="1:84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5">
        <v>401.25</v>
      </c>
      <c r="CD6" s="645">
        <v>399</v>
      </c>
      <c r="CE6" s="645">
        <v>399</v>
      </c>
      <c r="CF6" s="664">
        <v>412.5</v>
      </c>
    </row>
    <row r="7" spans="1:84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F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6">
        <f t="shared" si="13"/>
        <v>420</v>
      </c>
      <c r="CE7" s="596">
        <f t="shared" si="13"/>
        <v>420</v>
      </c>
      <c r="CF7" s="596">
        <f t="shared" si="13"/>
        <v>415</v>
      </c>
    </row>
    <row r="8" spans="1:84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57">
        <v>415</v>
      </c>
      <c r="CE8" s="657">
        <v>415</v>
      </c>
      <c r="CF8" s="666">
        <v>410</v>
      </c>
    </row>
    <row r="9" spans="1:84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57">
        <v>425</v>
      </c>
      <c r="CE9" s="657">
        <v>425</v>
      </c>
      <c r="CF9" s="666">
        <v>420</v>
      </c>
    </row>
    <row r="10" spans="1:84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F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651">
        <f t="shared" si="14"/>
        <v>23.75</v>
      </c>
      <c r="CD10" s="651">
        <f t="shared" si="14"/>
        <v>-21</v>
      </c>
      <c r="CE10" s="651">
        <f t="shared" si="14"/>
        <v>-21</v>
      </c>
      <c r="CF10" s="651">
        <f t="shared" si="14"/>
        <v>-2.5</v>
      </c>
    </row>
    <row r="11" spans="1:84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4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</row>
    <row r="13" spans="1:84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F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0">
        <f t="shared" si="28"/>
        <v>-8.4568965517241352</v>
      </c>
      <c r="CD13" s="650">
        <f t="shared" si="28"/>
        <v>-5.7931034482758577</v>
      </c>
      <c r="CE13" s="650">
        <f t="shared" si="28"/>
        <v>-6.7931034482758577</v>
      </c>
      <c r="CF13" s="650">
        <f t="shared" si="28"/>
        <v>-9.224137931034484</v>
      </c>
    </row>
    <row r="14" spans="1:84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4" s="507" customFormat="1" ht="31.5" customHeight="1">
      <c r="A15" s="654" t="s">
        <v>373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4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374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375</v>
      </c>
      <c r="BU20" s="719"/>
      <c r="BV20" s="719"/>
      <c r="BW20" s="719"/>
      <c r="BX20" s="719"/>
      <c r="BY20" s="720"/>
      <c r="BZ20" s="718" t="s">
        <v>347</v>
      </c>
      <c r="CA20" s="719"/>
      <c r="CB20" s="719"/>
      <c r="CC20" s="719"/>
      <c r="CD20" s="719"/>
      <c r="CE20" s="720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376</v>
      </c>
      <c r="BU21" s="719"/>
      <c r="BV21" s="719"/>
      <c r="BW21" s="719"/>
      <c r="BX21" s="719"/>
      <c r="BY21" s="720"/>
      <c r="BZ21" s="718" t="s">
        <v>362</v>
      </c>
      <c r="CA21" s="719"/>
      <c r="CB21" s="719"/>
      <c r="CC21" s="719"/>
      <c r="CD21" s="719"/>
      <c r="CE21" s="720"/>
    </row>
    <row r="22" spans="4:83" ht="66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18" t="s">
        <v>377</v>
      </c>
      <c r="BU22" s="719"/>
      <c r="BV22" s="719"/>
      <c r="BW22" s="719"/>
      <c r="BX22" s="719"/>
      <c r="BY22" s="720"/>
      <c r="BZ22" s="718" t="s">
        <v>356</v>
      </c>
      <c r="CA22" s="719"/>
      <c r="CB22" s="719"/>
      <c r="CC22" s="719"/>
      <c r="CD22" s="719"/>
      <c r="CE22" s="720"/>
    </row>
    <row r="23" spans="4:83">
      <c r="BT23" s="659"/>
      <c r="BZ23"/>
    </row>
    <row r="24" spans="4:83">
      <c r="BZ24"/>
    </row>
    <row r="25" spans="4:83">
      <c r="BT25" s="620" t="s">
        <v>251</v>
      </c>
      <c r="BZ25"/>
    </row>
    <row r="26" spans="4:83">
      <c r="AV26" s="619"/>
      <c r="BT26" s="619" t="s">
        <v>320</v>
      </c>
    </row>
    <row r="27" spans="4:83">
      <c r="BT27" s="619" t="s">
        <v>319</v>
      </c>
    </row>
    <row r="28" spans="4:83">
      <c r="BH28" s="619"/>
      <c r="BT28" s="619" t="s">
        <v>378</v>
      </c>
    </row>
  </sheetData>
  <mergeCells count="16">
    <mergeCell ref="BT21:BY21"/>
    <mergeCell ref="BZ21:CE21"/>
    <mergeCell ref="BT22:BY22"/>
    <mergeCell ref="BZ22:CE22"/>
    <mergeCell ref="BH2:BS2"/>
    <mergeCell ref="BT2:CE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70C0"/>
    <pageSetUpPr fitToPage="1"/>
  </sheetPr>
  <dimension ref="A1:CF29"/>
  <sheetViews>
    <sheetView zoomScale="85" zoomScaleNormal="85" zoomScaleSheetLayoutView="50" workbookViewId="0">
      <pane xSplit="1" ySplit="3" topLeftCell="B22" activePane="bottomRight" state="frozenSplit"/>
      <selection pane="topRight" activeCell="B1" sqref="B1"/>
      <selection pane="bottomLeft" activeCell="A3" sqref="A3"/>
      <selection pane="bottomRight" activeCell="BT20" sqref="BT20:BY20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78" width="9.08984375" style="432"/>
    <col min="79" max="79" width="9.7265625" style="432" bestFit="1" customWidth="1"/>
    <col min="80" max="80" width="9.453125" style="432" bestFit="1" customWidth="1"/>
    <col min="81" max="81" width="9.08984375" style="432"/>
    <col min="82" max="82" width="9.90625" style="432" bestFit="1" customWidth="1"/>
    <col min="83" max="83" width="9.6328125" style="432" bestFit="1" customWidth="1"/>
    <col min="84" max="16384" width="9.08984375" style="432"/>
  </cols>
  <sheetData>
    <row r="1" spans="1:84" ht="20.25" customHeight="1" thickBot="1">
      <c r="A1" s="428" t="s">
        <v>379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4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  <c r="CE2" s="717"/>
      <c r="CF2" s="665">
        <v>2021</v>
      </c>
    </row>
    <row r="3" spans="1:84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</row>
    <row r="4" spans="1:84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45">
        <v>41.2</v>
      </c>
      <c r="CD4" s="645">
        <v>41.8</v>
      </c>
      <c r="CE4" s="645">
        <v>42.6</v>
      </c>
      <c r="CF4" s="664">
        <v>43.58</v>
      </c>
    </row>
    <row r="5" spans="1:84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45">
        <v>42.5</v>
      </c>
      <c r="CD5" s="645">
        <v>41.924999999999997</v>
      </c>
      <c r="CE5" s="645">
        <v>41.975000000000001</v>
      </c>
      <c r="CF5" s="664">
        <v>42.33</v>
      </c>
    </row>
    <row r="6" spans="1:84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5">
        <v>401.25</v>
      </c>
      <c r="CD6" s="645">
        <v>399</v>
      </c>
      <c r="CE6" s="645">
        <v>399</v>
      </c>
      <c r="CF6" s="664">
        <v>412.5</v>
      </c>
    </row>
    <row r="7" spans="1:84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F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6">
        <f t="shared" si="13"/>
        <v>435</v>
      </c>
      <c r="CE7" s="596">
        <f t="shared" si="13"/>
        <v>435</v>
      </c>
      <c r="CF7" s="596">
        <f t="shared" si="13"/>
        <v>430</v>
      </c>
    </row>
    <row r="8" spans="1:84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57">
        <v>430</v>
      </c>
      <c r="CE8" s="657">
        <v>430</v>
      </c>
      <c r="CF8" s="666">
        <v>425</v>
      </c>
    </row>
    <row r="9" spans="1:84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57">
        <v>440</v>
      </c>
      <c r="CE9" s="657">
        <v>440</v>
      </c>
      <c r="CF9" s="666">
        <v>435</v>
      </c>
    </row>
    <row r="10" spans="1:84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F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651">
        <f t="shared" si="14"/>
        <v>23.75</v>
      </c>
      <c r="CD10" s="651">
        <f t="shared" si="14"/>
        <v>-36</v>
      </c>
      <c r="CE10" s="651">
        <f t="shared" si="14"/>
        <v>-36</v>
      </c>
      <c r="CF10" s="651">
        <f t="shared" si="14"/>
        <v>-17.5</v>
      </c>
    </row>
    <row r="11" spans="1:84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4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</row>
    <row r="13" spans="1:84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F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0">
        <f t="shared" si="28"/>
        <v>-8.6568965517241381</v>
      </c>
      <c r="CD13" s="650">
        <f t="shared" si="28"/>
        <v>-4.2999999999999972</v>
      </c>
      <c r="CE13" s="650">
        <f t="shared" si="28"/>
        <v>-5.1000000000000014</v>
      </c>
      <c r="CF13" s="650">
        <f t="shared" si="28"/>
        <v>-6.5110344827586175</v>
      </c>
    </row>
    <row r="14" spans="1:84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4" s="507" customFormat="1" ht="31.5" customHeight="1">
      <c r="A15" s="654" t="s">
        <v>380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4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374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375</v>
      </c>
      <c r="BU20" s="719"/>
      <c r="BV20" s="719"/>
      <c r="BW20" s="719"/>
      <c r="BX20" s="719"/>
      <c r="BY20" s="720"/>
      <c r="BZ20" s="718" t="s">
        <v>347</v>
      </c>
      <c r="CA20" s="719"/>
      <c r="CB20" s="719"/>
      <c r="CC20" s="719"/>
      <c r="CD20" s="719"/>
      <c r="CE20" s="720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376</v>
      </c>
      <c r="BU21" s="719"/>
      <c r="BV21" s="719"/>
      <c r="BW21" s="719"/>
      <c r="BX21" s="719"/>
      <c r="BY21" s="720"/>
      <c r="BZ21" s="718" t="s">
        <v>362</v>
      </c>
      <c r="CA21" s="719"/>
      <c r="CB21" s="719"/>
      <c r="CC21" s="719"/>
      <c r="CD21" s="719"/>
      <c r="CE21" s="720"/>
    </row>
    <row r="22" spans="4:83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18" t="s">
        <v>366</v>
      </c>
      <c r="BU22" s="719"/>
      <c r="BV22" s="719"/>
      <c r="BW22" s="719"/>
      <c r="BX22" s="719"/>
      <c r="BY22" s="720"/>
      <c r="BZ22" s="718" t="s">
        <v>356</v>
      </c>
      <c r="CA22" s="719"/>
      <c r="CB22" s="719"/>
      <c r="CC22" s="719"/>
      <c r="CD22" s="719"/>
      <c r="CE22" s="720"/>
    </row>
    <row r="23" spans="4:83" ht="129.7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B23" s="643"/>
      <c r="BT23" s="718" t="s">
        <v>381</v>
      </c>
      <c r="BU23" s="719"/>
      <c r="BV23" s="719"/>
      <c r="BW23" s="719"/>
      <c r="BX23" s="719"/>
      <c r="BY23" s="720"/>
      <c r="BZ23" s="718"/>
      <c r="CA23" s="719"/>
      <c r="CB23" s="719"/>
      <c r="CC23" s="719"/>
      <c r="CD23" s="719"/>
      <c r="CE23" s="720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 t="s">
        <v>378</v>
      </c>
    </row>
  </sheetData>
  <mergeCells count="18">
    <mergeCell ref="AV2:BG2"/>
    <mergeCell ref="B2:M2"/>
    <mergeCell ref="N2:R2"/>
    <mergeCell ref="S2:AD2"/>
    <mergeCell ref="AE2:AI2"/>
    <mergeCell ref="AJ2:AU2"/>
    <mergeCell ref="BH2:BS2"/>
    <mergeCell ref="BT2:CE2"/>
    <mergeCell ref="BT19:BY19"/>
    <mergeCell ref="BZ19:CE19"/>
    <mergeCell ref="BT20:BY20"/>
    <mergeCell ref="BZ20:CE20"/>
    <mergeCell ref="BT21:BY21"/>
    <mergeCell ref="BZ21:CE21"/>
    <mergeCell ref="BT22:BY22"/>
    <mergeCell ref="BZ22:CE22"/>
    <mergeCell ref="BT23:BY23"/>
    <mergeCell ref="BZ23:CE23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70C0"/>
    <pageSetUpPr fitToPage="1"/>
  </sheetPr>
  <dimension ref="A1:CG28"/>
  <sheetViews>
    <sheetView zoomScale="85" zoomScaleNormal="85" zoomScaleSheetLayoutView="50" workbookViewId="0">
      <pane xSplit="1" ySplit="3" topLeftCell="BT16" activePane="bottomRight" state="frozenSplit"/>
      <selection pane="topRight" activeCell="B1" sqref="B1"/>
      <selection pane="bottomLeft" activeCell="A3" sqref="A3"/>
      <selection pane="bottomRight" activeCell="BV18" sqref="BV18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78" width="9.08984375" style="432"/>
    <col min="79" max="79" width="9.7265625" style="432" bestFit="1" customWidth="1"/>
    <col min="80" max="80" width="9.453125" style="432" bestFit="1" customWidth="1"/>
    <col min="81" max="81" width="9.08984375" style="432"/>
    <col min="82" max="82" width="9.90625" style="432" bestFit="1" customWidth="1"/>
    <col min="83" max="83" width="9.6328125" style="432" bestFit="1" customWidth="1"/>
    <col min="84" max="84" width="9.08984375" style="432"/>
    <col min="85" max="85" width="9.453125" style="432" bestFit="1" customWidth="1"/>
    <col min="86" max="16384" width="9.08984375" style="432"/>
  </cols>
  <sheetData>
    <row r="1" spans="1:85" ht="20.25" customHeight="1" thickBot="1">
      <c r="A1" s="428" t="s">
        <v>383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5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  <c r="CE2" s="717"/>
      <c r="CF2" s="736">
        <v>2021</v>
      </c>
      <c r="CG2" s="736"/>
    </row>
    <row r="3" spans="1:85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</row>
    <row r="4" spans="1:85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45">
        <v>40.200000000000003</v>
      </c>
      <c r="CE4" s="645">
        <v>41.3</v>
      </c>
      <c r="CF4" s="664">
        <v>42</v>
      </c>
      <c r="CG4" s="664">
        <v>42.8</v>
      </c>
    </row>
    <row r="5" spans="1:85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45">
        <v>39.900000000000006</v>
      </c>
      <c r="CE5" s="645">
        <v>40.799999999999997</v>
      </c>
      <c r="CF5" s="664">
        <v>41.174999999999997</v>
      </c>
      <c r="CG5" s="664">
        <v>41.674999999999997</v>
      </c>
    </row>
    <row r="6" spans="1:85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45">
        <v>371.1</v>
      </c>
      <c r="CE6" s="645">
        <v>379.2</v>
      </c>
      <c r="CF6" s="664">
        <v>382.57499999999999</v>
      </c>
      <c r="CG6" s="664">
        <v>387.07499999999999</v>
      </c>
    </row>
    <row r="7" spans="1:85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F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596">
        <f t="shared" si="13"/>
        <v>445</v>
      </c>
      <c r="CF7" s="596">
        <f t="shared" si="13"/>
        <v>440</v>
      </c>
      <c r="CG7" s="596">
        <f t="shared" ref="CG7" si="14">(CG8+CG9)/2</f>
        <v>422.5</v>
      </c>
    </row>
    <row r="8" spans="1:85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57">
        <v>440</v>
      </c>
      <c r="CF8" s="666">
        <v>435</v>
      </c>
      <c r="CG8" s="666">
        <v>415</v>
      </c>
    </row>
    <row r="9" spans="1:85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57">
        <v>450</v>
      </c>
      <c r="CF9" s="666">
        <v>445</v>
      </c>
      <c r="CG9" s="666">
        <v>430</v>
      </c>
    </row>
    <row r="10" spans="1:85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F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-63.899999999999977</v>
      </c>
      <c r="CE10" s="651">
        <f t="shared" si="15"/>
        <v>-65.800000000000011</v>
      </c>
      <c r="CF10" s="651">
        <f t="shared" si="15"/>
        <v>-57.425000000000011</v>
      </c>
      <c r="CG10" s="651">
        <f t="shared" ref="CG10" si="16">CG6-CG7</f>
        <v>-35.425000000000011</v>
      </c>
    </row>
    <row r="11" spans="1:85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5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si="17"/>
        <v>44105</v>
      </c>
      <c r="CD12" s="623">
        <f t="shared" si="17"/>
        <v>44136</v>
      </c>
      <c r="CE12" s="623">
        <v>44166</v>
      </c>
      <c r="CF12" s="623">
        <v>44197</v>
      </c>
      <c r="CG12" s="623">
        <v>44198</v>
      </c>
    </row>
    <row r="13" spans="1:85" ht="22.5" customHeight="1" thickBot="1">
      <c r="A13" s="484" t="s">
        <v>237</v>
      </c>
      <c r="B13" s="452">
        <f t="shared" ref="B13:M13" si="18">(B7/11.6)-B4</f>
        <v>-7.6432512315270955</v>
      </c>
      <c r="C13" s="453">
        <f t="shared" si="18"/>
        <v>-16.01966379310344</v>
      </c>
      <c r="D13" s="453">
        <f t="shared" si="18"/>
        <v>-12.933589341692787</v>
      </c>
      <c r="E13" s="453">
        <f t="shared" si="18"/>
        <v>-18.549523809523819</v>
      </c>
      <c r="F13" s="453">
        <f t="shared" si="18"/>
        <v>-23.125965517241376</v>
      </c>
      <c r="G13" s="453">
        <f t="shared" si="18"/>
        <v>-25.667405582922832</v>
      </c>
      <c r="H13" s="453">
        <f t="shared" si="18"/>
        <v>-21.0679235382309</v>
      </c>
      <c r="I13" s="453">
        <f t="shared" si="18"/>
        <v>-15.200205254515595</v>
      </c>
      <c r="J13" s="454">
        <f t="shared" si="18"/>
        <v>-17.189435736677126</v>
      </c>
      <c r="K13" s="454">
        <f t="shared" si="18"/>
        <v>-14.631739811912215</v>
      </c>
      <c r="L13" s="455">
        <f t="shared" si="18"/>
        <v>-6.3630131362889983</v>
      </c>
      <c r="M13" s="485">
        <f t="shared" si="18"/>
        <v>5.6571964017990979</v>
      </c>
      <c r="N13" s="452">
        <f t="shared" ref="N13:N14" si="19">AVERAGE(B13:D13)</f>
        <v>-12.198834788774441</v>
      </c>
      <c r="O13" s="453">
        <f t="shared" ref="O13:O14" si="20">AVERAGE(E13:G13)</f>
        <v>-22.447631636562676</v>
      </c>
      <c r="P13" s="453">
        <f t="shared" ref="P13:P14" si="21">AVERAGE(H13:J13)</f>
        <v>-17.81918817647454</v>
      </c>
      <c r="Q13" s="486">
        <f t="shared" ref="Q13:Q14" si="22">AVERAGE(K13:M13)</f>
        <v>-5.112518848800705</v>
      </c>
      <c r="R13" s="487">
        <f t="shared" ref="R13:R14" si="23">AVERAGE(B13:M13)</f>
        <v>-14.39454336265309</v>
      </c>
      <c r="S13" s="456">
        <f t="shared" ref="S13:AD13" si="24">(S7/11.6)-S4</f>
        <v>4.4836034482758613</v>
      </c>
      <c r="T13" s="457">
        <f t="shared" si="24"/>
        <v>-3.7965517241379274</v>
      </c>
      <c r="U13" s="457">
        <f t="shared" si="24"/>
        <v>-9.065517241379311</v>
      </c>
      <c r="V13" s="457">
        <f t="shared" si="24"/>
        <v>-10.407405582922831</v>
      </c>
      <c r="W13" s="457">
        <f t="shared" si="24"/>
        <v>-14.353934169278993</v>
      </c>
      <c r="X13" s="457">
        <f t="shared" si="24"/>
        <v>-16.715353901996366</v>
      </c>
      <c r="Y13" s="488">
        <f t="shared" si="24"/>
        <v>-16.511724137931033</v>
      </c>
      <c r="Z13" s="512">
        <f t="shared" si="24"/>
        <v>-18.960893416927892</v>
      </c>
      <c r="AA13" s="512">
        <f t="shared" si="24"/>
        <v>-17.036420361247952</v>
      </c>
      <c r="AB13" s="457">
        <f t="shared" si="24"/>
        <v>-18.639696223316911</v>
      </c>
      <c r="AC13" s="488">
        <f t="shared" si="24"/>
        <v>-8.5197178683385602</v>
      </c>
      <c r="AD13" s="520">
        <f t="shared" si="24"/>
        <v>-17.959688013136294</v>
      </c>
      <c r="AE13" s="459">
        <f t="shared" ref="AE13:AE14" si="25">AVERAGE(S13:U13)</f>
        <v>-2.7928218390804589</v>
      </c>
      <c r="AF13" s="458">
        <f t="shared" ref="AF13:AF14" si="26">AVERAGE(V13:X13)</f>
        <v>-13.825564551399395</v>
      </c>
      <c r="AG13" s="458">
        <f t="shared" ref="AG13:AG14" si="27">AVERAGE(Y13:AA13)</f>
        <v>-17.503012638702291</v>
      </c>
      <c r="AH13" s="458">
        <f t="shared" ref="AH13:AH14" si="28">AVERAGE(AB13:AD13)</f>
        <v>-15.039700701597255</v>
      </c>
      <c r="AI13" s="531">
        <f t="shared" ref="AI13:AI14" si="29">AVERAGE(S13:AD13)</f>
        <v>-12.290274932694849</v>
      </c>
      <c r="AJ13" s="567">
        <f t="shared" ref="AJ13:CF13" si="30">(AJ7/11.6)-AJ4</f>
        <v>-13.633793103448276</v>
      </c>
      <c r="AK13" s="565">
        <f t="shared" si="30"/>
        <v>-6.5951724137931009</v>
      </c>
      <c r="AL13" s="545">
        <f t="shared" si="30"/>
        <v>-4.6482758620689637</v>
      </c>
      <c r="AM13" s="546">
        <f t="shared" si="30"/>
        <v>-12.634827586206896</v>
      </c>
      <c r="AN13" s="546">
        <f t="shared" si="30"/>
        <v>-17.134827586206896</v>
      </c>
      <c r="AO13" s="546">
        <f t="shared" si="30"/>
        <v>-13.064827586206896</v>
      </c>
      <c r="AP13" s="546">
        <f t="shared" si="30"/>
        <v>-16.966551724137929</v>
      </c>
      <c r="AQ13" s="546">
        <f t="shared" si="30"/>
        <v>-12.28896551724138</v>
      </c>
      <c r="AR13" s="546">
        <f t="shared" si="30"/>
        <v>-11.427120689655169</v>
      </c>
      <c r="AS13" s="546">
        <f t="shared" si="30"/>
        <v>-5.7655172413793068</v>
      </c>
      <c r="AT13" s="546">
        <f t="shared" si="30"/>
        <v>-11.03551724137931</v>
      </c>
      <c r="AU13" s="566">
        <f t="shared" si="30"/>
        <v>-11.600000000000001</v>
      </c>
      <c r="AV13" s="560">
        <f t="shared" si="30"/>
        <v>-16.189999999999998</v>
      </c>
      <c r="AW13" s="561">
        <f t="shared" si="30"/>
        <v>-18.323448275862063</v>
      </c>
      <c r="AX13" s="561">
        <f t="shared" si="30"/>
        <v>-22.007241379310344</v>
      </c>
      <c r="AY13" s="561">
        <f t="shared" si="30"/>
        <v>-27.537241379310338</v>
      </c>
      <c r="AZ13" s="561">
        <f t="shared" si="30"/>
        <v>-31.091034482758616</v>
      </c>
      <c r="BA13" s="561">
        <f t="shared" si="30"/>
        <v>-25.314137931034487</v>
      </c>
      <c r="BB13" s="561">
        <f t="shared" si="30"/>
        <v>-24.628620689655179</v>
      </c>
      <c r="BC13" s="561">
        <f t="shared" si="30"/>
        <v>-21.843448275862059</v>
      </c>
      <c r="BD13" s="561">
        <f t="shared" si="30"/>
        <v>-21.767241379310342</v>
      </c>
      <c r="BE13" s="561">
        <f t="shared" si="30"/>
        <v>-22.924482758620691</v>
      </c>
      <c r="BF13" s="561">
        <f t="shared" si="30"/>
        <v>-19.654827586206899</v>
      </c>
      <c r="BG13" s="624">
        <f t="shared" si="30"/>
        <v>-20.231034482758616</v>
      </c>
      <c r="BH13" s="626">
        <f t="shared" si="30"/>
        <v>-22.442068965517237</v>
      </c>
      <c r="BI13" s="626">
        <f t="shared" si="30"/>
        <v>-25.345862068965509</v>
      </c>
      <c r="BJ13" s="626">
        <f t="shared" si="30"/>
        <v>-23.395517241379316</v>
      </c>
      <c r="BK13" s="626">
        <f t="shared" si="30"/>
        <v>-25.691379310344828</v>
      </c>
      <c r="BL13" s="626">
        <f t="shared" si="30"/>
        <v>-23.905862068965511</v>
      </c>
      <c r="BM13" s="626">
        <f t="shared" si="30"/>
        <v>-25.337586206896546</v>
      </c>
      <c r="BN13" s="626">
        <f t="shared" si="30"/>
        <v>-31.78448275862069</v>
      </c>
      <c r="BO13" s="626">
        <f t="shared" si="30"/>
        <v>-27.64448275862069</v>
      </c>
      <c r="BP13" s="626">
        <f t="shared" si="30"/>
        <v>-30.516551724137926</v>
      </c>
      <c r="BQ13" s="626">
        <f t="shared" si="30"/>
        <v>-22.516551724137926</v>
      </c>
      <c r="BR13" s="626">
        <f t="shared" si="30"/>
        <v>-24.084482758620688</v>
      </c>
      <c r="BS13" s="626">
        <f t="shared" si="30"/>
        <v>-25.422413793103445</v>
      </c>
      <c r="BT13" s="656">
        <f t="shared" si="30"/>
        <v>-14.505517241379316</v>
      </c>
      <c r="BU13" s="656">
        <f t="shared" si="30"/>
        <v>-8.9613793103448245</v>
      </c>
      <c r="BV13" s="656">
        <f t="shared" si="30"/>
        <v>5.5241379310344811</v>
      </c>
      <c r="BW13" s="656">
        <f t="shared" si="30"/>
        <v>-0.13137931034482619</v>
      </c>
      <c r="BX13" s="656">
        <f t="shared" si="30"/>
        <v>-1.1596551724137925</v>
      </c>
      <c r="BY13" s="656">
        <f t="shared" si="30"/>
        <v>-11.479655172413793</v>
      </c>
      <c r="BZ13" s="656">
        <f t="shared" si="30"/>
        <v>-12.827586206896552</v>
      </c>
      <c r="CA13" s="656">
        <f t="shared" si="30"/>
        <v>-13.383801724137932</v>
      </c>
      <c r="CB13" s="656">
        <f t="shared" si="30"/>
        <v>-10.46074451410658</v>
      </c>
      <c r="CC13" s="656">
        <f t="shared" si="30"/>
        <v>-8.1180329153605015</v>
      </c>
      <c r="CD13" s="650">
        <f t="shared" si="30"/>
        <v>-2.7000000000000028</v>
      </c>
      <c r="CE13" s="650">
        <f t="shared" si="30"/>
        <v>-2.9379310344827516</v>
      </c>
      <c r="CF13" s="650">
        <f t="shared" si="30"/>
        <v>-4.0689655172413808</v>
      </c>
      <c r="CG13" s="650">
        <f t="shared" ref="CG13" si="31">(CG7/11.6)-CG4</f>
        <v>-6.3775862068965452</v>
      </c>
    </row>
    <row r="14" spans="1:85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2">(333/11.6)-C4</f>
        <v>-27.140353448275857</v>
      </c>
      <c r="D14" s="461">
        <f t="shared" si="32"/>
        <v>-25.950830721003133</v>
      </c>
      <c r="E14" s="461">
        <f t="shared" si="32"/>
        <v>-29.842627257799681</v>
      </c>
      <c r="F14" s="461">
        <f t="shared" si="32"/>
        <v>-34.85010344827586</v>
      </c>
      <c r="G14" s="461">
        <f t="shared" si="32"/>
        <v>-33.08119868637111</v>
      </c>
      <c r="H14" s="461">
        <f t="shared" si="32"/>
        <v>-27.447233883058484</v>
      </c>
      <c r="I14" s="461">
        <f t="shared" si="32"/>
        <v>-19.165722495894908</v>
      </c>
      <c r="J14" s="462">
        <f t="shared" si="32"/>
        <v>-16.672194357366781</v>
      </c>
      <c r="K14" s="490">
        <f t="shared" si="32"/>
        <v>-17.131739811912215</v>
      </c>
      <c r="L14" s="491">
        <f t="shared" si="32"/>
        <v>-13.087151067323479</v>
      </c>
      <c r="M14" s="492">
        <f t="shared" si="32"/>
        <v>-5.8083208395802153</v>
      </c>
      <c r="N14" s="493">
        <f t="shared" si="19"/>
        <v>-23.319524443946857</v>
      </c>
      <c r="O14" s="494">
        <f t="shared" si="20"/>
        <v>-32.591309797482218</v>
      </c>
      <c r="P14" s="494">
        <f t="shared" si="21"/>
        <v>-21.09505024544006</v>
      </c>
      <c r="Q14" s="495">
        <f t="shared" si="22"/>
        <v>-12.009070572938635</v>
      </c>
      <c r="R14" s="496">
        <f t="shared" si="23"/>
        <v>-22.253738764951944</v>
      </c>
      <c r="S14" s="497">
        <f t="shared" ref="S14:AD14" si="33">(333/11.6)-S4</f>
        <v>1.8973965517241353</v>
      </c>
      <c r="T14" s="498">
        <f t="shared" si="33"/>
        <v>-0.69310344827585979</v>
      </c>
      <c r="U14" s="498">
        <f t="shared" si="33"/>
        <v>-6.3931034482758626</v>
      </c>
      <c r="V14" s="498">
        <f t="shared" si="33"/>
        <v>-10.321198686371108</v>
      </c>
      <c r="W14" s="498">
        <f t="shared" si="33"/>
        <v>-15.560830721003132</v>
      </c>
      <c r="X14" s="498">
        <f t="shared" si="33"/>
        <v>-17.66362976406533</v>
      </c>
      <c r="Y14" s="499">
        <f t="shared" si="33"/>
        <v>-13.753103448275862</v>
      </c>
      <c r="Z14" s="513">
        <f t="shared" si="33"/>
        <v>-14.995376175548582</v>
      </c>
      <c r="AA14" s="513">
        <f t="shared" si="33"/>
        <v>-14.622627257799675</v>
      </c>
      <c r="AB14" s="498">
        <f t="shared" si="33"/>
        <v>-20.277627257799669</v>
      </c>
      <c r="AC14" s="499">
        <f t="shared" si="33"/>
        <v>-15.157648902821318</v>
      </c>
      <c r="AD14" s="525">
        <f t="shared" si="33"/>
        <v>-23.390722495894916</v>
      </c>
      <c r="AE14" s="501">
        <f t="shared" si="25"/>
        <v>-1.7296034482758624</v>
      </c>
      <c r="AF14" s="500">
        <f t="shared" si="26"/>
        <v>-14.515219723813189</v>
      </c>
      <c r="AG14" s="500">
        <f t="shared" si="27"/>
        <v>-14.457035627208038</v>
      </c>
      <c r="AH14" s="500">
        <f t="shared" si="28"/>
        <v>-19.608666218838636</v>
      </c>
      <c r="AI14" s="502">
        <f t="shared" si="29"/>
        <v>-12.577631254533932</v>
      </c>
      <c r="AJ14" s="537">
        <f t="shared" ref="AJ14:AU14" si="34">(333/11.6)-AJ4</f>
        <v>-25.01310344827586</v>
      </c>
      <c r="AK14" s="538">
        <f t="shared" si="34"/>
        <v>-25.733103448275859</v>
      </c>
      <c r="AL14" s="538">
        <f t="shared" si="34"/>
        <v>-22.493103448275864</v>
      </c>
      <c r="AM14" s="539">
        <f t="shared" si="34"/>
        <v>-23.58310344827586</v>
      </c>
      <c r="AN14" s="539">
        <f t="shared" si="34"/>
        <v>-21.83310344827586</v>
      </c>
      <c r="AO14" s="539">
        <f t="shared" si="34"/>
        <v>-17.76310344827586</v>
      </c>
      <c r="AP14" s="539">
        <f t="shared" si="34"/>
        <v>-18.863103448275861</v>
      </c>
      <c r="AQ14" s="540">
        <f t="shared" si="34"/>
        <v>-21.51310344827586</v>
      </c>
      <c r="AR14" s="541">
        <f t="shared" si="34"/>
        <v>-24.961603448275856</v>
      </c>
      <c r="AS14" s="542">
        <f t="shared" si="34"/>
        <v>-26.843103448275858</v>
      </c>
      <c r="AT14" s="543">
        <f t="shared" si="34"/>
        <v>-32.113103448275865</v>
      </c>
      <c r="AU14" s="544">
        <f t="shared" si="34"/>
        <v>-32.893103448275866</v>
      </c>
      <c r="AV14" s="542"/>
      <c r="AW14" s="543"/>
      <c r="AX14" s="543"/>
      <c r="AY14" s="543"/>
      <c r="AZ14" s="544"/>
      <c r="BB14"/>
    </row>
    <row r="15" spans="1:85" s="507" customFormat="1" ht="31.5" customHeight="1">
      <c r="A15" s="654" t="s">
        <v>382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5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384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385</v>
      </c>
      <c r="BU20" s="719"/>
      <c r="BV20" s="719"/>
      <c r="BW20" s="719"/>
      <c r="BX20" s="719"/>
      <c r="BY20" s="720"/>
      <c r="BZ20" s="718" t="s">
        <v>347</v>
      </c>
      <c r="CA20" s="719"/>
      <c r="CB20" s="719"/>
      <c r="CC20" s="719"/>
      <c r="CD20" s="719"/>
      <c r="CE20" s="720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366</v>
      </c>
      <c r="BU21" s="719"/>
      <c r="BV21" s="719"/>
      <c r="BW21" s="719"/>
      <c r="BX21" s="719"/>
      <c r="BY21" s="720"/>
      <c r="BZ21" s="718" t="s">
        <v>362</v>
      </c>
      <c r="CA21" s="719"/>
      <c r="CB21" s="719"/>
      <c r="CC21" s="719"/>
      <c r="CD21" s="719"/>
      <c r="CE21" s="720"/>
    </row>
    <row r="22" spans="4:83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18" t="s">
        <v>386</v>
      </c>
      <c r="BU22" s="719"/>
      <c r="BV22" s="719"/>
      <c r="BW22" s="719"/>
      <c r="BX22" s="719"/>
      <c r="BY22" s="720"/>
      <c r="BZ22" s="718" t="s">
        <v>356</v>
      </c>
      <c r="CA22" s="719"/>
      <c r="CB22" s="719"/>
      <c r="CC22" s="719"/>
      <c r="CD22" s="719"/>
      <c r="CE22" s="720"/>
    </row>
    <row r="23" spans="4:83">
      <c r="BT23" s="659"/>
      <c r="BZ23"/>
    </row>
    <row r="24" spans="4:83">
      <c r="BZ24"/>
    </row>
    <row r="25" spans="4:83">
      <c r="BT25" s="620" t="s">
        <v>251</v>
      </c>
      <c r="BZ25"/>
    </row>
    <row r="26" spans="4:83">
      <c r="AV26" s="619"/>
      <c r="BT26" s="619" t="s">
        <v>320</v>
      </c>
    </row>
    <row r="27" spans="4:83">
      <c r="BT27" s="619" t="s">
        <v>319</v>
      </c>
    </row>
    <row r="28" spans="4:83">
      <c r="BH28" s="619"/>
      <c r="BT28" s="619"/>
    </row>
  </sheetData>
  <mergeCells count="17">
    <mergeCell ref="CF2:CG2"/>
    <mergeCell ref="BT21:BY21"/>
    <mergeCell ref="BZ21:CE21"/>
    <mergeCell ref="BT22:BY22"/>
    <mergeCell ref="BZ22:CE22"/>
    <mergeCell ref="BH2:BS2"/>
    <mergeCell ref="BT2:CE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70C0"/>
    <pageSetUpPr fitToPage="1"/>
  </sheetPr>
  <dimension ref="A1:CG28"/>
  <sheetViews>
    <sheetView zoomScale="85" zoomScaleNormal="85" zoomScaleSheetLayoutView="50" workbookViewId="0">
      <pane xSplit="1" ySplit="3" topLeftCell="BT4" activePane="bottomRight" state="frozenSplit"/>
      <selection pane="topRight" activeCell="B1" sqref="B1"/>
      <selection pane="bottomLeft" activeCell="A3" sqref="A3"/>
      <selection pane="bottomRight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78" width="9.08984375" style="432"/>
    <col min="79" max="79" width="9.7265625" style="432" bestFit="1" customWidth="1"/>
    <col min="80" max="80" width="9.453125" style="432" bestFit="1" customWidth="1"/>
    <col min="81" max="81" width="9.08984375" style="432"/>
    <col min="82" max="82" width="9.90625" style="432" bestFit="1" customWidth="1"/>
    <col min="83" max="83" width="9.6328125" style="432" bestFit="1" customWidth="1"/>
    <col min="84" max="84" width="9.08984375" style="432"/>
    <col min="85" max="85" width="9.453125" style="432" bestFit="1" customWidth="1"/>
    <col min="86" max="16384" width="9.08984375" style="432"/>
  </cols>
  <sheetData>
    <row r="1" spans="1:85" ht="20.25" customHeight="1" thickBot="1">
      <c r="A1" s="428" t="s">
        <v>388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5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  <c r="CE2" s="717"/>
      <c r="CF2" s="736">
        <v>2021</v>
      </c>
      <c r="CG2" s="736"/>
    </row>
    <row r="3" spans="1:85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</row>
    <row r="4" spans="1:85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45">
        <v>42.2</v>
      </c>
      <c r="CE4" s="645">
        <v>42.9</v>
      </c>
      <c r="CF4" s="664">
        <v>43.5</v>
      </c>
      <c r="CG4" s="664">
        <v>43.8</v>
      </c>
    </row>
    <row r="5" spans="1:85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45">
        <v>39.700000000000003</v>
      </c>
      <c r="CE5" s="645">
        <v>40.65</v>
      </c>
      <c r="CF5" s="664">
        <v>42</v>
      </c>
      <c r="CG5" s="664">
        <v>42.424999999999997</v>
      </c>
    </row>
    <row r="6" spans="1:85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45">
        <v>369.3</v>
      </c>
      <c r="CE6" s="645">
        <v>377.84999999999997</v>
      </c>
      <c r="CF6" s="664">
        <v>390</v>
      </c>
      <c r="CG6" s="664">
        <v>393.82499999999999</v>
      </c>
    </row>
    <row r="7" spans="1:85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G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596">
        <f t="shared" si="13"/>
        <v>455</v>
      </c>
      <c r="CF7" s="596">
        <f t="shared" si="13"/>
        <v>460</v>
      </c>
      <c r="CG7" s="596">
        <f t="shared" si="13"/>
        <v>430</v>
      </c>
    </row>
    <row r="8" spans="1:85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57">
        <v>450</v>
      </c>
      <c r="CF8" s="666">
        <v>455</v>
      </c>
      <c r="CG8" s="666">
        <v>425</v>
      </c>
    </row>
    <row r="9" spans="1:85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57">
        <v>460</v>
      </c>
      <c r="CF9" s="666">
        <v>465</v>
      </c>
      <c r="CG9" s="666">
        <v>435</v>
      </c>
    </row>
    <row r="10" spans="1:85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G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-65.699999999999989</v>
      </c>
      <c r="CE10" s="651">
        <f t="shared" si="14"/>
        <v>-77.150000000000034</v>
      </c>
      <c r="CF10" s="651">
        <f t="shared" si="14"/>
        <v>-70</v>
      </c>
      <c r="CG10" s="651">
        <f t="shared" si="14"/>
        <v>-36.175000000000011</v>
      </c>
    </row>
    <row r="11" spans="1:85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5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44198</v>
      </c>
    </row>
    <row r="13" spans="1:85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G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0">
        <f t="shared" si="28"/>
        <v>-4.7000000000000028</v>
      </c>
      <c r="CE13" s="650">
        <f t="shared" si="28"/>
        <v>-3.6758620689655146</v>
      </c>
      <c r="CF13" s="650">
        <f t="shared" si="28"/>
        <v>-3.8448275862068968</v>
      </c>
      <c r="CG13" s="650">
        <f t="shared" si="28"/>
        <v>-6.7310344827586164</v>
      </c>
    </row>
    <row r="14" spans="1:85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5" s="507" customFormat="1" ht="31.5" customHeight="1">
      <c r="A15" s="654" t="s">
        <v>387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5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384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385</v>
      </c>
      <c r="BU20" s="719"/>
      <c r="BV20" s="719"/>
      <c r="BW20" s="719"/>
      <c r="BX20" s="719"/>
      <c r="BY20" s="720"/>
      <c r="BZ20" s="718" t="s">
        <v>347</v>
      </c>
      <c r="CA20" s="719"/>
      <c r="CB20" s="719"/>
      <c r="CC20" s="719"/>
      <c r="CD20" s="719"/>
      <c r="CE20" s="720"/>
    </row>
    <row r="21" spans="4:83" ht="58.5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366</v>
      </c>
      <c r="BU21" s="719"/>
      <c r="BV21" s="719"/>
      <c r="BW21" s="719"/>
      <c r="BX21" s="719"/>
      <c r="BY21" s="720"/>
      <c r="BZ21" s="718" t="s">
        <v>362</v>
      </c>
      <c r="CA21" s="719"/>
      <c r="CB21" s="719"/>
      <c r="CC21" s="719"/>
      <c r="CD21" s="719"/>
      <c r="CE21" s="720"/>
    </row>
    <row r="22" spans="4:83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18" t="s">
        <v>386</v>
      </c>
      <c r="BU22" s="719"/>
      <c r="BV22" s="719"/>
      <c r="BW22" s="719"/>
      <c r="BX22" s="719"/>
      <c r="BY22" s="720"/>
      <c r="BZ22" s="718" t="s">
        <v>356</v>
      </c>
      <c r="CA22" s="719"/>
      <c r="CB22" s="719"/>
      <c r="CC22" s="719"/>
      <c r="CD22" s="719"/>
      <c r="CE22" s="720"/>
    </row>
    <row r="23" spans="4:83">
      <c r="BT23" s="659"/>
      <c r="BZ23"/>
    </row>
    <row r="24" spans="4:83">
      <c r="BZ24"/>
    </row>
    <row r="25" spans="4:83">
      <c r="BT25" s="620" t="s">
        <v>251</v>
      </c>
      <c r="BZ25"/>
    </row>
    <row r="26" spans="4:83">
      <c r="AV26" s="619"/>
      <c r="BT26" s="619" t="s">
        <v>320</v>
      </c>
    </row>
    <row r="27" spans="4:83">
      <c r="BT27" s="619" t="s">
        <v>319</v>
      </c>
    </row>
    <row r="28" spans="4:83">
      <c r="BH28" s="619"/>
      <c r="BT28" s="619"/>
    </row>
  </sheetData>
  <mergeCells count="17">
    <mergeCell ref="AV2:BG2"/>
    <mergeCell ref="B2:M2"/>
    <mergeCell ref="N2:R2"/>
    <mergeCell ref="S2:AD2"/>
    <mergeCell ref="AE2:AI2"/>
    <mergeCell ref="AJ2:AU2"/>
    <mergeCell ref="CF2:CG2"/>
    <mergeCell ref="BT19:BY19"/>
    <mergeCell ref="BZ19:CE19"/>
    <mergeCell ref="BT20:BY20"/>
    <mergeCell ref="BZ20:CE20"/>
    <mergeCell ref="BT21:BY21"/>
    <mergeCell ref="BZ21:CE21"/>
    <mergeCell ref="BT22:BY22"/>
    <mergeCell ref="BZ22:CE22"/>
    <mergeCell ref="BH2:BS2"/>
    <mergeCell ref="BT2:CE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70C0"/>
    <pageSetUpPr fitToPage="1"/>
  </sheetPr>
  <dimension ref="A1:CH29"/>
  <sheetViews>
    <sheetView zoomScale="85" zoomScaleNormal="85" zoomScaleSheetLayoutView="50" workbookViewId="0">
      <pane xSplit="1" ySplit="3" topLeftCell="BT17" activePane="bottomRight" state="frozenSplit"/>
      <selection pane="topRight" activeCell="B1" sqref="B1"/>
      <selection pane="bottomLeft" activeCell="A3" sqref="A3"/>
      <selection pane="bottomRight" activeCell="BT18" sqref="BT18:CE28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78" width="9.08984375" style="432"/>
    <col min="79" max="79" width="9.7265625" style="432" bestFit="1" customWidth="1"/>
    <col min="80" max="80" width="9.453125" style="432" bestFit="1" customWidth="1"/>
    <col min="81" max="81" width="9.08984375" style="432"/>
    <col min="82" max="82" width="9.90625" style="432" bestFit="1" customWidth="1"/>
    <col min="83" max="83" width="9.6328125" style="432" bestFit="1" customWidth="1"/>
    <col min="84" max="84" width="9.08984375" style="432"/>
    <col min="85" max="85" width="9.453125" style="432" bestFit="1" customWidth="1"/>
    <col min="86" max="86" width="9.90625" style="432" bestFit="1" customWidth="1"/>
    <col min="87" max="16384" width="9.08984375" style="432"/>
  </cols>
  <sheetData>
    <row r="1" spans="1:86" ht="20.25" customHeight="1" thickBot="1">
      <c r="A1" s="428" t="s">
        <v>389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6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  <c r="CE2" s="717"/>
      <c r="CF2" s="736">
        <v>2021</v>
      </c>
      <c r="CG2" s="736"/>
      <c r="CH2" s="736"/>
    </row>
    <row r="3" spans="1:86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</row>
    <row r="4" spans="1:86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45">
        <v>43.39</v>
      </c>
      <c r="CE4" s="645">
        <v>49.7</v>
      </c>
      <c r="CF4" s="664">
        <v>50</v>
      </c>
      <c r="CG4" s="664">
        <v>49.9</v>
      </c>
      <c r="CH4" s="664">
        <v>50</v>
      </c>
    </row>
    <row r="5" spans="1:86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45">
        <v>40.549999999999997</v>
      </c>
      <c r="CE5" s="645">
        <v>46.300000000000004</v>
      </c>
      <c r="CF5" s="664">
        <v>47.7</v>
      </c>
      <c r="CG5" s="664">
        <v>47.699999999999996</v>
      </c>
      <c r="CH5" s="664">
        <v>47.6</v>
      </c>
    </row>
    <row r="6" spans="1:86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45">
        <v>376.95</v>
      </c>
      <c r="CE6" s="645">
        <v>428.70000000000005</v>
      </c>
      <c r="CF6" s="664">
        <v>441.3</v>
      </c>
      <c r="CG6" s="664">
        <v>441.29999999999995</v>
      </c>
      <c r="CH6" s="664">
        <v>440.40000000000003</v>
      </c>
    </row>
    <row r="7" spans="1:86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H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596">
        <f t="shared" si="13"/>
        <v>455</v>
      </c>
      <c r="CF7" s="596">
        <f t="shared" si="13"/>
        <v>462.5</v>
      </c>
      <c r="CG7" s="596">
        <f t="shared" si="13"/>
        <v>450</v>
      </c>
      <c r="CH7" s="596">
        <f t="shared" si="13"/>
        <v>427.5</v>
      </c>
    </row>
    <row r="8" spans="1:86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57">
        <v>450</v>
      </c>
      <c r="CF8" s="666">
        <v>465</v>
      </c>
      <c r="CG8" s="666">
        <v>450</v>
      </c>
      <c r="CH8" s="666">
        <v>425</v>
      </c>
    </row>
    <row r="9" spans="1:86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57">
        <v>460</v>
      </c>
      <c r="CF9" s="666">
        <v>460</v>
      </c>
      <c r="CG9" s="666">
        <v>450</v>
      </c>
      <c r="CH9" s="666">
        <v>430</v>
      </c>
    </row>
    <row r="10" spans="1:86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H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-58.050000000000011</v>
      </c>
      <c r="CE10" s="651">
        <f t="shared" si="14"/>
        <v>-26.299999999999955</v>
      </c>
      <c r="CF10" s="651">
        <f t="shared" si="14"/>
        <v>-21.199999999999989</v>
      </c>
      <c r="CG10" s="651">
        <f t="shared" si="14"/>
        <v>-8.7000000000000455</v>
      </c>
      <c r="CH10" s="651">
        <f t="shared" si="14"/>
        <v>12.900000000000034</v>
      </c>
    </row>
    <row r="11" spans="1:86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6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44228</v>
      </c>
      <c r="CH12" s="623">
        <v>44256</v>
      </c>
    </row>
    <row r="13" spans="1:86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H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0">
        <f t="shared" si="28"/>
        <v>-5.8900000000000006</v>
      </c>
      <c r="CE13" s="650">
        <f t="shared" si="28"/>
        <v>-10.475862068965519</v>
      </c>
      <c r="CF13" s="650">
        <f t="shared" si="28"/>
        <v>-10.129310344827587</v>
      </c>
      <c r="CG13" s="650">
        <f t="shared" si="28"/>
        <v>-11.106896551724134</v>
      </c>
      <c r="CH13" s="650">
        <f t="shared" si="28"/>
        <v>-13.146551724137929</v>
      </c>
    </row>
    <row r="14" spans="1:86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6" s="507" customFormat="1" ht="31.5" customHeight="1">
      <c r="A15" s="654" t="s">
        <v>390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6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391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385</v>
      </c>
      <c r="BU20" s="719"/>
      <c r="BV20" s="719"/>
      <c r="BW20" s="719"/>
      <c r="BX20" s="719"/>
      <c r="BY20" s="720"/>
      <c r="BZ20" s="718" t="s">
        <v>347</v>
      </c>
      <c r="CA20" s="719"/>
      <c r="CB20" s="719"/>
      <c r="CC20" s="719"/>
      <c r="CD20" s="719"/>
      <c r="CE20" s="720"/>
    </row>
    <row r="21" spans="4:83" ht="66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392</v>
      </c>
      <c r="BU21" s="719"/>
      <c r="BV21" s="719"/>
      <c r="BW21" s="719"/>
      <c r="BX21" s="719"/>
      <c r="BY21" s="720"/>
      <c r="BZ21" s="718" t="s">
        <v>356</v>
      </c>
      <c r="CA21" s="719"/>
      <c r="CB21" s="719"/>
      <c r="CC21" s="719"/>
      <c r="CD21" s="719"/>
      <c r="CE21" s="720"/>
    </row>
    <row r="22" spans="4:83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19" t="s">
        <v>393</v>
      </c>
      <c r="BU22" s="737"/>
      <c r="BV22" s="737"/>
      <c r="BW22" s="737"/>
      <c r="BX22" s="737"/>
      <c r="BY22" s="738"/>
      <c r="BZ22" s="718"/>
      <c r="CA22" s="719"/>
      <c r="CB22" s="719"/>
      <c r="CC22" s="719"/>
      <c r="CD22" s="719"/>
      <c r="CE22" s="720"/>
    </row>
    <row r="23" spans="4:83" ht="58.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B23" s="643"/>
      <c r="BT23" s="718" t="s">
        <v>366</v>
      </c>
      <c r="BU23" s="719"/>
      <c r="BV23" s="719"/>
      <c r="BW23" s="719"/>
      <c r="BX23" s="719"/>
      <c r="BY23" s="720"/>
      <c r="BZ23" s="718"/>
      <c r="CA23" s="719"/>
      <c r="CB23" s="719"/>
      <c r="CC23" s="719"/>
      <c r="CD23" s="719"/>
      <c r="CE23" s="720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9">
    <mergeCell ref="BZ21:CE21"/>
    <mergeCell ref="BT23:BY23"/>
    <mergeCell ref="BZ22:CE22"/>
    <mergeCell ref="BZ23:CE23"/>
    <mergeCell ref="CF2:CH2"/>
    <mergeCell ref="BT21:BY21"/>
    <mergeCell ref="BT22:BY22"/>
    <mergeCell ref="BH2:BS2"/>
    <mergeCell ref="BT2:CE2"/>
    <mergeCell ref="BT19:BY19"/>
    <mergeCell ref="BZ19:CE19"/>
    <mergeCell ref="BT20:BY20"/>
    <mergeCell ref="BZ20:CE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70C0"/>
    <pageSetUpPr fitToPage="1"/>
  </sheetPr>
  <dimension ref="A1:CH29"/>
  <sheetViews>
    <sheetView zoomScale="85" zoomScaleNormal="85" zoomScaleSheetLayoutView="50" workbookViewId="0">
      <pane xSplit="1" ySplit="3" topLeftCell="BT4" activePane="bottomRight" state="frozenSplit"/>
      <selection pane="topRight" activeCell="B1" sqref="B1"/>
      <selection pane="bottomLeft" activeCell="A3" sqref="A3"/>
      <selection pane="bottomRight" activeCell="CI19" sqref="CI19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72" width="9.08984375" style="432"/>
    <col min="73" max="73" width="9.1796875" style="432" bestFit="1" customWidth="1"/>
    <col min="74" max="75" width="9.6328125" style="432" bestFit="1" customWidth="1"/>
    <col min="76" max="76" width="10" style="432" bestFit="1" customWidth="1"/>
    <col min="77" max="77" width="9.36328125" style="432" bestFit="1" customWidth="1"/>
    <col min="78" max="78" width="9.08984375" style="432"/>
    <col min="79" max="79" width="9.7265625" style="432" bestFit="1" customWidth="1"/>
    <col min="80" max="80" width="9.453125" style="432" bestFit="1" customWidth="1"/>
    <col min="81" max="81" width="9.08984375" style="432"/>
    <col min="82" max="82" width="9.90625" style="432" bestFit="1" customWidth="1"/>
    <col min="83" max="83" width="9.6328125" style="432" bestFit="1" customWidth="1"/>
    <col min="84" max="84" width="9.08984375" style="432"/>
    <col min="85" max="85" width="9.453125" style="432" bestFit="1" customWidth="1"/>
    <col min="86" max="86" width="9.90625" style="432" bestFit="1" customWidth="1"/>
    <col min="87" max="16384" width="9.08984375" style="432"/>
  </cols>
  <sheetData>
    <row r="1" spans="1:86" ht="20.25" customHeight="1" thickBot="1">
      <c r="A1" s="428" t="s">
        <v>403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6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  <c r="CE2" s="717"/>
      <c r="CF2" s="736">
        <v>2021</v>
      </c>
      <c r="CG2" s="736"/>
      <c r="CH2" s="736"/>
    </row>
    <row r="3" spans="1:86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</row>
    <row r="4" spans="1:86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45">
        <v>49.7</v>
      </c>
      <c r="CF4" s="664">
        <v>50</v>
      </c>
      <c r="CG4" s="664">
        <v>49.9</v>
      </c>
      <c r="CH4" s="664">
        <v>50</v>
      </c>
    </row>
    <row r="5" spans="1:86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45">
        <v>46.300000000000004</v>
      </c>
      <c r="CF5" s="664">
        <v>47.7</v>
      </c>
      <c r="CG5" s="664">
        <v>47.699999999999996</v>
      </c>
      <c r="CH5" s="664">
        <v>47.6</v>
      </c>
    </row>
    <row r="6" spans="1:86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45">
        <v>428.70000000000005</v>
      </c>
      <c r="CF6" s="664">
        <v>441.3</v>
      </c>
      <c r="CG6" s="664">
        <v>441.29999999999995</v>
      </c>
      <c r="CH6" s="664">
        <v>440.40000000000003</v>
      </c>
    </row>
    <row r="7" spans="1:86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H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595">
        <f t="shared" si="13"/>
        <v>455</v>
      </c>
      <c r="CF7" s="596">
        <f t="shared" si="13"/>
        <v>475</v>
      </c>
      <c r="CG7" s="596">
        <f t="shared" si="13"/>
        <v>457.5</v>
      </c>
      <c r="CH7" s="596">
        <f t="shared" si="13"/>
        <v>430</v>
      </c>
    </row>
    <row r="8" spans="1:86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66">
        <v>480</v>
      </c>
      <c r="CG8" s="666">
        <v>460</v>
      </c>
      <c r="CH8" s="666">
        <v>430</v>
      </c>
    </row>
    <row r="9" spans="1:86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66">
        <v>470</v>
      </c>
      <c r="CG9" s="666">
        <v>455</v>
      </c>
      <c r="CH9" s="666">
        <v>430</v>
      </c>
    </row>
    <row r="10" spans="1:86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H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597">
        <f t="shared" si="14"/>
        <v>-58.050000000000011</v>
      </c>
      <c r="CE10" s="651">
        <f t="shared" si="14"/>
        <v>-26.299999999999955</v>
      </c>
      <c r="CF10" s="651">
        <f t="shared" si="14"/>
        <v>-33.699999999999989</v>
      </c>
      <c r="CG10" s="651">
        <f t="shared" si="14"/>
        <v>-16.200000000000045</v>
      </c>
      <c r="CH10" s="651">
        <f t="shared" si="14"/>
        <v>10.400000000000034</v>
      </c>
    </row>
    <row r="11" spans="1:86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6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44228</v>
      </c>
      <c r="CH12" s="623">
        <v>44256</v>
      </c>
    </row>
    <row r="13" spans="1:86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H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6">
        <f t="shared" si="28"/>
        <v>-5.8900000000000006</v>
      </c>
      <c r="CE13" s="650">
        <f t="shared" si="28"/>
        <v>-10.475862068965519</v>
      </c>
      <c r="CF13" s="650">
        <f t="shared" si="28"/>
        <v>-9.051724137931032</v>
      </c>
      <c r="CG13" s="650">
        <f t="shared" si="28"/>
        <v>-10.460344827586205</v>
      </c>
      <c r="CH13" s="650">
        <f t="shared" si="28"/>
        <v>-12.931034482758619</v>
      </c>
    </row>
    <row r="14" spans="1:86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6" s="507" customFormat="1" ht="31.5" customHeight="1">
      <c r="A15" s="654" t="s">
        <v>390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6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8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83" ht="21.75" customHeight="1" thickBot="1">
      <c r="D18" s="509"/>
      <c r="E18" s="509"/>
      <c r="F18" s="509"/>
      <c r="G18" s="509"/>
      <c r="H18" s="509"/>
      <c r="I18" s="509"/>
      <c r="J18" s="509"/>
      <c r="K18" s="509"/>
      <c r="L18" s="509"/>
      <c r="M18" s="509"/>
      <c r="BT18" s="518" t="s">
        <v>242</v>
      </c>
      <c r="BV18" s="510" t="s">
        <v>391</v>
      </c>
      <c r="BW18" s="508"/>
      <c r="BX18" s="508"/>
      <c r="BY18" s="508"/>
      <c r="BZ18" s="508"/>
      <c r="CA18" s="508"/>
      <c r="CB18" s="508"/>
      <c r="CC18" s="508"/>
      <c r="CD18" s="508"/>
    </row>
    <row r="19" spans="4:83" ht="21.75" customHeight="1">
      <c r="D19" s="509"/>
      <c r="E19" s="509"/>
      <c r="F19" s="509"/>
      <c r="G19" s="509"/>
      <c r="H19" s="509"/>
      <c r="I19" s="509"/>
      <c r="J19" s="509"/>
      <c r="K19" s="509"/>
      <c r="L19" s="509"/>
      <c r="M19" s="509"/>
      <c r="BT19" s="724" t="s">
        <v>239</v>
      </c>
      <c r="BU19" s="725"/>
      <c r="BV19" s="725"/>
      <c r="BW19" s="725"/>
      <c r="BX19" s="725"/>
      <c r="BY19" s="726"/>
      <c r="BZ19" s="725" t="s">
        <v>240</v>
      </c>
      <c r="CA19" s="725"/>
      <c r="CB19" s="725"/>
      <c r="CC19" s="725"/>
      <c r="CD19" s="725"/>
      <c r="CE19" s="726"/>
    </row>
    <row r="20" spans="4:83" ht="66" customHeight="1">
      <c r="D20" s="509"/>
      <c r="E20" s="509"/>
      <c r="F20" s="509"/>
      <c r="G20" s="509"/>
      <c r="H20" s="509"/>
      <c r="I20" s="509"/>
      <c r="J20" s="509"/>
      <c r="K20" s="509"/>
      <c r="L20" s="509"/>
      <c r="M20" s="509"/>
      <c r="BB20" s="643"/>
      <c r="BT20" s="718" t="s">
        <v>385</v>
      </c>
      <c r="BU20" s="719"/>
      <c r="BV20" s="719"/>
      <c r="BW20" s="719"/>
      <c r="BX20" s="719"/>
      <c r="BY20" s="720"/>
      <c r="BZ20" s="718" t="s">
        <v>347</v>
      </c>
      <c r="CA20" s="719"/>
      <c r="CB20" s="719"/>
      <c r="CC20" s="719"/>
      <c r="CD20" s="719"/>
      <c r="CE20" s="720"/>
    </row>
    <row r="21" spans="4:83" ht="66" customHeight="1"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BB21" s="643"/>
      <c r="BT21" s="718" t="s">
        <v>404</v>
      </c>
      <c r="BU21" s="719"/>
      <c r="BV21" s="719"/>
      <c r="BW21" s="719"/>
      <c r="BX21" s="719"/>
      <c r="BY21" s="720"/>
      <c r="BZ21" s="718" t="s">
        <v>405</v>
      </c>
      <c r="CA21" s="719"/>
      <c r="CB21" s="719"/>
      <c r="CC21" s="719"/>
      <c r="CD21" s="719"/>
      <c r="CE21" s="720"/>
    </row>
    <row r="22" spans="4:83" ht="58.5" customHeight="1">
      <c r="D22" s="509"/>
      <c r="E22" s="509"/>
      <c r="F22" s="509"/>
      <c r="G22" s="509"/>
      <c r="H22" s="509"/>
      <c r="I22" s="509"/>
      <c r="J22" s="509"/>
      <c r="K22" s="509"/>
      <c r="L22" s="509"/>
      <c r="M22" s="509"/>
      <c r="BB22" s="643"/>
      <c r="BT22" s="719" t="s">
        <v>393</v>
      </c>
      <c r="BU22" s="737"/>
      <c r="BV22" s="737"/>
      <c r="BW22" s="737"/>
      <c r="BX22" s="737"/>
      <c r="BY22" s="738"/>
      <c r="BZ22" s="718"/>
      <c r="CA22" s="719"/>
      <c r="CB22" s="719"/>
      <c r="CC22" s="719"/>
      <c r="CD22" s="719"/>
      <c r="CE22" s="720"/>
    </row>
    <row r="23" spans="4:83" ht="58.5" customHeight="1">
      <c r="D23" s="509"/>
      <c r="E23" s="509"/>
      <c r="F23" s="509"/>
      <c r="G23" s="509"/>
      <c r="H23" s="509"/>
      <c r="I23" s="509"/>
      <c r="J23" s="509"/>
      <c r="K23" s="509"/>
      <c r="L23" s="509"/>
      <c r="M23" s="509"/>
      <c r="BB23" s="643"/>
      <c r="BT23" s="718" t="s">
        <v>406</v>
      </c>
      <c r="BU23" s="719"/>
      <c r="BV23" s="719"/>
      <c r="BW23" s="719"/>
      <c r="BX23" s="719"/>
      <c r="BY23" s="720"/>
      <c r="BZ23" s="718"/>
      <c r="CA23" s="719"/>
      <c r="CB23" s="719"/>
      <c r="CC23" s="719"/>
      <c r="CD23" s="719"/>
      <c r="CE23" s="720"/>
    </row>
    <row r="24" spans="4:83">
      <c r="BT24" s="659"/>
      <c r="BZ24"/>
    </row>
    <row r="25" spans="4:83">
      <c r="BZ25"/>
    </row>
    <row r="26" spans="4:83">
      <c r="BT26" s="620" t="s">
        <v>251</v>
      </c>
      <c r="BZ26"/>
    </row>
    <row r="27" spans="4:83">
      <c r="AV27" s="619"/>
      <c r="BT27" s="619" t="s">
        <v>320</v>
      </c>
    </row>
    <row r="28" spans="4:83">
      <c r="BT28" s="619" t="s">
        <v>319</v>
      </c>
    </row>
    <row r="29" spans="4:83">
      <c r="BH29" s="619"/>
      <c r="BT29" s="619"/>
    </row>
  </sheetData>
  <mergeCells count="19">
    <mergeCell ref="BT22:BY22"/>
    <mergeCell ref="BZ22:CE22"/>
    <mergeCell ref="BT23:BY23"/>
    <mergeCell ref="BZ23:CE23"/>
    <mergeCell ref="CF2:CH2"/>
    <mergeCell ref="BT19:BY19"/>
    <mergeCell ref="BZ19:CE19"/>
    <mergeCell ref="BT21:BY21"/>
    <mergeCell ref="BZ21:CE21"/>
    <mergeCell ref="BT20:BY20"/>
    <mergeCell ref="BZ20:CE20"/>
    <mergeCell ref="AV2:BG2"/>
    <mergeCell ref="BH2:BS2"/>
    <mergeCell ref="BT2:CE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70C0"/>
    <pageSetUpPr fitToPage="1"/>
  </sheetPr>
  <dimension ref="A1:CO30"/>
  <sheetViews>
    <sheetView zoomScale="80" zoomScaleNormal="80" zoomScaleSheetLayoutView="50" workbookViewId="0">
      <pane xSplit="1" ySplit="3" topLeftCell="BM16" activePane="bottomRight" state="frozenSplit"/>
      <selection pane="topRight" activeCell="B1" sqref="B1"/>
      <selection pane="bottomLeft" activeCell="A3" sqref="A3"/>
      <selection pane="bottomRight" activeCell="CU18" sqref="CU18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81" width="10.08984375" style="432" hidden="1" customWidth="1"/>
    <col min="82" max="83" width="10.08984375" style="432" customWidth="1"/>
    <col min="84" max="87" width="10.6328125" style="432" customWidth="1"/>
    <col min="88" max="16384" width="9.08984375" style="432"/>
  </cols>
  <sheetData>
    <row r="1" spans="1:87" ht="20.25" customHeight="1" thickBot="1">
      <c r="A1" s="428" t="s">
        <v>394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7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  <c r="CE2" s="717"/>
      <c r="CF2" s="742">
        <v>2021</v>
      </c>
      <c r="CG2" s="742"/>
      <c r="CH2" s="742"/>
      <c r="CI2" s="742"/>
    </row>
    <row r="3" spans="1:87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</row>
    <row r="4" spans="1:87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64">
        <v>53.5</v>
      </c>
      <c r="CG4" s="664">
        <v>53.5</v>
      </c>
      <c r="CH4" s="664">
        <v>53</v>
      </c>
      <c r="CI4" s="664">
        <v>53</v>
      </c>
    </row>
    <row r="5" spans="1:87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64">
        <v>53.77</v>
      </c>
      <c r="CG5" s="664">
        <v>53.58</v>
      </c>
      <c r="CH5" s="664">
        <v>52.75</v>
      </c>
      <c r="CI5" s="664">
        <v>52.05</v>
      </c>
    </row>
    <row r="6" spans="1:87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64">
        <v>495.93</v>
      </c>
      <c r="CG6" s="664">
        <v>494.21999999999997</v>
      </c>
      <c r="CH6" s="664">
        <v>486.75</v>
      </c>
      <c r="CI6" s="664">
        <v>480.45</v>
      </c>
    </row>
    <row r="7" spans="1:87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H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596">
        <f t="shared" si="13"/>
        <v>597.5</v>
      </c>
      <c r="CH7" s="596">
        <f t="shared" si="13"/>
        <v>555</v>
      </c>
      <c r="CI7" s="596">
        <f t="shared" ref="CI7" si="14">(CI8+CI9)/2</f>
        <v>507.5</v>
      </c>
    </row>
    <row r="8" spans="1:87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67">
        <v>550</v>
      </c>
      <c r="CG8" s="666">
        <v>615</v>
      </c>
      <c r="CH8" s="666">
        <v>570</v>
      </c>
      <c r="CI8" s="666">
        <v>515</v>
      </c>
    </row>
    <row r="9" spans="1:87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67">
        <v>530</v>
      </c>
      <c r="CG9" s="666">
        <v>580</v>
      </c>
      <c r="CH9" s="666">
        <v>540</v>
      </c>
      <c r="CI9" s="666">
        <v>500</v>
      </c>
    </row>
    <row r="10" spans="1:87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H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-44.069999999999993</v>
      </c>
      <c r="CG10" s="651">
        <f t="shared" si="15"/>
        <v>-103.28000000000003</v>
      </c>
      <c r="CH10" s="651">
        <f t="shared" si="15"/>
        <v>-68.25</v>
      </c>
      <c r="CI10" s="651">
        <f t="shared" ref="CI10" si="16">CI6-CI7</f>
        <v>-27.050000000000011</v>
      </c>
    </row>
    <row r="11" spans="1:87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7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si="17"/>
        <v>44105</v>
      </c>
      <c r="CD12" s="623">
        <f t="shared" si="17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</row>
    <row r="13" spans="1:87" ht="22.5" customHeight="1" thickBot="1">
      <c r="A13" s="484" t="s">
        <v>237</v>
      </c>
      <c r="B13" s="452">
        <f t="shared" ref="B13:M13" si="18">(B7/11.6)-B4</f>
        <v>-7.6432512315270955</v>
      </c>
      <c r="C13" s="453">
        <f t="shared" si="18"/>
        <v>-16.01966379310344</v>
      </c>
      <c r="D13" s="453">
        <f t="shared" si="18"/>
        <v>-12.933589341692787</v>
      </c>
      <c r="E13" s="453">
        <f t="shared" si="18"/>
        <v>-18.549523809523819</v>
      </c>
      <c r="F13" s="453">
        <f t="shared" si="18"/>
        <v>-23.125965517241376</v>
      </c>
      <c r="G13" s="453">
        <f t="shared" si="18"/>
        <v>-25.667405582922832</v>
      </c>
      <c r="H13" s="453">
        <f t="shared" si="18"/>
        <v>-21.0679235382309</v>
      </c>
      <c r="I13" s="453">
        <f t="shared" si="18"/>
        <v>-15.200205254515595</v>
      </c>
      <c r="J13" s="454">
        <f t="shared" si="18"/>
        <v>-17.189435736677126</v>
      </c>
      <c r="K13" s="454">
        <f t="shared" si="18"/>
        <v>-14.631739811912215</v>
      </c>
      <c r="L13" s="455">
        <f t="shared" si="18"/>
        <v>-6.3630131362889983</v>
      </c>
      <c r="M13" s="485">
        <f t="shared" si="18"/>
        <v>5.6571964017990979</v>
      </c>
      <c r="N13" s="452">
        <f t="shared" ref="N13:N14" si="19">AVERAGE(B13:D13)</f>
        <v>-12.198834788774441</v>
      </c>
      <c r="O13" s="453">
        <f t="shared" ref="O13:O14" si="20">AVERAGE(E13:G13)</f>
        <v>-22.447631636562676</v>
      </c>
      <c r="P13" s="453">
        <f t="shared" ref="P13:P14" si="21">AVERAGE(H13:J13)</f>
        <v>-17.81918817647454</v>
      </c>
      <c r="Q13" s="486">
        <f t="shared" ref="Q13:Q14" si="22">AVERAGE(K13:M13)</f>
        <v>-5.112518848800705</v>
      </c>
      <c r="R13" s="487">
        <f t="shared" ref="R13:R14" si="23">AVERAGE(B13:M13)</f>
        <v>-14.39454336265309</v>
      </c>
      <c r="S13" s="456">
        <f t="shared" ref="S13:AD13" si="24">(S7/11.6)-S4</f>
        <v>4.4836034482758613</v>
      </c>
      <c r="T13" s="457">
        <f t="shared" si="24"/>
        <v>-3.7965517241379274</v>
      </c>
      <c r="U13" s="457">
        <f t="shared" si="24"/>
        <v>-9.065517241379311</v>
      </c>
      <c r="V13" s="457">
        <f t="shared" si="24"/>
        <v>-10.407405582922831</v>
      </c>
      <c r="W13" s="457">
        <f t="shared" si="24"/>
        <v>-14.353934169278993</v>
      </c>
      <c r="X13" s="457">
        <f t="shared" si="24"/>
        <v>-16.715353901996366</v>
      </c>
      <c r="Y13" s="488">
        <f t="shared" si="24"/>
        <v>-16.511724137931033</v>
      </c>
      <c r="Z13" s="512">
        <f t="shared" si="24"/>
        <v>-18.960893416927892</v>
      </c>
      <c r="AA13" s="512">
        <f t="shared" si="24"/>
        <v>-17.036420361247952</v>
      </c>
      <c r="AB13" s="457">
        <f t="shared" si="24"/>
        <v>-18.639696223316911</v>
      </c>
      <c r="AC13" s="488">
        <f t="shared" si="24"/>
        <v>-8.5197178683385602</v>
      </c>
      <c r="AD13" s="520">
        <f t="shared" si="24"/>
        <v>-17.959688013136294</v>
      </c>
      <c r="AE13" s="459">
        <f t="shared" ref="AE13:AE14" si="25">AVERAGE(S13:U13)</f>
        <v>-2.7928218390804589</v>
      </c>
      <c r="AF13" s="458">
        <f t="shared" ref="AF13:AF14" si="26">AVERAGE(V13:X13)</f>
        <v>-13.825564551399395</v>
      </c>
      <c r="AG13" s="458">
        <f t="shared" ref="AG13:AG14" si="27">AVERAGE(Y13:AA13)</f>
        <v>-17.503012638702291</v>
      </c>
      <c r="AH13" s="458">
        <f t="shared" ref="AH13:AH14" si="28">AVERAGE(AB13:AD13)</f>
        <v>-15.039700701597255</v>
      </c>
      <c r="AI13" s="531">
        <f t="shared" ref="AI13:AI14" si="29">AVERAGE(S13:AD13)</f>
        <v>-12.290274932694849</v>
      </c>
      <c r="AJ13" s="567">
        <f t="shared" ref="AJ13:CH13" si="30">(AJ7/11.6)-AJ4</f>
        <v>-13.633793103448276</v>
      </c>
      <c r="AK13" s="565">
        <f t="shared" si="30"/>
        <v>-6.5951724137931009</v>
      </c>
      <c r="AL13" s="545">
        <f t="shared" si="30"/>
        <v>-4.6482758620689637</v>
      </c>
      <c r="AM13" s="546">
        <f t="shared" si="30"/>
        <v>-12.634827586206896</v>
      </c>
      <c r="AN13" s="546">
        <f t="shared" si="30"/>
        <v>-17.134827586206896</v>
      </c>
      <c r="AO13" s="546">
        <f t="shared" si="30"/>
        <v>-13.064827586206896</v>
      </c>
      <c r="AP13" s="546">
        <f t="shared" si="30"/>
        <v>-16.966551724137929</v>
      </c>
      <c r="AQ13" s="546">
        <f t="shared" si="30"/>
        <v>-12.28896551724138</v>
      </c>
      <c r="AR13" s="546">
        <f t="shared" si="30"/>
        <v>-11.427120689655169</v>
      </c>
      <c r="AS13" s="546">
        <f t="shared" si="30"/>
        <v>-5.7655172413793068</v>
      </c>
      <c r="AT13" s="546">
        <f t="shared" si="30"/>
        <v>-11.03551724137931</v>
      </c>
      <c r="AU13" s="566">
        <f t="shared" si="30"/>
        <v>-11.600000000000001</v>
      </c>
      <c r="AV13" s="560">
        <f t="shared" si="30"/>
        <v>-16.189999999999998</v>
      </c>
      <c r="AW13" s="561">
        <f t="shared" si="30"/>
        <v>-18.323448275862063</v>
      </c>
      <c r="AX13" s="561">
        <f t="shared" si="30"/>
        <v>-22.007241379310344</v>
      </c>
      <c r="AY13" s="561">
        <f t="shared" si="30"/>
        <v>-27.537241379310338</v>
      </c>
      <c r="AZ13" s="561">
        <f t="shared" si="30"/>
        <v>-31.091034482758616</v>
      </c>
      <c r="BA13" s="561">
        <f t="shared" si="30"/>
        <v>-25.314137931034487</v>
      </c>
      <c r="BB13" s="561">
        <f t="shared" si="30"/>
        <v>-24.628620689655179</v>
      </c>
      <c r="BC13" s="561">
        <f t="shared" si="30"/>
        <v>-21.843448275862059</v>
      </c>
      <c r="BD13" s="561">
        <f t="shared" si="30"/>
        <v>-21.767241379310342</v>
      </c>
      <c r="BE13" s="561">
        <f t="shared" si="30"/>
        <v>-22.924482758620691</v>
      </c>
      <c r="BF13" s="561">
        <f t="shared" si="30"/>
        <v>-19.654827586206899</v>
      </c>
      <c r="BG13" s="624">
        <f t="shared" si="30"/>
        <v>-20.231034482758616</v>
      </c>
      <c r="BH13" s="626">
        <f t="shared" si="30"/>
        <v>-22.442068965517237</v>
      </c>
      <c r="BI13" s="626">
        <f t="shared" si="30"/>
        <v>-25.345862068965509</v>
      </c>
      <c r="BJ13" s="626">
        <f t="shared" si="30"/>
        <v>-23.395517241379316</v>
      </c>
      <c r="BK13" s="626">
        <f t="shared" si="30"/>
        <v>-25.691379310344828</v>
      </c>
      <c r="BL13" s="626">
        <f t="shared" si="30"/>
        <v>-23.905862068965511</v>
      </c>
      <c r="BM13" s="626">
        <f t="shared" si="30"/>
        <v>-25.337586206896546</v>
      </c>
      <c r="BN13" s="626">
        <f t="shared" si="30"/>
        <v>-31.78448275862069</v>
      </c>
      <c r="BO13" s="626">
        <f t="shared" si="30"/>
        <v>-27.64448275862069</v>
      </c>
      <c r="BP13" s="626">
        <f t="shared" si="30"/>
        <v>-30.516551724137926</v>
      </c>
      <c r="BQ13" s="626">
        <f t="shared" si="30"/>
        <v>-22.516551724137926</v>
      </c>
      <c r="BR13" s="626">
        <f t="shared" si="30"/>
        <v>-24.084482758620688</v>
      </c>
      <c r="BS13" s="626">
        <f t="shared" si="30"/>
        <v>-25.422413793103445</v>
      </c>
      <c r="BT13" s="656">
        <f t="shared" si="30"/>
        <v>-14.505517241379316</v>
      </c>
      <c r="BU13" s="656">
        <f t="shared" si="30"/>
        <v>-8.9613793103448245</v>
      </c>
      <c r="BV13" s="656">
        <f t="shared" si="30"/>
        <v>5.5241379310344811</v>
      </c>
      <c r="BW13" s="656">
        <f t="shared" si="30"/>
        <v>-0.13137931034482619</v>
      </c>
      <c r="BX13" s="656">
        <f t="shared" si="30"/>
        <v>-1.1596551724137925</v>
      </c>
      <c r="BY13" s="656">
        <f t="shared" si="30"/>
        <v>-11.479655172413793</v>
      </c>
      <c r="BZ13" s="656">
        <f t="shared" si="30"/>
        <v>-12.827586206896552</v>
      </c>
      <c r="CA13" s="656">
        <f t="shared" si="30"/>
        <v>-13.383801724137932</v>
      </c>
      <c r="CB13" s="656">
        <f t="shared" si="30"/>
        <v>-10.46074451410658</v>
      </c>
      <c r="CC13" s="656">
        <f t="shared" si="30"/>
        <v>-8.1180329153605015</v>
      </c>
      <c r="CD13" s="650">
        <f t="shared" si="30"/>
        <v>-5.8900000000000006</v>
      </c>
      <c r="CE13" s="650">
        <f t="shared" si="30"/>
        <v>-10.475862068965519</v>
      </c>
      <c r="CF13" s="650">
        <f t="shared" si="30"/>
        <v>-6.9482758620689609</v>
      </c>
      <c r="CG13" s="650">
        <f t="shared" si="30"/>
        <v>-1.9913793103448256</v>
      </c>
      <c r="CH13" s="650">
        <f t="shared" si="30"/>
        <v>-5.1551724137931032</v>
      </c>
      <c r="CI13" s="650">
        <f t="shared" ref="CI13" si="31">(CI7/11.6)-CI4</f>
        <v>-9.25</v>
      </c>
    </row>
    <row r="14" spans="1:87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2">(333/11.6)-C4</f>
        <v>-27.140353448275857</v>
      </c>
      <c r="D14" s="461">
        <f t="shared" si="32"/>
        <v>-25.950830721003133</v>
      </c>
      <c r="E14" s="461">
        <f t="shared" si="32"/>
        <v>-29.842627257799681</v>
      </c>
      <c r="F14" s="461">
        <f t="shared" si="32"/>
        <v>-34.85010344827586</v>
      </c>
      <c r="G14" s="461">
        <f t="shared" si="32"/>
        <v>-33.08119868637111</v>
      </c>
      <c r="H14" s="461">
        <f t="shared" si="32"/>
        <v>-27.447233883058484</v>
      </c>
      <c r="I14" s="461">
        <f t="shared" si="32"/>
        <v>-19.165722495894908</v>
      </c>
      <c r="J14" s="462">
        <f t="shared" si="32"/>
        <v>-16.672194357366781</v>
      </c>
      <c r="K14" s="490">
        <f t="shared" si="32"/>
        <v>-17.131739811912215</v>
      </c>
      <c r="L14" s="491">
        <f t="shared" si="32"/>
        <v>-13.087151067323479</v>
      </c>
      <c r="M14" s="492">
        <f t="shared" si="32"/>
        <v>-5.8083208395802153</v>
      </c>
      <c r="N14" s="493">
        <f t="shared" si="19"/>
        <v>-23.319524443946857</v>
      </c>
      <c r="O14" s="494">
        <f t="shared" si="20"/>
        <v>-32.591309797482218</v>
      </c>
      <c r="P14" s="494">
        <f t="shared" si="21"/>
        <v>-21.09505024544006</v>
      </c>
      <c r="Q14" s="495">
        <f t="shared" si="22"/>
        <v>-12.009070572938635</v>
      </c>
      <c r="R14" s="496">
        <f t="shared" si="23"/>
        <v>-22.253738764951944</v>
      </c>
      <c r="S14" s="497">
        <f t="shared" ref="S14:AD14" si="33">(333/11.6)-S4</f>
        <v>1.8973965517241353</v>
      </c>
      <c r="T14" s="498">
        <f t="shared" si="33"/>
        <v>-0.69310344827585979</v>
      </c>
      <c r="U14" s="498">
        <f t="shared" si="33"/>
        <v>-6.3931034482758626</v>
      </c>
      <c r="V14" s="498">
        <f t="shared" si="33"/>
        <v>-10.321198686371108</v>
      </c>
      <c r="W14" s="498">
        <f t="shared" si="33"/>
        <v>-15.560830721003132</v>
      </c>
      <c r="X14" s="498">
        <f t="shared" si="33"/>
        <v>-17.66362976406533</v>
      </c>
      <c r="Y14" s="499">
        <f t="shared" si="33"/>
        <v>-13.753103448275862</v>
      </c>
      <c r="Z14" s="513">
        <f t="shared" si="33"/>
        <v>-14.995376175548582</v>
      </c>
      <c r="AA14" s="513">
        <f t="shared" si="33"/>
        <v>-14.622627257799675</v>
      </c>
      <c r="AB14" s="498">
        <f t="shared" si="33"/>
        <v>-20.277627257799669</v>
      </c>
      <c r="AC14" s="499">
        <f t="shared" si="33"/>
        <v>-15.157648902821318</v>
      </c>
      <c r="AD14" s="525">
        <f t="shared" si="33"/>
        <v>-23.390722495894916</v>
      </c>
      <c r="AE14" s="501">
        <f t="shared" si="25"/>
        <v>-1.7296034482758624</v>
      </c>
      <c r="AF14" s="500">
        <f t="shared" si="26"/>
        <v>-14.515219723813189</v>
      </c>
      <c r="AG14" s="500">
        <f t="shared" si="27"/>
        <v>-14.457035627208038</v>
      </c>
      <c r="AH14" s="500">
        <f t="shared" si="28"/>
        <v>-19.608666218838636</v>
      </c>
      <c r="AI14" s="502">
        <f t="shared" si="29"/>
        <v>-12.577631254533932</v>
      </c>
      <c r="AJ14" s="537">
        <f t="shared" ref="AJ14:AU14" si="34">(333/11.6)-AJ4</f>
        <v>-25.01310344827586</v>
      </c>
      <c r="AK14" s="538">
        <f t="shared" si="34"/>
        <v>-25.733103448275859</v>
      </c>
      <c r="AL14" s="538">
        <f t="shared" si="34"/>
        <v>-22.493103448275864</v>
      </c>
      <c r="AM14" s="539">
        <f t="shared" si="34"/>
        <v>-23.58310344827586</v>
      </c>
      <c r="AN14" s="539">
        <f t="shared" si="34"/>
        <v>-21.83310344827586</v>
      </c>
      <c r="AO14" s="539">
        <f t="shared" si="34"/>
        <v>-17.76310344827586</v>
      </c>
      <c r="AP14" s="539">
        <f t="shared" si="34"/>
        <v>-18.863103448275861</v>
      </c>
      <c r="AQ14" s="540">
        <f t="shared" si="34"/>
        <v>-21.51310344827586</v>
      </c>
      <c r="AR14" s="541">
        <f t="shared" si="34"/>
        <v>-24.961603448275856</v>
      </c>
      <c r="AS14" s="542">
        <f t="shared" si="34"/>
        <v>-26.843103448275858</v>
      </c>
      <c r="AT14" s="543">
        <f t="shared" si="34"/>
        <v>-32.113103448275865</v>
      </c>
      <c r="AU14" s="544">
        <f t="shared" si="34"/>
        <v>-32.893103448275866</v>
      </c>
      <c r="AV14" s="542"/>
      <c r="AW14" s="543"/>
      <c r="AX14" s="543"/>
      <c r="AY14" s="543"/>
      <c r="AZ14" s="544"/>
      <c r="BB14"/>
    </row>
    <row r="15" spans="1:87" s="507" customFormat="1" ht="31.5" customHeight="1">
      <c r="A15" s="654" t="s">
        <v>395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7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" thickBot="1">
      <c r="CD18" s="518" t="s">
        <v>242</v>
      </c>
      <c r="CF18" s="510" t="s">
        <v>396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24" t="s">
        <v>239</v>
      </c>
      <c r="CE19" s="725"/>
      <c r="CF19" s="725"/>
      <c r="CG19" s="725"/>
      <c r="CH19" s="725"/>
      <c r="CI19" s="726"/>
      <c r="CJ19" s="725" t="s">
        <v>240</v>
      </c>
      <c r="CK19" s="725"/>
      <c r="CL19" s="725"/>
      <c r="CM19" s="725"/>
      <c r="CN19" s="725"/>
      <c r="CO19" s="726"/>
    </row>
    <row r="20" spans="4:93" ht="48.65" customHeight="1">
      <c r="CD20" s="718" t="s">
        <v>397</v>
      </c>
      <c r="CE20" s="719"/>
      <c r="CF20" s="719"/>
      <c r="CG20" s="719"/>
      <c r="CH20" s="719"/>
      <c r="CI20" s="720"/>
      <c r="CJ20" s="718" t="s">
        <v>347</v>
      </c>
      <c r="CK20" s="719"/>
      <c r="CL20" s="719"/>
      <c r="CM20" s="719"/>
      <c r="CN20" s="719"/>
      <c r="CO20" s="720"/>
    </row>
    <row r="21" spans="4:93" ht="48.65" customHeight="1">
      <c r="CD21" s="718" t="s">
        <v>399</v>
      </c>
      <c r="CE21" s="719"/>
      <c r="CF21" s="719"/>
      <c r="CG21" s="719"/>
      <c r="CH21" s="719"/>
      <c r="CI21" s="720"/>
      <c r="CJ21" s="718" t="s">
        <v>400</v>
      </c>
      <c r="CK21" s="719"/>
      <c r="CL21" s="719"/>
      <c r="CM21" s="719"/>
      <c r="CN21" s="719"/>
      <c r="CO21" s="720"/>
    </row>
    <row r="22" spans="4:93" ht="48.65" customHeight="1">
      <c r="CD22" s="719" t="s">
        <v>398</v>
      </c>
      <c r="CE22" s="737"/>
      <c r="CF22" s="737"/>
      <c r="CG22" s="737"/>
      <c r="CH22" s="737"/>
      <c r="CI22" s="738"/>
      <c r="CJ22" s="739"/>
      <c r="CK22" s="740"/>
      <c r="CL22" s="740"/>
      <c r="CM22" s="740"/>
      <c r="CN22" s="740"/>
      <c r="CO22" s="741"/>
    </row>
    <row r="23" spans="4:93" ht="48.65" customHeight="1">
      <c r="CD23" s="719" t="s">
        <v>402</v>
      </c>
      <c r="CE23" s="719"/>
      <c r="CF23" s="719"/>
      <c r="CG23" s="719"/>
      <c r="CH23" s="719"/>
      <c r="CI23" s="720"/>
      <c r="CJ23" s="743"/>
      <c r="CK23" s="744"/>
      <c r="CL23" s="744"/>
      <c r="CM23" s="744"/>
      <c r="CN23" s="744"/>
      <c r="CO23" s="745"/>
    </row>
    <row r="24" spans="4:93" ht="48.65" customHeight="1">
      <c r="CD24" s="718" t="s">
        <v>366</v>
      </c>
      <c r="CE24" s="719"/>
      <c r="CF24" s="719"/>
      <c r="CG24" s="719"/>
      <c r="CH24" s="719"/>
      <c r="CI24" s="720"/>
      <c r="CJ24" s="739"/>
      <c r="CK24" s="740"/>
      <c r="CL24" s="740"/>
      <c r="CM24" s="740"/>
      <c r="CN24" s="740"/>
      <c r="CO24" s="741"/>
    </row>
    <row r="25" spans="4:93">
      <c r="CD25" s="659"/>
      <c r="CJ25"/>
    </row>
    <row r="26" spans="4:93">
      <c r="CJ26"/>
    </row>
    <row r="27" spans="4:93">
      <c r="CD27" s="620" t="s">
        <v>251</v>
      </c>
      <c r="CJ27"/>
    </row>
    <row r="28" spans="4:93">
      <c r="CD28" s="619" t="s">
        <v>320</v>
      </c>
    </row>
    <row r="29" spans="4:93">
      <c r="CD29" s="619" t="s">
        <v>401</v>
      </c>
    </row>
    <row r="30" spans="4:93">
      <c r="CD30" s="619"/>
    </row>
  </sheetData>
  <mergeCells count="21">
    <mergeCell ref="BH2:BS2"/>
    <mergeCell ref="BT2:CE2"/>
    <mergeCell ref="B2:M2"/>
    <mergeCell ref="N2:R2"/>
    <mergeCell ref="S2:AD2"/>
    <mergeCell ref="AE2:AI2"/>
    <mergeCell ref="AJ2:AU2"/>
    <mergeCell ref="AV2:BG2"/>
    <mergeCell ref="CJ22:CO22"/>
    <mergeCell ref="CD24:CI24"/>
    <mergeCell ref="CJ24:CO24"/>
    <mergeCell ref="CF2:CI2"/>
    <mergeCell ref="CD23:CI23"/>
    <mergeCell ref="CJ23:CO23"/>
    <mergeCell ref="CD19:CI19"/>
    <mergeCell ref="CJ19:CO19"/>
    <mergeCell ref="CD20:CI20"/>
    <mergeCell ref="CJ20:CO20"/>
    <mergeCell ref="CD21:CI21"/>
    <mergeCell ref="CJ21:CO21"/>
    <mergeCell ref="CD22:CI2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70C0"/>
    <pageSetUpPr fitToPage="1"/>
  </sheetPr>
  <dimension ref="A1:CO28"/>
  <sheetViews>
    <sheetView zoomScale="80" zoomScaleNormal="80" zoomScaleSheetLayoutView="50" workbookViewId="0">
      <pane xSplit="1" ySplit="3" topLeftCell="BM10" activePane="bottomRight" state="frozenSplit"/>
      <selection pane="topRight" activeCell="B1" sqref="B1"/>
      <selection pane="bottomLeft" activeCell="A3" sqref="A3"/>
      <selection pane="bottomRight" activeCell="CV21" sqref="CV21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81" width="10.08984375" style="432" hidden="1" customWidth="1"/>
    <col min="82" max="83" width="10.08984375" style="432" customWidth="1"/>
    <col min="84" max="87" width="10.6328125" style="432" customWidth="1"/>
    <col min="88" max="92" width="9.08984375" style="432"/>
    <col min="93" max="93" width="17.6328125" style="432" customWidth="1"/>
    <col min="94" max="16384" width="9.08984375" style="432"/>
  </cols>
  <sheetData>
    <row r="1" spans="1:87" ht="20.25" customHeight="1" thickBot="1">
      <c r="A1" s="428" t="s">
        <v>416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7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  <c r="CE2" s="717"/>
      <c r="CF2" s="742">
        <v>2021</v>
      </c>
      <c r="CG2" s="742"/>
      <c r="CH2" s="742"/>
      <c r="CI2" s="742"/>
    </row>
    <row r="3" spans="1:87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</row>
    <row r="4" spans="1:87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64">
        <v>54.5</v>
      </c>
      <c r="CG4" s="664">
        <v>54.3</v>
      </c>
      <c r="CH4" s="664">
        <v>54</v>
      </c>
      <c r="CI4" s="664">
        <v>53</v>
      </c>
    </row>
    <row r="5" spans="1:87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64">
        <v>55.4</v>
      </c>
      <c r="CG5" s="664">
        <v>54.6</v>
      </c>
      <c r="CH5" s="664">
        <v>53.75</v>
      </c>
      <c r="CI5" s="664">
        <v>52.3</v>
      </c>
    </row>
    <row r="6" spans="1:87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64">
        <v>510.59999999999997</v>
      </c>
      <c r="CG6" s="664">
        <v>503.40000000000003</v>
      </c>
      <c r="CH6" s="664">
        <v>495.75</v>
      </c>
      <c r="CI6" s="664">
        <v>482.7</v>
      </c>
    </row>
    <row r="7" spans="1:87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I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596">
        <f t="shared" si="13"/>
        <v>580</v>
      </c>
      <c r="CH7" s="596">
        <f t="shared" si="13"/>
        <v>560</v>
      </c>
      <c r="CI7" s="596">
        <f t="shared" si="13"/>
        <v>507.5</v>
      </c>
    </row>
    <row r="8" spans="1:87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66">
        <v>595</v>
      </c>
      <c r="CH8" s="666">
        <v>570</v>
      </c>
      <c r="CI8" s="666">
        <v>510</v>
      </c>
    </row>
    <row r="9" spans="1:87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66">
        <v>565</v>
      </c>
      <c r="CH9" s="666">
        <v>550</v>
      </c>
      <c r="CI9" s="666">
        <v>505</v>
      </c>
    </row>
    <row r="10" spans="1:87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I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-58.050000000000011</v>
      </c>
      <c r="CE10" s="651">
        <f t="shared" si="14"/>
        <v>-14.689999999999941</v>
      </c>
      <c r="CF10" s="651">
        <f t="shared" si="14"/>
        <v>-29.400000000000034</v>
      </c>
      <c r="CG10" s="651">
        <f t="shared" si="14"/>
        <v>-76.599999999999966</v>
      </c>
      <c r="CH10" s="651">
        <f t="shared" si="14"/>
        <v>-64.25</v>
      </c>
      <c r="CI10" s="651">
        <f t="shared" si="14"/>
        <v>-24.800000000000011</v>
      </c>
    </row>
    <row r="11" spans="1:87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7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</row>
    <row r="13" spans="1:87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I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0">
        <f t="shared" si="28"/>
        <v>-5.8900000000000006</v>
      </c>
      <c r="CE13" s="650">
        <f t="shared" si="28"/>
        <v>-10.475862068965519</v>
      </c>
      <c r="CF13" s="650">
        <f t="shared" si="28"/>
        <v>-7.9482758620689609</v>
      </c>
      <c r="CG13" s="650">
        <f t="shared" si="28"/>
        <v>-4.2999999999999972</v>
      </c>
      <c r="CH13" s="650">
        <f t="shared" si="28"/>
        <v>-5.724137931034484</v>
      </c>
      <c r="CI13" s="650">
        <f t="shared" si="28"/>
        <v>-9.25</v>
      </c>
    </row>
    <row r="14" spans="1:87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7" s="507" customFormat="1" ht="31.5" customHeight="1">
      <c r="A15" s="654" t="s">
        <v>407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7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" thickBot="1">
      <c r="CD18" s="518" t="s">
        <v>242</v>
      </c>
      <c r="CF18" s="510" t="s">
        <v>396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24" t="s">
        <v>239</v>
      </c>
      <c r="CE19" s="725"/>
      <c r="CF19" s="725"/>
      <c r="CG19" s="725"/>
      <c r="CH19" s="725"/>
      <c r="CI19" s="726"/>
      <c r="CJ19" s="725" t="s">
        <v>240</v>
      </c>
      <c r="CK19" s="725"/>
      <c r="CL19" s="725"/>
      <c r="CM19" s="725"/>
      <c r="CN19" s="725"/>
      <c r="CO19" s="726"/>
    </row>
    <row r="20" spans="4:93" ht="48.65" customHeight="1">
      <c r="CD20" s="746" t="s">
        <v>412</v>
      </c>
      <c r="CE20" s="747"/>
      <c r="CF20" s="747"/>
      <c r="CG20" s="747"/>
      <c r="CH20" s="747"/>
      <c r="CI20" s="748"/>
      <c r="CJ20" s="746" t="s">
        <v>414</v>
      </c>
      <c r="CK20" s="747"/>
      <c r="CL20" s="747"/>
      <c r="CM20" s="747"/>
      <c r="CN20" s="747"/>
      <c r="CO20" s="748"/>
    </row>
    <row r="21" spans="4:93" ht="52.5" customHeight="1">
      <c r="CD21" s="746" t="s">
        <v>411</v>
      </c>
      <c r="CE21" s="747"/>
      <c r="CF21" s="747"/>
      <c r="CG21" s="747"/>
      <c r="CH21" s="747"/>
      <c r="CI21" s="748"/>
      <c r="CJ21" s="746" t="s">
        <v>415</v>
      </c>
      <c r="CK21" s="747"/>
      <c r="CL21" s="747"/>
      <c r="CM21" s="747"/>
      <c r="CN21" s="747"/>
      <c r="CO21" s="748"/>
    </row>
    <row r="22" spans="4:93" ht="48.65" customHeight="1">
      <c r="CD22" s="747" t="s">
        <v>413</v>
      </c>
      <c r="CE22" s="749"/>
      <c r="CF22" s="749"/>
      <c r="CG22" s="749"/>
      <c r="CH22" s="749"/>
      <c r="CI22" s="750"/>
      <c r="CJ22" s="751"/>
      <c r="CK22" s="752"/>
      <c r="CL22" s="752"/>
      <c r="CM22" s="752"/>
      <c r="CN22" s="752"/>
      <c r="CO22" s="753"/>
    </row>
    <row r="23" spans="4:93" ht="48.65" customHeight="1">
      <c r="CD23" s="752"/>
      <c r="CE23" s="752"/>
      <c r="CF23" s="752"/>
      <c r="CG23" s="752"/>
      <c r="CH23" s="752"/>
      <c r="CI23" s="753"/>
      <c r="CJ23" s="754"/>
      <c r="CK23" s="755"/>
      <c r="CL23" s="755"/>
      <c r="CM23" s="755"/>
      <c r="CN23" s="755"/>
      <c r="CO23" s="756"/>
    </row>
    <row r="24" spans="4:93">
      <c r="CD24" s="659"/>
      <c r="CJ24"/>
    </row>
    <row r="25" spans="4:93">
      <c r="CD25" s="620" t="s">
        <v>251</v>
      </c>
      <c r="CJ25"/>
    </row>
    <row r="26" spans="4:93">
      <c r="CD26" s="668" t="s">
        <v>410</v>
      </c>
    </row>
    <row r="27" spans="4:93">
      <c r="CD27" s="668" t="s">
        <v>408</v>
      </c>
    </row>
    <row r="28" spans="4:93">
      <c r="CD28" s="668" t="s">
        <v>409</v>
      </c>
    </row>
  </sheetData>
  <mergeCells count="19">
    <mergeCell ref="CD20:CI20"/>
    <mergeCell ref="CJ20:CO20"/>
    <mergeCell ref="B2:M2"/>
    <mergeCell ref="N2:R2"/>
    <mergeCell ref="S2:AD2"/>
    <mergeCell ref="AE2:AI2"/>
    <mergeCell ref="AJ2:AU2"/>
    <mergeCell ref="AV2:BG2"/>
    <mergeCell ref="BH2:BS2"/>
    <mergeCell ref="BT2:CE2"/>
    <mergeCell ref="CF2:CI2"/>
    <mergeCell ref="CD19:CI19"/>
    <mergeCell ref="CJ19:CO19"/>
    <mergeCell ref="CD21:CI21"/>
    <mergeCell ref="CJ21:CO21"/>
    <mergeCell ref="CD22:CI22"/>
    <mergeCell ref="CJ22:CO22"/>
    <mergeCell ref="CD23:CI23"/>
    <mergeCell ref="CJ23:CO23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70C0"/>
    <pageSetUpPr fitToPage="1"/>
  </sheetPr>
  <dimension ref="A1:CO27"/>
  <sheetViews>
    <sheetView zoomScale="80" zoomScaleNormal="80" zoomScaleSheetLayoutView="50" workbookViewId="0">
      <pane xSplit="1" ySplit="3" topLeftCell="BM4" activePane="bottomRight" state="frozenSplit"/>
      <selection pane="topRight" activeCell="B1" sqref="B1"/>
      <selection pane="bottomLeft" activeCell="A3" sqref="A3"/>
      <selection pane="bottomRight" activeCell="CS13" sqref="CS13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81" width="10.08984375" style="432" hidden="1" customWidth="1"/>
    <col min="82" max="83" width="10.08984375" style="432" customWidth="1"/>
    <col min="84" max="87" width="10.6328125" style="432" customWidth="1"/>
    <col min="88" max="88" width="10" style="432" bestFit="1" customWidth="1"/>
    <col min="89" max="92" width="9.08984375" style="432"/>
    <col min="93" max="93" width="17.6328125" style="432" customWidth="1"/>
    <col min="94" max="16384" width="9.08984375" style="432"/>
  </cols>
  <sheetData>
    <row r="1" spans="1:88" ht="20.25" customHeight="1" thickBot="1">
      <c r="A1" s="428" t="s">
        <v>417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8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  <c r="CE2" s="717"/>
      <c r="CF2" s="736">
        <v>2021</v>
      </c>
      <c r="CG2" s="736"/>
      <c r="CH2" s="736"/>
      <c r="CI2" s="736"/>
      <c r="CJ2" s="736"/>
    </row>
    <row r="3" spans="1:8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44319</v>
      </c>
    </row>
    <row r="4" spans="1:8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64">
        <v>58</v>
      </c>
      <c r="CH4" s="664">
        <v>57.5</v>
      </c>
      <c r="CI4" s="664">
        <v>56.9</v>
      </c>
      <c r="CJ4" s="664">
        <v>56.8</v>
      </c>
    </row>
    <row r="5" spans="1:8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64">
        <v>58.96</v>
      </c>
      <c r="CH5" s="664">
        <v>57.99</v>
      </c>
      <c r="CI5" s="664">
        <v>57.1</v>
      </c>
      <c r="CJ5" s="664">
        <v>56.18</v>
      </c>
    </row>
    <row r="6" spans="1:8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64">
        <v>542.64</v>
      </c>
      <c r="CH6" s="664">
        <v>533.91</v>
      </c>
      <c r="CI6" s="664">
        <v>525.9</v>
      </c>
      <c r="CJ6" s="664">
        <v>517.62</v>
      </c>
    </row>
    <row r="7" spans="1:8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J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617">
        <f t="shared" si="13"/>
        <v>595</v>
      </c>
      <c r="CH7" s="596">
        <f t="shared" si="13"/>
        <v>567.5</v>
      </c>
      <c r="CI7" s="596">
        <f t="shared" si="13"/>
        <v>515</v>
      </c>
      <c r="CJ7" s="596">
        <f t="shared" si="13"/>
        <v>490</v>
      </c>
    </row>
    <row r="8" spans="1:8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66">
        <v>575</v>
      </c>
      <c r="CI8" s="666">
        <v>520</v>
      </c>
      <c r="CJ8" s="666">
        <v>490</v>
      </c>
    </row>
    <row r="9" spans="1:8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66">
        <v>560</v>
      </c>
      <c r="CI9" s="666">
        <v>510</v>
      </c>
      <c r="CJ9" s="666">
        <v>490</v>
      </c>
    </row>
    <row r="10" spans="1:8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J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-58.050000000000011</v>
      </c>
      <c r="CE10" s="651">
        <f t="shared" si="14"/>
        <v>-14.689999999999941</v>
      </c>
      <c r="CF10" s="651">
        <f t="shared" si="14"/>
        <v>-27.779999999999973</v>
      </c>
      <c r="CG10" s="651">
        <f t="shared" si="14"/>
        <v>-52.360000000000014</v>
      </c>
      <c r="CH10" s="651">
        <f t="shared" si="14"/>
        <v>-33.590000000000032</v>
      </c>
      <c r="CI10" s="651">
        <f t="shared" si="14"/>
        <v>10.899999999999977</v>
      </c>
      <c r="CJ10" s="651">
        <f t="shared" si="14"/>
        <v>27.620000000000005</v>
      </c>
    </row>
    <row r="11" spans="1:8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44320</v>
      </c>
    </row>
    <row r="13" spans="1:88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J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0">
        <f t="shared" si="28"/>
        <v>-5.8900000000000006</v>
      </c>
      <c r="CE13" s="650">
        <f t="shared" si="28"/>
        <v>-10.475862068965519</v>
      </c>
      <c r="CF13" s="650">
        <f t="shared" si="28"/>
        <v>-8.218275862068964</v>
      </c>
      <c r="CG13" s="650">
        <f t="shared" si="28"/>
        <v>-6.7068965517241352</v>
      </c>
      <c r="CH13" s="650">
        <f t="shared" si="28"/>
        <v>-8.577586206896548</v>
      </c>
      <c r="CI13" s="650">
        <f t="shared" si="28"/>
        <v>-12.503448275862063</v>
      </c>
      <c r="CJ13" s="650">
        <f t="shared" si="28"/>
        <v>-14.558620689655172</v>
      </c>
    </row>
    <row r="14" spans="1:8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8" s="507" customFormat="1" ht="31.5" customHeight="1">
      <c r="A15" s="654" t="s">
        <v>418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" thickBot="1">
      <c r="CD18" s="518" t="s">
        <v>242</v>
      </c>
      <c r="CF18" s="510" t="s">
        <v>419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24" t="s">
        <v>239</v>
      </c>
      <c r="CE19" s="725"/>
      <c r="CF19" s="725"/>
      <c r="CG19" s="725"/>
      <c r="CH19" s="725"/>
      <c r="CI19" s="726"/>
      <c r="CJ19" s="725" t="s">
        <v>240</v>
      </c>
      <c r="CK19" s="725"/>
      <c r="CL19" s="725"/>
      <c r="CM19" s="725"/>
      <c r="CN19" s="725"/>
      <c r="CO19" s="726"/>
    </row>
    <row r="20" spans="4:93" ht="48.65" customHeight="1">
      <c r="CD20" s="746" t="s">
        <v>424</v>
      </c>
      <c r="CE20" s="747"/>
      <c r="CF20" s="747"/>
      <c r="CG20" s="747"/>
      <c r="CH20" s="747"/>
      <c r="CI20" s="748"/>
      <c r="CJ20" s="746" t="s">
        <v>421</v>
      </c>
      <c r="CK20" s="747"/>
      <c r="CL20" s="747"/>
      <c r="CM20" s="747"/>
      <c r="CN20" s="747"/>
      <c r="CO20" s="748"/>
    </row>
    <row r="21" spans="4:93" ht="52.5" customHeight="1">
      <c r="CD21" s="746" t="s">
        <v>420</v>
      </c>
      <c r="CE21" s="747"/>
      <c r="CF21" s="747"/>
      <c r="CG21" s="747"/>
      <c r="CH21" s="747"/>
      <c r="CI21" s="748"/>
      <c r="CJ21" s="746" t="s">
        <v>423</v>
      </c>
      <c r="CK21" s="747"/>
      <c r="CL21" s="747"/>
      <c r="CM21" s="747"/>
      <c r="CN21" s="747"/>
      <c r="CO21" s="748"/>
    </row>
    <row r="22" spans="4:93" ht="48.65" customHeight="1">
      <c r="CD22" s="747" t="s">
        <v>422</v>
      </c>
      <c r="CE22" s="749"/>
      <c r="CF22" s="749"/>
      <c r="CG22" s="749"/>
      <c r="CH22" s="749"/>
      <c r="CI22" s="750"/>
      <c r="CJ22" s="751"/>
      <c r="CK22" s="752"/>
      <c r="CL22" s="752"/>
      <c r="CM22" s="752"/>
      <c r="CN22" s="752"/>
      <c r="CO22" s="753"/>
    </row>
    <row r="23" spans="4:93">
      <c r="CD23" s="659"/>
      <c r="CJ23"/>
    </row>
    <row r="24" spans="4:93">
      <c r="CD24" s="620" t="s">
        <v>251</v>
      </c>
      <c r="CJ24"/>
    </row>
    <row r="25" spans="4:93">
      <c r="CD25" s="668" t="s">
        <v>410</v>
      </c>
    </row>
    <row r="26" spans="4:93">
      <c r="CD26" s="668"/>
    </row>
    <row r="27" spans="4:93">
      <c r="CD27" s="668"/>
    </row>
  </sheetData>
  <mergeCells count="17">
    <mergeCell ref="CD21:CI21"/>
    <mergeCell ref="CJ21:CO21"/>
    <mergeCell ref="CD22:CI22"/>
    <mergeCell ref="CJ22:CO22"/>
    <mergeCell ref="BH2:BS2"/>
    <mergeCell ref="BT2:CE2"/>
    <mergeCell ref="CF2:CJ2"/>
    <mergeCell ref="CD19:CI19"/>
    <mergeCell ref="CJ19:CO19"/>
    <mergeCell ref="CD20:CI20"/>
    <mergeCell ref="CJ20:CO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70C0"/>
    <pageSetUpPr fitToPage="1"/>
  </sheetPr>
  <dimension ref="A1:CO27"/>
  <sheetViews>
    <sheetView zoomScale="90" zoomScaleNormal="90" zoomScaleSheetLayoutView="50" workbookViewId="0">
      <pane xSplit="1" ySplit="3" topLeftCell="BM4" activePane="bottomRight" state="frozenSplit"/>
      <selection pane="topRight" activeCell="B1" sqref="B1"/>
      <selection pane="bottomLeft" activeCell="A3" sqref="A3"/>
      <selection pane="bottomRight" activeCell="CD22" sqref="CD22:CI22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81" width="10.08984375" style="432" hidden="1" customWidth="1"/>
    <col min="82" max="83" width="10.08984375" style="432" customWidth="1"/>
    <col min="84" max="87" width="10.6328125" style="432" customWidth="1"/>
    <col min="88" max="88" width="10" style="432" bestFit="1" customWidth="1"/>
    <col min="89" max="92" width="9.08984375" style="432"/>
    <col min="93" max="93" width="17.6328125" style="432" customWidth="1"/>
    <col min="94" max="16384" width="9.08984375" style="432"/>
  </cols>
  <sheetData>
    <row r="1" spans="1:88" ht="20.25" customHeight="1" thickBot="1">
      <c r="A1" s="428" t="s">
        <v>426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8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  <c r="CE2" s="717"/>
      <c r="CF2" s="736">
        <v>2021</v>
      </c>
      <c r="CG2" s="736"/>
      <c r="CH2" s="736"/>
      <c r="CI2" s="736"/>
      <c r="CJ2" s="736"/>
    </row>
    <row r="3" spans="1:88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44319</v>
      </c>
    </row>
    <row r="4" spans="1:88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64">
        <v>60.3</v>
      </c>
      <c r="CH4" s="664">
        <v>61</v>
      </c>
      <c r="CI4" s="664">
        <v>59.8</v>
      </c>
      <c r="CJ4" s="664">
        <v>59.6</v>
      </c>
    </row>
    <row r="5" spans="1:88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64">
        <v>60.81</v>
      </c>
      <c r="CH5" s="664">
        <v>61.25</v>
      </c>
      <c r="CI5" s="664">
        <v>59.9</v>
      </c>
      <c r="CJ5" s="664">
        <v>58.98</v>
      </c>
    </row>
    <row r="6" spans="1:88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64">
        <v>559.29</v>
      </c>
      <c r="CH6" s="664">
        <v>563.25</v>
      </c>
      <c r="CI6" s="664">
        <v>551.1</v>
      </c>
      <c r="CJ6" s="664">
        <v>542.81999999999994</v>
      </c>
    </row>
    <row r="7" spans="1:88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I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617">
        <f t="shared" si="13"/>
        <v>595</v>
      </c>
      <c r="CH7" s="669">
        <f t="shared" si="13"/>
        <v>590</v>
      </c>
      <c r="CI7" s="669">
        <f t="shared" si="13"/>
        <v>540</v>
      </c>
      <c r="CJ7" s="669">
        <f t="shared" ref="CJ7" si="14">(CJ8+CJ9)/2</f>
        <v>510</v>
      </c>
    </row>
    <row r="8" spans="1:88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66">
        <v>600</v>
      </c>
      <c r="CI8" s="666">
        <v>545</v>
      </c>
      <c r="CJ8" s="666">
        <v>510</v>
      </c>
    </row>
    <row r="9" spans="1:88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66">
        <v>580</v>
      </c>
      <c r="CI9" s="666">
        <v>535</v>
      </c>
      <c r="CJ9" s="666">
        <v>510</v>
      </c>
    </row>
    <row r="10" spans="1:88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I10" si="15">AW6-AW7</f>
        <v>51.069999999999936</v>
      </c>
      <c r="AX10" s="618">
        <f t="shared" si="15"/>
        <v>108.60000000000002</v>
      </c>
      <c r="AY10" s="618">
        <f t="shared" si="15"/>
        <v>144.33000000000004</v>
      </c>
      <c r="AZ10" s="618">
        <f>AZ6-AZ7</f>
        <v>183.17999999999995</v>
      </c>
      <c r="BA10" s="618">
        <f t="shared" si="15"/>
        <v>90.939999999999941</v>
      </c>
      <c r="BB10" s="618">
        <f t="shared" si="15"/>
        <v>101.31000000000006</v>
      </c>
      <c r="BC10" s="618">
        <f t="shared" si="15"/>
        <v>71.720000000000027</v>
      </c>
      <c r="BD10" s="618">
        <f t="shared" si="15"/>
        <v>54.5</v>
      </c>
      <c r="BE10" s="618">
        <f t="shared" si="15"/>
        <v>32.210000000000036</v>
      </c>
      <c r="BF10" s="618">
        <f t="shared" si="15"/>
        <v>-6.6600000000000819</v>
      </c>
      <c r="BG10" s="636">
        <f t="shared" si="15"/>
        <v>62</v>
      </c>
      <c r="BH10" s="634">
        <f t="shared" si="15"/>
        <v>54.939999999999941</v>
      </c>
      <c r="BI10" s="627">
        <f t="shared" si="15"/>
        <v>67.509999999999991</v>
      </c>
      <c r="BJ10" s="627">
        <f t="shared" si="15"/>
        <v>50.269999999999982</v>
      </c>
      <c r="BK10" s="627">
        <f>BK6-BK7</f>
        <v>58.980000000000018</v>
      </c>
      <c r="BL10" s="627">
        <f t="shared" si="15"/>
        <v>27.050000000000068</v>
      </c>
      <c r="BM10" s="627">
        <f t="shared" si="15"/>
        <v>57.349999999999966</v>
      </c>
      <c r="BN10" s="627">
        <f t="shared" si="15"/>
        <v>149.95000000000005</v>
      </c>
      <c r="BO10" s="627">
        <f t="shared" si="15"/>
        <v>104.94999999999999</v>
      </c>
      <c r="BP10" s="627">
        <f t="shared" si="15"/>
        <v>146.26999999999998</v>
      </c>
      <c r="BQ10" s="627">
        <f t="shared" si="15"/>
        <v>95.88</v>
      </c>
      <c r="BR10" s="627">
        <f t="shared" si="15"/>
        <v>53.897222222222297</v>
      </c>
      <c r="BS10" s="627">
        <f t="shared" si="15"/>
        <v>143.19999999999993</v>
      </c>
      <c r="BT10" s="597">
        <f t="shared" si="15"/>
        <v>-17.579999999999927</v>
      </c>
      <c r="BU10" s="597">
        <f t="shared" si="15"/>
        <v>-42.300000000000011</v>
      </c>
      <c r="BV10" s="597">
        <f t="shared" si="15"/>
        <v>-156.53818181818184</v>
      </c>
      <c r="BW10" s="597">
        <f t="shared" si="15"/>
        <v>-56.049999999999983</v>
      </c>
      <c r="BX10" s="597">
        <f t="shared" si="15"/>
        <v>-91.299999999999983</v>
      </c>
      <c r="BY10" s="597">
        <f t="shared" si="15"/>
        <v>22.730000000000018</v>
      </c>
      <c r="BZ10" s="597">
        <f t="shared" si="15"/>
        <v>51.25</v>
      </c>
      <c r="CA10" s="597">
        <f t="shared" si="15"/>
        <v>43.099999999999909</v>
      </c>
      <c r="CB10" s="597">
        <f t="shared" si="15"/>
        <v>38.893636363636347</v>
      </c>
      <c r="CC10" s="597">
        <f t="shared" si="15"/>
        <v>10.07000000000005</v>
      </c>
      <c r="CD10" s="651">
        <f t="shared" si="15"/>
        <v>-58.050000000000011</v>
      </c>
      <c r="CE10" s="651">
        <f t="shared" si="15"/>
        <v>-14.689999999999941</v>
      </c>
      <c r="CF10" s="651">
        <f t="shared" si="15"/>
        <v>-27.779999999999973</v>
      </c>
      <c r="CG10" s="651">
        <f t="shared" si="15"/>
        <v>-35.710000000000036</v>
      </c>
      <c r="CH10" s="651">
        <f t="shared" si="15"/>
        <v>-26.75</v>
      </c>
      <c r="CI10" s="651">
        <f t="shared" si="15"/>
        <v>11.100000000000023</v>
      </c>
      <c r="CJ10" s="651">
        <f t="shared" ref="CJ10" si="16">CJ6-CJ7</f>
        <v>32.819999999999936</v>
      </c>
    </row>
    <row r="11" spans="1:88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8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7">BU3</f>
        <v>43862</v>
      </c>
      <c r="BV12" s="623">
        <f t="shared" si="17"/>
        <v>43892</v>
      </c>
      <c r="BW12" s="623">
        <f t="shared" si="17"/>
        <v>43923</v>
      </c>
      <c r="BX12" s="623">
        <f t="shared" si="17"/>
        <v>43952</v>
      </c>
      <c r="BY12" s="623">
        <f t="shared" si="17"/>
        <v>43983</v>
      </c>
      <c r="BZ12" s="623">
        <f t="shared" si="17"/>
        <v>44013</v>
      </c>
      <c r="CA12" s="623">
        <f t="shared" si="17"/>
        <v>44044</v>
      </c>
      <c r="CB12" s="623">
        <f t="shared" si="17"/>
        <v>44075</v>
      </c>
      <c r="CC12" s="623">
        <f t="shared" si="17"/>
        <v>44105</v>
      </c>
      <c r="CD12" s="623">
        <f t="shared" si="17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44320</v>
      </c>
    </row>
    <row r="13" spans="1:88" ht="22.5" customHeight="1" thickBot="1">
      <c r="A13" s="484" t="s">
        <v>237</v>
      </c>
      <c r="B13" s="452">
        <f t="shared" ref="B13:M13" si="18">(B7/11.6)-B4</f>
        <v>-7.6432512315270955</v>
      </c>
      <c r="C13" s="453">
        <f t="shared" si="18"/>
        <v>-16.01966379310344</v>
      </c>
      <c r="D13" s="453">
        <f t="shared" si="18"/>
        <v>-12.933589341692787</v>
      </c>
      <c r="E13" s="453">
        <f t="shared" si="18"/>
        <v>-18.549523809523819</v>
      </c>
      <c r="F13" s="453">
        <f t="shared" si="18"/>
        <v>-23.125965517241376</v>
      </c>
      <c r="G13" s="453">
        <f t="shared" si="18"/>
        <v>-25.667405582922832</v>
      </c>
      <c r="H13" s="453">
        <f t="shared" si="18"/>
        <v>-21.0679235382309</v>
      </c>
      <c r="I13" s="453">
        <f t="shared" si="18"/>
        <v>-15.200205254515595</v>
      </c>
      <c r="J13" s="454">
        <f t="shared" si="18"/>
        <v>-17.189435736677126</v>
      </c>
      <c r="K13" s="454">
        <f t="shared" si="18"/>
        <v>-14.631739811912215</v>
      </c>
      <c r="L13" s="455">
        <f t="shared" si="18"/>
        <v>-6.3630131362889983</v>
      </c>
      <c r="M13" s="485">
        <f t="shared" si="18"/>
        <v>5.6571964017990979</v>
      </c>
      <c r="N13" s="452">
        <f t="shared" ref="N13:N14" si="19">AVERAGE(B13:D13)</f>
        <v>-12.198834788774441</v>
      </c>
      <c r="O13" s="453">
        <f t="shared" ref="O13:O14" si="20">AVERAGE(E13:G13)</f>
        <v>-22.447631636562676</v>
      </c>
      <c r="P13" s="453">
        <f t="shared" ref="P13:P14" si="21">AVERAGE(H13:J13)</f>
        <v>-17.81918817647454</v>
      </c>
      <c r="Q13" s="486">
        <f t="shared" ref="Q13:Q14" si="22">AVERAGE(K13:M13)</f>
        <v>-5.112518848800705</v>
      </c>
      <c r="R13" s="487">
        <f t="shared" ref="R13:R14" si="23">AVERAGE(B13:M13)</f>
        <v>-14.39454336265309</v>
      </c>
      <c r="S13" s="456">
        <f t="shared" ref="S13:AD13" si="24">(S7/11.6)-S4</f>
        <v>4.4836034482758613</v>
      </c>
      <c r="T13" s="457">
        <f t="shared" si="24"/>
        <v>-3.7965517241379274</v>
      </c>
      <c r="U13" s="457">
        <f t="shared" si="24"/>
        <v>-9.065517241379311</v>
      </c>
      <c r="V13" s="457">
        <f t="shared" si="24"/>
        <v>-10.407405582922831</v>
      </c>
      <c r="W13" s="457">
        <f t="shared" si="24"/>
        <v>-14.353934169278993</v>
      </c>
      <c r="X13" s="457">
        <f t="shared" si="24"/>
        <v>-16.715353901996366</v>
      </c>
      <c r="Y13" s="488">
        <f t="shared" si="24"/>
        <v>-16.511724137931033</v>
      </c>
      <c r="Z13" s="512">
        <f t="shared" si="24"/>
        <v>-18.960893416927892</v>
      </c>
      <c r="AA13" s="512">
        <f t="shared" si="24"/>
        <v>-17.036420361247952</v>
      </c>
      <c r="AB13" s="457">
        <f t="shared" si="24"/>
        <v>-18.639696223316911</v>
      </c>
      <c r="AC13" s="488">
        <f t="shared" si="24"/>
        <v>-8.5197178683385602</v>
      </c>
      <c r="AD13" s="520">
        <f t="shared" si="24"/>
        <v>-17.959688013136294</v>
      </c>
      <c r="AE13" s="459">
        <f t="shared" ref="AE13:AE14" si="25">AVERAGE(S13:U13)</f>
        <v>-2.7928218390804589</v>
      </c>
      <c r="AF13" s="458">
        <f t="shared" ref="AF13:AF14" si="26">AVERAGE(V13:X13)</f>
        <v>-13.825564551399395</v>
      </c>
      <c r="AG13" s="458">
        <f t="shared" ref="AG13:AG14" si="27">AVERAGE(Y13:AA13)</f>
        <v>-17.503012638702291</v>
      </c>
      <c r="AH13" s="458">
        <f t="shared" ref="AH13:AH14" si="28">AVERAGE(AB13:AD13)</f>
        <v>-15.039700701597255</v>
      </c>
      <c r="AI13" s="531">
        <f t="shared" ref="AI13:AI14" si="29">AVERAGE(S13:AD13)</f>
        <v>-12.290274932694849</v>
      </c>
      <c r="AJ13" s="567">
        <f t="shared" ref="AJ13:CI13" si="30">(AJ7/11.6)-AJ4</f>
        <v>-13.633793103448276</v>
      </c>
      <c r="AK13" s="565">
        <f t="shared" si="30"/>
        <v>-6.5951724137931009</v>
      </c>
      <c r="AL13" s="545">
        <f t="shared" si="30"/>
        <v>-4.6482758620689637</v>
      </c>
      <c r="AM13" s="546">
        <f t="shared" si="30"/>
        <v>-12.634827586206896</v>
      </c>
      <c r="AN13" s="546">
        <f t="shared" si="30"/>
        <v>-17.134827586206896</v>
      </c>
      <c r="AO13" s="546">
        <f t="shared" si="30"/>
        <v>-13.064827586206896</v>
      </c>
      <c r="AP13" s="546">
        <f t="shared" si="30"/>
        <v>-16.966551724137929</v>
      </c>
      <c r="AQ13" s="546">
        <f t="shared" si="30"/>
        <v>-12.28896551724138</v>
      </c>
      <c r="AR13" s="546">
        <f t="shared" si="30"/>
        <v>-11.427120689655169</v>
      </c>
      <c r="AS13" s="546">
        <f t="shared" si="30"/>
        <v>-5.7655172413793068</v>
      </c>
      <c r="AT13" s="546">
        <f t="shared" si="30"/>
        <v>-11.03551724137931</v>
      </c>
      <c r="AU13" s="566">
        <f t="shared" si="30"/>
        <v>-11.600000000000001</v>
      </c>
      <c r="AV13" s="560">
        <f t="shared" si="30"/>
        <v>-16.189999999999998</v>
      </c>
      <c r="AW13" s="561">
        <f t="shared" si="30"/>
        <v>-18.323448275862063</v>
      </c>
      <c r="AX13" s="561">
        <f t="shared" si="30"/>
        <v>-22.007241379310344</v>
      </c>
      <c r="AY13" s="561">
        <f t="shared" si="30"/>
        <v>-27.537241379310338</v>
      </c>
      <c r="AZ13" s="561">
        <f t="shared" si="30"/>
        <v>-31.091034482758616</v>
      </c>
      <c r="BA13" s="561">
        <f t="shared" si="30"/>
        <v>-25.314137931034487</v>
      </c>
      <c r="BB13" s="561">
        <f t="shared" si="30"/>
        <v>-24.628620689655179</v>
      </c>
      <c r="BC13" s="561">
        <f t="shared" si="30"/>
        <v>-21.843448275862059</v>
      </c>
      <c r="BD13" s="561">
        <f t="shared" si="30"/>
        <v>-21.767241379310342</v>
      </c>
      <c r="BE13" s="561">
        <f t="shared" si="30"/>
        <v>-22.924482758620691</v>
      </c>
      <c r="BF13" s="561">
        <f t="shared" si="30"/>
        <v>-19.654827586206899</v>
      </c>
      <c r="BG13" s="624">
        <f t="shared" si="30"/>
        <v>-20.231034482758616</v>
      </c>
      <c r="BH13" s="626">
        <f t="shared" si="30"/>
        <v>-22.442068965517237</v>
      </c>
      <c r="BI13" s="626">
        <f t="shared" si="30"/>
        <v>-25.345862068965509</v>
      </c>
      <c r="BJ13" s="626">
        <f t="shared" si="30"/>
        <v>-23.395517241379316</v>
      </c>
      <c r="BK13" s="626">
        <f t="shared" si="30"/>
        <v>-25.691379310344828</v>
      </c>
      <c r="BL13" s="626">
        <f t="shared" si="30"/>
        <v>-23.905862068965511</v>
      </c>
      <c r="BM13" s="626">
        <f t="shared" si="30"/>
        <v>-25.337586206896546</v>
      </c>
      <c r="BN13" s="626">
        <f t="shared" si="30"/>
        <v>-31.78448275862069</v>
      </c>
      <c r="BO13" s="626">
        <f t="shared" si="30"/>
        <v>-27.64448275862069</v>
      </c>
      <c r="BP13" s="626">
        <f t="shared" si="30"/>
        <v>-30.516551724137926</v>
      </c>
      <c r="BQ13" s="626">
        <f t="shared" si="30"/>
        <v>-22.516551724137926</v>
      </c>
      <c r="BR13" s="626">
        <f t="shared" si="30"/>
        <v>-24.084482758620688</v>
      </c>
      <c r="BS13" s="626">
        <f t="shared" si="30"/>
        <v>-25.422413793103445</v>
      </c>
      <c r="BT13" s="656">
        <f t="shared" si="30"/>
        <v>-14.505517241379316</v>
      </c>
      <c r="BU13" s="656">
        <f t="shared" si="30"/>
        <v>-8.9613793103448245</v>
      </c>
      <c r="BV13" s="656">
        <f t="shared" si="30"/>
        <v>5.5241379310344811</v>
      </c>
      <c r="BW13" s="656">
        <f t="shared" si="30"/>
        <v>-0.13137931034482619</v>
      </c>
      <c r="BX13" s="656">
        <f t="shared" si="30"/>
        <v>-1.1596551724137925</v>
      </c>
      <c r="BY13" s="656">
        <f t="shared" si="30"/>
        <v>-11.479655172413793</v>
      </c>
      <c r="BZ13" s="656">
        <f t="shared" si="30"/>
        <v>-12.827586206896552</v>
      </c>
      <c r="CA13" s="656">
        <f t="shared" si="30"/>
        <v>-13.383801724137932</v>
      </c>
      <c r="CB13" s="656">
        <f t="shared" si="30"/>
        <v>-10.46074451410658</v>
      </c>
      <c r="CC13" s="656">
        <f t="shared" si="30"/>
        <v>-8.1180329153605015</v>
      </c>
      <c r="CD13" s="650">
        <f t="shared" si="30"/>
        <v>-5.8900000000000006</v>
      </c>
      <c r="CE13" s="650">
        <f t="shared" si="30"/>
        <v>-10.475862068965519</v>
      </c>
      <c r="CF13" s="650">
        <f t="shared" si="30"/>
        <v>-8.218275862068964</v>
      </c>
      <c r="CG13" s="650">
        <f t="shared" si="30"/>
        <v>-9.0068965517241324</v>
      </c>
      <c r="CH13" s="650">
        <f t="shared" si="30"/>
        <v>-10.137931034482754</v>
      </c>
      <c r="CI13" s="650">
        <f t="shared" si="30"/>
        <v>-13.248275862068958</v>
      </c>
      <c r="CJ13" s="650">
        <f t="shared" ref="CJ13" si="31">(CJ7/11.6)-CJ4</f>
        <v>-15.634482758620692</v>
      </c>
    </row>
    <row r="14" spans="1:88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2">(333/11.6)-C4</f>
        <v>-27.140353448275857</v>
      </c>
      <c r="D14" s="461">
        <f t="shared" si="32"/>
        <v>-25.950830721003133</v>
      </c>
      <c r="E14" s="461">
        <f t="shared" si="32"/>
        <v>-29.842627257799681</v>
      </c>
      <c r="F14" s="461">
        <f t="shared" si="32"/>
        <v>-34.85010344827586</v>
      </c>
      <c r="G14" s="461">
        <f t="shared" si="32"/>
        <v>-33.08119868637111</v>
      </c>
      <c r="H14" s="461">
        <f t="shared" si="32"/>
        <v>-27.447233883058484</v>
      </c>
      <c r="I14" s="461">
        <f t="shared" si="32"/>
        <v>-19.165722495894908</v>
      </c>
      <c r="J14" s="462">
        <f t="shared" si="32"/>
        <v>-16.672194357366781</v>
      </c>
      <c r="K14" s="490">
        <f t="shared" si="32"/>
        <v>-17.131739811912215</v>
      </c>
      <c r="L14" s="491">
        <f t="shared" si="32"/>
        <v>-13.087151067323479</v>
      </c>
      <c r="M14" s="492">
        <f t="shared" si="32"/>
        <v>-5.8083208395802153</v>
      </c>
      <c r="N14" s="493">
        <f t="shared" si="19"/>
        <v>-23.319524443946857</v>
      </c>
      <c r="O14" s="494">
        <f t="shared" si="20"/>
        <v>-32.591309797482218</v>
      </c>
      <c r="P14" s="494">
        <f t="shared" si="21"/>
        <v>-21.09505024544006</v>
      </c>
      <c r="Q14" s="495">
        <f t="shared" si="22"/>
        <v>-12.009070572938635</v>
      </c>
      <c r="R14" s="496">
        <f t="shared" si="23"/>
        <v>-22.253738764951944</v>
      </c>
      <c r="S14" s="497">
        <f t="shared" ref="S14:AD14" si="33">(333/11.6)-S4</f>
        <v>1.8973965517241353</v>
      </c>
      <c r="T14" s="498">
        <f t="shared" si="33"/>
        <v>-0.69310344827585979</v>
      </c>
      <c r="U14" s="498">
        <f t="shared" si="33"/>
        <v>-6.3931034482758626</v>
      </c>
      <c r="V14" s="498">
        <f t="shared" si="33"/>
        <v>-10.321198686371108</v>
      </c>
      <c r="W14" s="498">
        <f t="shared" si="33"/>
        <v>-15.560830721003132</v>
      </c>
      <c r="X14" s="498">
        <f t="shared" si="33"/>
        <v>-17.66362976406533</v>
      </c>
      <c r="Y14" s="499">
        <f t="shared" si="33"/>
        <v>-13.753103448275862</v>
      </c>
      <c r="Z14" s="513">
        <f t="shared" si="33"/>
        <v>-14.995376175548582</v>
      </c>
      <c r="AA14" s="513">
        <f t="shared" si="33"/>
        <v>-14.622627257799675</v>
      </c>
      <c r="AB14" s="498">
        <f t="shared" si="33"/>
        <v>-20.277627257799669</v>
      </c>
      <c r="AC14" s="499">
        <f t="shared" si="33"/>
        <v>-15.157648902821318</v>
      </c>
      <c r="AD14" s="525">
        <f t="shared" si="33"/>
        <v>-23.390722495894916</v>
      </c>
      <c r="AE14" s="501">
        <f t="shared" si="25"/>
        <v>-1.7296034482758624</v>
      </c>
      <c r="AF14" s="500">
        <f t="shared" si="26"/>
        <v>-14.515219723813189</v>
      </c>
      <c r="AG14" s="500">
        <f t="shared" si="27"/>
        <v>-14.457035627208038</v>
      </c>
      <c r="AH14" s="500">
        <f t="shared" si="28"/>
        <v>-19.608666218838636</v>
      </c>
      <c r="AI14" s="502">
        <f t="shared" si="29"/>
        <v>-12.577631254533932</v>
      </c>
      <c r="AJ14" s="537">
        <f t="shared" ref="AJ14:AU14" si="34">(333/11.6)-AJ4</f>
        <v>-25.01310344827586</v>
      </c>
      <c r="AK14" s="538">
        <f t="shared" si="34"/>
        <v>-25.733103448275859</v>
      </c>
      <c r="AL14" s="538">
        <f t="shared" si="34"/>
        <v>-22.493103448275864</v>
      </c>
      <c r="AM14" s="539">
        <f t="shared" si="34"/>
        <v>-23.58310344827586</v>
      </c>
      <c r="AN14" s="539">
        <f t="shared" si="34"/>
        <v>-21.83310344827586</v>
      </c>
      <c r="AO14" s="539">
        <f t="shared" si="34"/>
        <v>-17.76310344827586</v>
      </c>
      <c r="AP14" s="539">
        <f t="shared" si="34"/>
        <v>-18.863103448275861</v>
      </c>
      <c r="AQ14" s="540">
        <f t="shared" si="34"/>
        <v>-21.51310344827586</v>
      </c>
      <c r="AR14" s="541">
        <f t="shared" si="34"/>
        <v>-24.961603448275856</v>
      </c>
      <c r="AS14" s="542">
        <f t="shared" si="34"/>
        <v>-26.843103448275858</v>
      </c>
      <c r="AT14" s="543">
        <f t="shared" si="34"/>
        <v>-32.113103448275865</v>
      </c>
      <c r="AU14" s="544">
        <f t="shared" si="34"/>
        <v>-32.893103448275866</v>
      </c>
      <c r="AV14" s="542"/>
      <c r="AW14" s="543"/>
      <c r="AX14" s="543"/>
      <c r="AY14" s="543"/>
      <c r="AZ14" s="544"/>
      <c r="BB14"/>
    </row>
    <row r="15" spans="1:88" s="507" customFormat="1" ht="31.5" customHeight="1">
      <c r="A15" s="654" t="s">
        <v>425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8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" thickBot="1">
      <c r="CD18" s="518" t="s">
        <v>242</v>
      </c>
      <c r="CF18" s="510" t="s">
        <v>427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24" t="s">
        <v>239</v>
      </c>
      <c r="CE19" s="725"/>
      <c r="CF19" s="725"/>
      <c r="CG19" s="725"/>
      <c r="CH19" s="725"/>
      <c r="CI19" s="726"/>
      <c r="CJ19" s="725" t="s">
        <v>240</v>
      </c>
      <c r="CK19" s="725"/>
      <c r="CL19" s="725"/>
      <c r="CM19" s="725"/>
      <c r="CN19" s="725"/>
      <c r="CO19" s="726"/>
    </row>
    <row r="20" spans="4:93" ht="55.5" customHeight="1">
      <c r="CD20" s="746" t="s">
        <v>432</v>
      </c>
      <c r="CE20" s="747"/>
      <c r="CF20" s="747"/>
      <c r="CG20" s="747"/>
      <c r="CH20" s="747"/>
      <c r="CI20" s="748"/>
      <c r="CJ20" s="746" t="s">
        <v>429</v>
      </c>
      <c r="CK20" s="747"/>
      <c r="CL20" s="747"/>
      <c r="CM20" s="747"/>
      <c r="CN20" s="747"/>
      <c r="CO20" s="748"/>
    </row>
    <row r="21" spans="4:93" ht="52.5" customHeight="1">
      <c r="CD21" s="746" t="s">
        <v>428</v>
      </c>
      <c r="CE21" s="747"/>
      <c r="CF21" s="747"/>
      <c r="CG21" s="747"/>
      <c r="CH21" s="747"/>
      <c r="CI21" s="748"/>
      <c r="CJ21" s="746"/>
      <c r="CK21" s="747"/>
      <c r="CL21" s="747"/>
      <c r="CM21" s="747"/>
      <c r="CN21" s="747"/>
      <c r="CO21" s="748"/>
    </row>
    <row r="22" spans="4:93" ht="48.65" customHeight="1">
      <c r="CD22" s="747" t="s">
        <v>430</v>
      </c>
      <c r="CE22" s="749"/>
      <c r="CF22" s="749"/>
      <c r="CG22" s="749"/>
      <c r="CH22" s="749"/>
      <c r="CI22" s="750"/>
      <c r="CJ22" s="751"/>
      <c r="CK22" s="752"/>
      <c r="CL22" s="752"/>
      <c r="CM22" s="752"/>
      <c r="CN22" s="752"/>
      <c r="CO22" s="753"/>
    </row>
    <row r="23" spans="4:93">
      <c r="CD23" s="659"/>
      <c r="CJ23"/>
    </row>
    <row r="24" spans="4:93">
      <c r="CD24" s="620" t="s">
        <v>251</v>
      </c>
      <c r="CJ24"/>
    </row>
    <row r="25" spans="4:93">
      <c r="CD25" s="668" t="s">
        <v>433</v>
      </c>
    </row>
    <row r="26" spans="4:93">
      <c r="CD26" s="668" t="s">
        <v>431</v>
      </c>
    </row>
    <row r="27" spans="4:93">
      <c r="CD27" s="668"/>
    </row>
  </sheetData>
  <mergeCells count="17">
    <mergeCell ref="AV2:BG2"/>
    <mergeCell ref="B2:M2"/>
    <mergeCell ref="N2:R2"/>
    <mergeCell ref="S2:AD2"/>
    <mergeCell ref="AE2:AI2"/>
    <mergeCell ref="AJ2:AU2"/>
    <mergeCell ref="CD21:CI21"/>
    <mergeCell ref="CJ21:CO21"/>
    <mergeCell ref="CD22:CI22"/>
    <mergeCell ref="CJ22:CO22"/>
    <mergeCell ref="BH2:BS2"/>
    <mergeCell ref="BT2:CE2"/>
    <mergeCell ref="CD19:CI19"/>
    <mergeCell ref="CJ19:CO19"/>
    <mergeCell ref="CD20:CI20"/>
    <mergeCell ref="CJ20:CO20"/>
    <mergeCell ref="CF2:CJ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70C0"/>
    <pageSetUpPr fitToPage="1"/>
  </sheetPr>
  <dimension ref="A1:CO28"/>
  <sheetViews>
    <sheetView zoomScale="90" zoomScaleNormal="90" zoomScaleSheetLayoutView="50" workbookViewId="0">
      <pane xSplit="1" ySplit="3" topLeftCell="BM13" activePane="bottomRight" state="frozenSplit"/>
      <selection pane="topRight" activeCell="B1" sqref="B1"/>
      <selection pane="bottomLeft" activeCell="A3" sqref="A3"/>
      <selection pane="bottomRight" activeCell="CJ22" sqref="CJ22:CO22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81" width="10.08984375" style="432" hidden="1" customWidth="1"/>
    <col min="82" max="83" width="10.08984375" style="432" customWidth="1"/>
    <col min="84" max="87" width="10.6328125" style="432" customWidth="1"/>
    <col min="88" max="88" width="10" style="432" bestFit="1" customWidth="1"/>
    <col min="89" max="89" width="10.1796875" style="432" customWidth="1"/>
    <col min="90" max="92" width="9.08984375" style="432"/>
    <col min="93" max="93" width="17.6328125" style="432" customWidth="1"/>
    <col min="94" max="16384" width="9.08984375" style="432"/>
  </cols>
  <sheetData>
    <row r="1" spans="1:89" ht="20.25" customHeight="1" thickBot="1">
      <c r="A1" s="428" t="s">
        <v>434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9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  <c r="CE2" s="717"/>
      <c r="CF2" s="736">
        <v>2021</v>
      </c>
      <c r="CG2" s="736"/>
      <c r="CH2" s="736"/>
      <c r="CI2" s="736"/>
      <c r="CJ2" s="736"/>
      <c r="CK2" s="736"/>
    </row>
    <row r="3" spans="1:89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44319</v>
      </c>
      <c r="CK3" s="623">
        <v>44351</v>
      </c>
    </row>
    <row r="4" spans="1:89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64">
        <v>65.7</v>
      </c>
      <c r="CI4" s="664">
        <v>65</v>
      </c>
      <c r="CJ4" s="664">
        <v>64.5</v>
      </c>
      <c r="CK4" s="664">
        <v>64.7</v>
      </c>
    </row>
    <row r="5" spans="1:89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64">
        <v>66.41</v>
      </c>
      <c r="CI5" s="664">
        <v>65.14</v>
      </c>
      <c r="CJ5" s="664">
        <v>63.73</v>
      </c>
      <c r="CK5" s="664">
        <v>63.6</v>
      </c>
    </row>
    <row r="6" spans="1:89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64">
        <v>609.68999999999994</v>
      </c>
      <c r="CI6" s="664">
        <v>598.26</v>
      </c>
      <c r="CJ6" s="664">
        <v>585.56999999999994</v>
      </c>
      <c r="CK6" s="664">
        <v>584.4</v>
      </c>
    </row>
    <row r="7" spans="1:89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G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617">
        <f t="shared" si="13"/>
        <v>595</v>
      </c>
      <c r="CH7" s="617">
        <v>610</v>
      </c>
      <c r="CI7" s="669">
        <v>580</v>
      </c>
      <c r="CJ7" s="669">
        <v>547.5</v>
      </c>
      <c r="CK7" s="669">
        <v>517.5</v>
      </c>
    </row>
    <row r="8" spans="1:89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66">
        <v>595</v>
      </c>
      <c r="CJ8" s="666">
        <v>560</v>
      </c>
      <c r="CK8" s="666">
        <v>530</v>
      </c>
    </row>
    <row r="9" spans="1:89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66">
        <v>565</v>
      </c>
      <c r="CJ9" s="666">
        <v>535</v>
      </c>
      <c r="CK9" s="666">
        <v>505</v>
      </c>
    </row>
    <row r="10" spans="1:89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J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-58.050000000000011</v>
      </c>
      <c r="CE10" s="651">
        <f t="shared" si="14"/>
        <v>-14.689999999999941</v>
      </c>
      <c r="CF10" s="651">
        <f t="shared" si="14"/>
        <v>-27.779999999999973</v>
      </c>
      <c r="CG10" s="651">
        <f t="shared" si="14"/>
        <v>-28.576599999999985</v>
      </c>
      <c r="CH10" s="651">
        <f t="shared" si="14"/>
        <v>-0.31000000000005912</v>
      </c>
      <c r="CI10" s="651">
        <f t="shared" si="14"/>
        <v>18.259999999999991</v>
      </c>
      <c r="CJ10" s="651">
        <f t="shared" si="14"/>
        <v>38.069999999999936</v>
      </c>
      <c r="CK10" s="651">
        <f t="shared" ref="CK10" si="15">CK6-CK7</f>
        <v>66.899999999999977</v>
      </c>
    </row>
    <row r="11" spans="1:89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9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6">BU3</f>
        <v>43862</v>
      </c>
      <c r="BV12" s="623">
        <f t="shared" si="16"/>
        <v>43892</v>
      </c>
      <c r="BW12" s="623">
        <f t="shared" si="16"/>
        <v>43923</v>
      </c>
      <c r="BX12" s="623">
        <f t="shared" si="16"/>
        <v>43952</v>
      </c>
      <c r="BY12" s="623">
        <f t="shared" si="16"/>
        <v>43983</v>
      </c>
      <c r="BZ12" s="623">
        <f t="shared" si="16"/>
        <v>44013</v>
      </c>
      <c r="CA12" s="623">
        <f t="shared" si="16"/>
        <v>44044</v>
      </c>
      <c r="CB12" s="623">
        <f t="shared" si="16"/>
        <v>44075</v>
      </c>
      <c r="CC12" s="623">
        <f t="shared" si="16"/>
        <v>44105</v>
      </c>
      <c r="CD12" s="623">
        <f t="shared" si="16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44320</v>
      </c>
      <c r="CK12" s="623">
        <v>44352</v>
      </c>
    </row>
    <row r="13" spans="1:89" ht="22.5" customHeight="1" thickBot="1">
      <c r="A13" s="484" t="s">
        <v>237</v>
      </c>
      <c r="B13" s="452">
        <f t="shared" ref="B13:M13" si="17">(B7/11.6)-B4</f>
        <v>-7.6432512315270955</v>
      </c>
      <c r="C13" s="453">
        <f t="shared" si="17"/>
        <v>-16.01966379310344</v>
      </c>
      <c r="D13" s="453">
        <f t="shared" si="17"/>
        <v>-12.933589341692787</v>
      </c>
      <c r="E13" s="453">
        <f t="shared" si="17"/>
        <v>-18.549523809523819</v>
      </c>
      <c r="F13" s="453">
        <f t="shared" si="17"/>
        <v>-23.125965517241376</v>
      </c>
      <c r="G13" s="453">
        <f t="shared" si="17"/>
        <v>-25.667405582922832</v>
      </c>
      <c r="H13" s="453">
        <f t="shared" si="17"/>
        <v>-21.0679235382309</v>
      </c>
      <c r="I13" s="453">
        <f t="shared" si="17"/>
        <v>-15.200205254515595</v>
      </c>
      <c r="J13" s="454">
        <f t="shared" si="17"/>
        <v>-17.189435736677126</v>
      </c>
      <c r="K13" s="454">
        <f t="shared" si="17"/>
        <v>-14.631739811912215</v>
      </c>
      <c r="L13" s="455">
        <f t="shared" si="17"/>
        <v>-6.3630131362889983</v>
      </c>
      <c r="M13" s="485">
        <f t="shared" si="17"/>
        <v>5.6571964017990979</v>
      </c>
      <c r="N13" s="452">
        <f t="shared" ref="N13:N14" si="18">AVERAGE(B13:D13)</f>
        <v>-12.198834788774441</v>
      </c>
      <c r="O13" s="453">
        <f t="shared" ref="O13:O14" si="19">AVERAGE(E13:G13)</f>
        <v>-22.447631636562676</v>
      </c>
      <c r="P13" s="453">
        <f t="shared" ref="P13:P14" si="20">AVERAGE(H13:J13)</f>
        <v>-17.81918817647454</v>
      </c>
      <c r="Q13" s="486">
        <f t="shared" ref="Q13:Q14" si="21">AVERAGE(K13:M13)</f>
        <v>-5.112518848800705</v>
      </c>
      <c r="R13" s="487">
        <f t="shared" ref="R13:R14" si="22">AVERAGE(B13:M13)</f>
        <v>-14.39454336265309</v>
      </c>
      <c r="S13" s="456">
        <f t="shared" ref="S13:AD13" si="23">(S7/11.6)-S4</f>
        <v>4.4836034482758613</v>
      </c>
      <c r="T13" s="457">
        <f t="shared" si="23"/>
        <v>-3.7965517241379274</v>
      </c>
      <c r="U13" s="457">
        <f t="shared" si="23"/>
        <v>-9.065517241379311</v>
      </c>
      <c r="V13" s="457">
        <f t="shared" si="23"/>
        <v>-10.407405582922831</v>
      </c>
      <c r="W13" s="457">
        <f t="shared" si="23"/>
        <v>-14.353934169278993</v>
      </c>
      <c r="X13" s="457">
        <f t="shared" si="23"/>
        <v>-16.715353901996366</v>
      </c>
      <c r="Y13" s="488">
        <f t="shared" si="23"/>
        <v>-16.511724137931033</v>
      </c>
      <c r="Z13" s="512">
        <f t="shared" si="23"/>
        <v>-18.960893416927892</v>
      </c>
      <c r="AA13" s="512">
        <f t="shared" si="23"/>
        <v>-17.036420361247952</v>
      </c>
      <c r="AB13" s="457">
        <f t="shared" si="23"/>
        <v>-18.639696223316911</v>
      </c>
      <c r="AC13" s="488">
        <f t="shared" si="23"/>
        <v>-8.5197178683385602</v>
      </c>
      <c r="AD13" s="520">
        <f t="shared" si="23"/>
        <v>-17.959688013136294</v>
      </c>
      <c r="AE13" s="459">
        <f t="shared" ref="AE13:AE14" si="24">AVERAGE(S13:U13)</f>
        <v>-2.7928218390804589</v>
      </c>
      <c r="AF13" s="458">
        <f t="shared" ref="AF13:AF14" si="25">AVERAGE(V13:X13)</f>
        <v>-13.825564551399395</v>
      </c>
      <c r="AG13" s="458">
        <f t="shared" ref="AG13:AG14" si="26">AVERAGE(Y13:AA13)</f>
        <v>-17.503012638702291</v>
      </c>
      <c r="AH13" s="458">
        <f t="shared" ref="AH13:AH14" si="27">AVERAGE(AB13:AD13)</f>
        <v>-15.039700701597255</v>
      </c>
      <c r="AI13" s="531">
        <f t="shared" ref="AI13:AI14" si="28">AVERAGE(S13:AD13)</f>
        <v>-12.290274932694849</v>
      </c>
      <c r="AJ13" s="567">
        <f t="shared" ref="AJ13:CJ13" si="29">(AJ7/11.6)-AJ4</f>
        <v>-13.633793103448276</v>
      </c>
      <c r="AK13" s="565">
        <f t="shared" si="29"/>
        <v>-6.5951724137931009</v>
      </c>
      <c r="AL13" s="545">
        <f t="shared" si="29"/>
        <v>-4.6482758620689637</v>
      </c>
      <c r="AM13" s="546">
        <f t="shared" si="29"/>
        <v>-12.634827586206896</v>
      </c>
      <c r="AN13" s="546">
        <f t="shared" si="29"/>
        <v>-17.134827586206896</v>
      </c>
      <c r="AO13" s="546">
        <f t="shared" si="29"/>
        <v>-13.064827586206896</v>
      </c>
      <c r="AP13" s="546">
        <f t="shared" si="29"/>
        <v>-16.966551724137929</v>
      </c>
      <c r="AQ13" s="546">
        <f t="shared" si="29"/>
        <v>-12.28896551724138</v>
      </c>
      <c r="AR13" s="546">
        <f t="shared" si="29"/>
        <v>-11.427120689655169</v>
      </c>
      <c r="AS13" s="546">
        <f t="shared" si="29"/>
        <v>-5.7655172413793068</v>
      </c>
      <c r="AT13" s="546">
        <f t="shared" si="29"/>
        <v>-11.03551724137931</v>
      </c>
      <c r="AU13" s="566">
        <f t="shared" si="29"/>
        <v>-11.600000000000001</v>
      </c>
      <c r="AV13" s="560">
        <f t="shared" si="29"/>
        <v>-16.189999999999998</v>
      </c>
      <c r="AW13" s="561">
        <f t="shared" si="29"/>
        <v>-18.323448275862063</v>
      </c>
      <c r="AX13" s="561">
        <f t="shared" si="29"/>
        <v>-22.007241379310344</v>
      </c>
      <c r="AY13" s="561">
        <f t="shared" si="29"/>
        <v>-27.537241379310338</v>
      </c>
      <c r="AZ13" s="561">
        <f t="shared" si="29"/>
        <v>-31.091034482758616</v>
      </c>
      <c r="BA13" s="561">
        <f t="shared" si="29"/>
        <v>-25.314137931034487</v>
      </c>
      <c r="BB13" s="561">
        <f t="shared" si="29"/>
        <v>-24.628620689655179</v>
      </c>
      <c r="BC13" s="561">
        <f t="shared" si="29"/>
        <v>-21.843448275862059</v>
      </c>
      <c r="BD13" s="561">
        <f t="shared" si="29"/>
        <v>-21.767241379310342</v>
      </c>
      <c r="BE13" s="561">
        <f t="shared" si="29"/>
        <v>-22.924482758620691</v>
      </c>
      <c r="BF13" s="561">
        <f t="shared" si="29"/>
        <v>-19.654827586206899</v>
      </c>
      <c r="BG13" s="624">
        <f t="shared" si="29"/>
        <v>-20.231034482758616</v>
      </c>
      <c r="BH13" s="626">
        <f t="shared" si="29"/>
        <v>-22.442068965517237</v>
      </c>
      <c r="BI13" s="626">
        <f t="shared" si="29"/>
        <v>-25.345862068965509</v>
      </c>
      <c r="BJ13" s="626">
        <f t="shared" si="29"/>
        <v>-23.395517241379316</v>
      </c>
      <c r="BK13" s="626">
        <f t="shared" si="29"/>
        <v>-25.691379310344828</v>
      </c>
      <c r="BL13" s="626">
        <f t="shared" si="29"/>
        <v>-23.905862068965511</v>
      </c>
      <c r="BM13" s="626">
        <f t="shared" si="29"/>
        <v>-25.337586206896546</v>
      </c>
      <c r="BN13" s="626">
        <f t="shared" si="29"/>
        <v>-31.78448275862069</v>
      </c>
      <c r="BO13" s="626">
        <f t="shared" si="29"/>
        <v>-27.64448275862069</v>
      </c>
      <c r="BP13" s="626">
        <f t="shared" si="29"/>
        <v>-30.516551724137926</v>
      </c>
      <c r="BQ13" s="626">
        <f t="shared" si="29"/>
        <v>-22.516551724137926</v>
      </c>
      <c r="BR13" s="626">
        <f t="shared" si="29"/>
        <v>-24.084482758620688</v>
      </c>
      <c r="BS13" s="626">
        <f t="shared" si="29"/>
        <v>-25.422413793103445</v>
      </c>
      <c r="BT13" s="656">
        <f t="shared" si="29"/>
        <v>-14.505517241379316</v>
      </c>
      <c r="BU13" s="656">
        <f t="shared" si="29"/>
        <v>-8.9613793103448245</v>
      </c>
      <c r="BV13" s="656">
        <f t="shared" si="29"/>
        <v>5.5241379310344811</v>
      </c>
      <c r="BW13" s="656">
        <f t="shared" si="29"/>
        <v>-0.13137931034482619</v>
      </c>
      <c r="BX13" s="656">
        <f t="shared" si="29"/>
        <v>-1.1596551724137925</v>
      </c>
      <c r="BY13" s="656">
        <f t="shared" si="29"/>
        <v>-11.479655172413793</v>
      </c>
      <c r="BZ13" s="656">
        <f t="shared" si="29"/>
        <v>-12.827586206896552</v>
      </c>
      <c r="CA13" s="656">
        <f t="shared" si="29"/>
        <v>-13.383801724137932</v>
      </c>
      <c r="CB13" s="656">
        <f t="shared" si="29"/>
        <v>-10.46074451410658</v>
      </c>
      <c r="CC13" s="656">
        <f t="shared" si="29"/>
        <v>-8.1180329153605015</v>
      </c>
      <c r="CD13" s="650">
        <f t="shared" si="29"/>
        <v>-5.8900000000000006</v>
      </c>
      <c r="CE13" s="650">
        <f t="shared" si="29"/>
        <v>-10.475862068965519</v>
      </c>
      <c r="CF13" s="650">
        <f t="shared" si="29"/>
        <v>-8.218275862068964</v>
      </c>
      <c r="CG13" s="650">
        <f t="shared" si="29"/>
        <v>-9.5618965517241321</v>
      </c>
      <c r="CH13" s="650">
        <f t="shared" si="29"/>
        <v>-13.11379310344828</v>
      </c>
      <c r="CI13" s="650">
        <f t="shared" si="29"/>
        <v>-15</v>
      </c>
      <c r="CJ13" s="650">
        <f t="shared" si="29"/>
        <v>-17.301724137931032</v>
      </c>
      <c r="CK13" s="650">
        <f t="shared" ref="CK13" si="30">(CK7/11.6)-CK4</f>
        <v>-20.087931034482757</v>
      </c>
    </row>
    <row r="14" spans="1:89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1">(333/11.6)-C4</f>
        <v>-27.140353448275857</v>
      </c>
      <c r="D14" s="461">
        <f t="shared" si="31"/>
        <v>-25.950830721003133</v>
      </c>
      <c r="E14" s="461">
        <f t="shared" si="31"/>
        <v>-29.842627257799681</v>
      </c>
      <c r="F14" s="461">
        <f t="shared" si="31"/>
        <v>-34.85010344827586</v>
      </c>
      <c r="G14" s="461">
        <f t="shared" si="31"/>
        <v>-33.08119868637111</v>
      </c>
      <c r="H14" s="461">
        <f t="shared" si="31"/>
        <v>-27.447233883058484</v>
      </c>
      <c r="I14" s="461">
        <f t="shared" si="31"/>
        <v>-19.165722495894908</v>
      </c>
      <c r="J14" s="462">
        <f t="shared" si="31"/>
        <v>-16.672194357366781</v>
      </c>
      <c r="K14" s="490">
        <f t="shared" si="31"/>
        <v>-17.131739811912215</v>
      </c>
      <c r="L14" s="491">
        <f t="shared" si="31"/>
        <v>-13.087151067323479</v>
      </c>
      <c r="M14" s="492">
        <f t="shared" si="31"/>
        <v>-5.8083208395802153</v>
      </c>
      <c r="N14" s="493">
        <f t="shared" si="18"/>
        <v>-23.319524443946857</v>
      </c>
      <c r="O14" s="494">
        <f t="shared" si="19"/>
        <v>-32.591309797482218</v>
      </c>
      <c r="P14" s="494">
        <f t="shared" si="20"/>
        <v>-21.09505024544006</v>
      </c>
      <c r="Q14" s="495">
        <f t="shared" si="21"/>
        <v>-12.009070572938635</v>
      </c>
      <c r="R14" s="496">
        <f t="shared" si="22"/>
        <v>-22.253738764951944</v>
      </c>
      <c r="S14" s="497">
        <f t="shared" ref="S14:AD14" si="32">(333/11.6)-S4</f>
        <v>1.8973965517241353</v>
      </c>
      <c r="T14" s="498">
        <f t="shared" si="32"/>
        <v>-0.69310344827585979</v>
      </c>
      <c r="U14" s="498">
        <f t="shared" si="32"/>
        <v>-6.3931034482758626</v>
      </c>
      <c r="V14" s="498">
        <f t="shared" si="32"/>
        <v>-10.321198686371108</v>
      </c>
      <c r="W14" s="498">
        <f t="shared" si="32"/>
        <v>-15.560830721003132</v>
      </c>
      <c r="X14" s="498">
        <f t="shared" si="32"/>
        <v>-17.66362976406533</v>
      </c>
      <c r="Y14" s="499">
        <f t="shared" si="32"/>
        <v>-13.753103448275862</v>
      </c>
      <c r="Z14" s="513">
        <f t="shared" si="32"/>
        <v>-14.995376175548582</v>
      </c>
      <c r="AA14" s="513">
        <f t="shared" si="32"/>
        <v>-14.622627257799675</v>
      </c>
      <c r="AB14" s="498">
        <f t="shared" si="32"/>
        <v>-20.277627257799669</v>
      </c>
      <c r="AC14" s="499">
        <f t="shared" si="32"/>
        <v>-15.157648902821318</v>
      </c>
      <c r="AD14" s="525">
        <f t="shared" si="32"/>
        <v>-23.390722495894916</v>
      </c>
      <c r="AE14" s="501">
        <f t="shared" si="24"/>
        <v>-1.7296034482758624</v>
      </c>
      <c r="AF14" s="500">
        <f t="shared" si="25"/>
        <v>-14.515219723813189</v>
      </c>
      <c r="AG14" s="500">
        <f t="shared" si="26"/>
        <v>-14.457035627208038</v>
      </c>
      <c r="AH14" s="500">
        <f t="shared" si="27"/>
        <v>-19.608666218838636</v>
      </c>
      <c r="AI14" s="502">
        <f t="shared" si="28"/>
        <v>-12.577631254533932</v>
      </c>
      <c r="AJ14" s="537">
        <f t="shared" ref="AJ14:AU14" si="33">(333/11.6)-AJ4</f>
        <v>-25.01310344827586</v>
      </c>
      <c r="AK14" s="538">
        <f t="shared" si="33"/>
        <v>-25.733103448275859</v>
      </c>
      <c r="AL14" s="538">
        <f t="shared" si="33"/>
        <v>-22.493103448275864</v>
      </c>
      <c r="AM14" s="539">
        <f t="shared" si="33"/>
        <v>-23.58310344827586</v>
      </c>
      <c r="AN14" s="539">
        <f t="shared" si="33"/>
        <v>-21.83310344827586</v>
      </c>
      <c r="AO14" s="539">
        <f t="shared" si="33"/>
        <v>-17.76310344827586</v>
      </c>
      <c r="AP14" s="539">
        <f t="shared" si="33"/>
        <v>-18.863103448275861</v>
      </c>
      <c r="AQ14" s="540">
        <f t="shared" si="33"/>
        <v>-21.51310344827586</v>
      </c>
      <c r="AR14" s="541">
        <f t="shared" si="33"/>
        <v>-24.961603448275856</v>
      </c>
      <c r="AS14" s="542">
        <f t="shared" si="33"/>
        <v>-26.843103448275858</v>
      </c>
      <c r="AT14" s="543">
        <f t="shared" si="33"/>
        <v>-32.113103448275865</v>
      </c>
      <c r="AU14" s="544">
        <f t="shared" si="33"/>
        <v>-32.893103448275866</v>
      </c>
      <c r="AV14" s="542"/>
      <c r="AW14" s="543"/>
      <c r="AX14" s="543"/>
      <c r="AY14" s="543"/>
      <c r="AZ14" s="544"/>
      <c r="BB14"/>
    </row>
    <row r="15" spans="1:89" s="507" customFormat="1" ht="31.5" customHeight="1">
      <c r="A15" s="654" t="s">
        <v>435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9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" thickBot="1">
      <c r="CD18" s="518" t="s">
        <v>242</v>
      </c>
      <c r="CF18" s="510" t="s">
        <v>436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24" t="s">
        <v>239</v>
      </c>
      <c r="CE19" s="725"/>
      <c r="CF19" s="725"/>
      <c r="CG19" s="725"/>
      <c r="CH19" s="725"/>
      <c r="CI19" s="726"/>
      <c r="CJ19" s="725" t="s">
        <v>240</v>
      </c>
      <c r="CK19" s="725"/>
      <c r="CL19" s="725"/>
      <c r="CM19" s="725"/>
      <c r="CN19" s="725"/>
      <c r="CO19" s="726"/>
    </row>
    <row r="20" spans="4:93" ht="55.5" customHeight="1">
      <c r="CD20" s="746" t="s">
        <v>437</v>
      </c>
      <c r="CE20" s="747"/>
      <c r="CF20" s="747"/>
      <c r="CG20" s="747"/>
      <c r="CH20" s="747"/>
      <c r="CI20" s="748"/>
      <c r="CJ20" s="746" t="s">
        <v>438</v>
      </c>
      <c r="CK20" s="747"/>
      <c r="CL20" s="747"/>
      <c r="CM20" s="747"/>
      <c r="CN20" s="747"/>
      <c r="CO20" s="748"/>
    </row>
    <row r="21" spans="4:93" ht="52.5" customHeight="1">
      <c r="CD21" s="746" t="s">
        <v>440</v>
      </c>
      <c r="CE21" s="747"/>
      <c r="CF21" s="747"/>
      <c r="CG21" s="747"/>
      <c r="CH21" s="747"/>
      <c r="CI21" s="748"/>
      <c r="CJ21" s="746" t="s">
        <v>443</v>
      </c>
      <c r="CK21" s="747"/>
      <c r="CL21" s="747"/>
      <c r="CM21" s="747"/>
      <c r="CN21" s="747"/>
      <c r="CO21" s="748"/>
    </row>
    <row r="22" spans="4:93" ht="52.5" customHeight="1">
      <c r="CD22" s="747" t="s">
        <v>441</v>
      </c>
      <c r="CE22" s="749"/>
      <c r="CF22" s="749"/>
      <c r="CG22" s="749"/>
      <c r="CH22" s="749"/>
      <c r="CI22" s="750"/>
      <c r="CJ22" s="751"/>
      <c r="CK22" s="752"/>
      <c r="CL22" s="752"/>
      <c r="CM22" s="752"/>
      <c r="CN22" s="752"/>
      <c r="CO22" s="753"/>
    </row>
    <row r="23" spans="4:93" ht="52.5" customHeight="1">
      <c r="CD23" s="746" t="s">
        <v>442</v>
      </c>
      <c r="CE23" s="747"/>
      <c r="CF23" s="747"/>
      <c r="CG23" s="747"/>
      <c r="CH23" s="747"/>
      <c r="CI23" s="748"/>
      <c r="CJ23" s="757"/>
      <c r="CK23" s="758"/>
      <c r="CL23" s="758"/>
      <c r="CM23" s="758"/>
      <c r="CN23" s="758"/>
      <c r="CO23" s="759"/>
    </row>
    <row r="24" spans="4:93">
      <c r="CD24" s="659"/>
      <c r="CJ24"/>
    </row>
    <row r="25" spans="4:93">
      <c r="CD25" s="620" t="s">
        <v>251</v>
      </c>
      <c r="CJ25"/>
    </row>
    <row r="26" spans="4:93">
      <c r="CD26" s="668" t="s">
        <v>439</v>
      </c>
    </row>
    <row r="27" spans="4:93">
      <c r="CD27" s="668"/>
    </row>
    <row r="28" spans="4:93">
      <c r="CD28" s="668"/>
    </row>
  </sheetData>
  <mergeCells count="19">
    <mergeCell ref="CD21:CI21"/>
    <mergeCell ref="CJ21:CO21"/>
    <mergeCell ref="CF2:CK2"/>
    <mergeCell ref="CD23:CI23"/>
    <mergeCell ref="CD22:CI22"/>
    <mergeCell ref="CJ22:CO22"/>
    <mergeCell ref="CJ23:CO23"/>
    <mergeCell ref="BH2:BS2"/>
    <mergeCell ref="BT2:CE2"/>
    <mergeCell ref="CD19:CI19"/>
    <mergeCell ref="CJ19:CO19"/>
    <mergeCell ref="CD20:CI20"/>
    <mergeCell ref="CJ20:CO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70C0"/>
    <pageSetUpPr fitToPage="1"/>
  </sheetPr>
  <dimension ref="A1:CO27"/>
  <sheetViews>
    <sheetView zoomScaleNormal="100" zoomScaleSheetLayoutView="50" workbookViewId="0">
      <pane xSplit="1" ySplit="3" topLeftCell="BM4" activePane="bottomRight" state="frozenSplit"/>
      <selection pane="topRight" activeCell="B1" sqref="B1"/>
      <selection pane="bottomLeft" activeCell="A3" sqref="A3"/>
      <selection pane="bottomRight" activeCell="CN15" sqref="CN15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81" width="10.08984375" style="432" hidden="1" customWidth="1"/>
    <col min="82" max="83" width="10.08984375" style="432" customWidth="1"/>
    <col min="84" max="87" width="10.6328125" style="432" customWidth="1"/>
    <col min="88" max="88" width="10" style="432" bestFit="1" customWidth="1"/>
    <col min="89" max="89" width="10.1796875" style="432" customWidth="1"/>
    <col min="90" max="92" width="9.08984375" style="432"/>
    <col min="93" max="93" width="17.6328125" style="432" customWidth="1"/>
    <col min="94" max="16384" width="9.08984375" style="432"/>
  </cols>
  <sheetData>
    <row r="1" spans="1:89" ht="20.25" customHeight="1" thickBot="1">
      <c r="A1" s="428" t="s">
        <v>449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89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  <c r="CE2" s="717"/>
      <c r="CF2" s="736">
        <v>2021</v>
      </c>
      <c r="CG2" s="736"/>
      <c r="CH2" s="736"/>
      <c r="CI2" s="736"/>
      <c r="CJ2" s="736"/>
      <c r="CK2" s="736"/>
    </row>
    <row r="3" spans="1:89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44319</v>
      </c>
      <c r="CK3" s="623">
        <v>44351</v>
      </c>
    </row>
    <row r="4" spans="1:89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64">
        <v>64.7</v>
      </c>
      <c r="CI4" s="664">
        <v>64.5</v>
      </c>
      <c r="CJ4" s="664">
        <v>64.599999999999994</v>
      </c>
      <c r="CK4" s="664">
        <v>64.5</v>
      </c>
    </row>
    <row r="5" spans="1:89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64">
        <v>65.239999999999995</v>
      </c>
      <c r="CI5" s="664">
        <v>64.8</v>
      </c>
      <c r="CJ5" s="664">
        <v>63.9</v>
      </c>
      <c r="CK5" s="664">
        <v>63.4</v>
      </c>
    </row>
    <row r="6" spans="1:89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64">
        <v>599.16</v>
      </c>
      <c r="CI6" s="664">
        <v>595.19999999999993</v>
      </c>
      <c r="CJ6" s="664">
        <v>587.1</v>
      </c>
      <c r="CK6" s="664">
        <v>582.6</v>
      </c>
    </row>
    <row r="7" spans="1:89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2">(AK8+AK9)/2</f>
        <v>555</v>
      </c>
      <c r="AL7" s="615">
        <f t="shared" si="12"/>
        <v>540</v>
      </c>
      <c r="AM7" s="615">
        <f t="shared" si="12"/>
        <v>460</v>
      </c>
      <c r="AN7" s="615">
        <f t="shared" si="12"/>
        <v>387.5</v>
      </c>
      <c r="AO7" s="615">
        <f t="shared" si="12"/>
        <v>387.5</v>
      </c>
      <c r="AP7" s="615">
        <f t="shared" si="12"/>
        <v>355</v>
      </c>
      <c r="AQ7" s="615">
        <f t="shared" si="12"/>
        <v>440</v>
      </c>
      <c r="AR7" s="615">
        <f t="shared" si="12"/>
        <v>490</v>
      </c>
      <c r="AS7" s="615">
        <f t="shared" si="12"/>
        <v>577.5</v>
      </c>
      <c r="AT7" s="615">
        <f t="shared" si="12"/>
        <v>577.5</v>
      </c>
      <c r="AU7" s="616">
        <f t="shared" si="12"/>
        <v>580</v>
      </c>
      <c r="AV7" s="599">
        <f>(AV8+AV9)/2</f>
        <v>580</v>
      </c>
      <c r="AW7" s="595">
        <f t="shared" ref="AW7:CK7" si="13">(AW8+AW9)/2</f>
        <v>515</v>
      </c>
      <c r="AX7" s="617">
        <f t="shared" si="13"/>
        <v>472.5</v>
      </c>
      <c r="AY7" s="617">
        <f t="shared" si="13"/>
        <v>472.5</v>
      </c>
      <c r="AZ7" s="617">
        <f t="shared" si="13"/>
        <v>502.5</v>
      </c>
      <c r="BA7" s="617">
        <f t="shared" si="13"/>
        <v>560</v>
      </c>
      <c r="BB7" s="617">
        <f t="shared" si="13"/>
        <v>562.5</v>
      </c>
      <c r="BC7" s="617">
        <f t="shared" si="13"/>
        <v>587.5</v>
      </c>
      <c r="BD7" s="617">
        <f t="shared" si="13"/>
        <v>617.5</v>
      </c>
      <c r="BE7" s="617">
        <f t="shared" si="13"/>
        <v>655</v>
      </c>
      <c r="BF7" s="617">
        <f t="shared" si="13"/>
        <v>532.5</v>
      </c>
      <c r="BG7" s="635">
        <f t="shared" si="13"/>
        <v>430</v>
      </c>
      <c r="BH7" s="628">
        <f t="shared" si="13"/>
        <v>425</v>
      </c>
      <c r="BI7" s="596">
        <f t="shared" si="13"/>
        <v>455</v>
      </c>
      <c r="BJ7" s="596">
        <f t="shared" si="13"/>
        <v>505</v>
      </c>
      <c r="BK7" s="596">
        <f t="shared" si="13"/>
        <v>525</v>
      </c>
      <c r="BL7" s="596">
        <f t="shared" si="13"/>
        <v>527.5</v>
      </c>
      <c r="BM7" s="596">
        <f t="shared" si="13"/>
        <v>422.5</v>
      </c>
      <c r="BN7" s="596">
        <f t="shared" si="13"/>
        <v>365</v>
      </c>
      <c r="BO7" s="596">
        <f t="shared" si="13"/>
        <v>365</v>
      </c>
      <c r="BP7" s="596">
        <f t="shared" si="13"/>
        <v>355</v>
      </c>
      <c r="BQ7" s="596">
        <f t="shared" si="13"/>
        <v>427.5</v>
      </c>
      <c r="BR7" s="596">
        <f t="shared" si="13"/>
        <v>437.5</v>
      </c>
      <c r="BS7" s="596">
        <f t="shared" si="13"/>
        <v>447.5</v>
      </c>
      <c r="BT7" s="595">
        <f t="shared" si="13"/>
        <v>577.5</v>
      </c>
      <c r="BU7" s="595">
        <f t="shared" si="13"/>
        <v>525</v>
      </c>
      <c r="BV7" s="595">
        <f t="shared" si="13"/>
        <v>455</v>
      </c>
      <c r="BW7" s="595">
        <f t="shared" si="13"/>
        <v>235</v>
      </c>
      <c r="BX7" s="595">
        <f t="shared" si="13"/>
        <v>340</v>
      </c>
      <c r="BY7" s="595">
        <f t="shared" si="13"/>
        <v>340</v>
      </c>
      <c r="BZ7" s="595">
        <f t="shared" si="13"/>
        <v>350</v>
      </c>
      <c r="CA7" s="595">
        <f t="shared" si="13"/>
        <v>355</v>
      </c>
      <c r="CB7" s="595">
        <f t="shared" si="13"/>
        <v>360</v>
      </c>
      <c r="CC7" s="595">
        <f t="shared" si="13"/>
        <v>377.5</v>
      </c>
      <c r="CD7" s="595">
        <f t="shared" si="13"/>
        <v>435</v>
      </c>
      <c r="CE7" s="617">
        <f t="shared" si="13"/>
        <v>455</v>
      </c>
      <c r="CF7" s="617">
        <f t="shared" si="13"/>
        <v>540</v>
      </c>
      <c r="CG7" s="617">
        <f t="shared" si="13"/>
        <v>595</v>
      </c>
      <c r="CH7" s="617">
        <f t="shared" si="13"/>
        <v>610</v>
      </c>
      <c r="CI7" s="670">
        <f t="shared" si="13"/>
        <v>555</v>
      </c>
      <c r="CJ7" s="670">
        <f t="shared" si="13"/>
        <v>517.5</v>
      </c>
      <c r="CK7" s="670">
        <f t="shared" si="13"/>
        <v>495</v>
      </c>
    </row>
    <row r="8" spans="1:89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66">
        <v>570</v>
      </c>
      <c r="CJ8" s="666">
        <v>530</v>
      </c>
      <c r="CK8" s="666">
        <v>505</v>
      </c>
    </row>
    <row r="9" spans="1:89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66">
        <v>540</v>
      </c>
      <c r="CJ9" s="666">
        <v>505</v>
      </c>
      <c r="CK9" s="666">
        <v>485</v>
      </c>
    </row>
    <row r="10" spans="1:89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K10" si="14">AW6-AW7</f>
        <v>51.069999999999936</v>
      </c>
      <c r="AX10" s="618">
        <f t="shared" si="14"/>
        <v>108.60000000000002</v>
      </c>
      <c r="AY10" s="618">
        <f t="shared" si="14"/>
        <v>144.33000000000004</v>
      </c>
      <c r="AZ10" s="618">
        <f>AZ6-AZ7</f>
        <v>183.17999999999995</v>
      </c>
      <c r="BA10" s="618">
        <f t="shared" si="14"/>
        <v>90.939999999999941</v>
      </c>
      <c r="BB10" s="618">
        <f t="shared" si="14"/>
        <v>101.31000000000006</v>
      </c>
      <c r="BC10" s="618">
        <f t="shared" si="14"/>
        <v>71.720000000000027</v>
      </c>
      <c r="BD10" s="618">
        <f t="shared" si="14"/>
        <v>54.5</v>
      </c>
      <c r="BE10" s="618">
        <f t="shared" si="14"/>
        <v>32.210000000000036</v>
      </c>
      <c r="BF10" s="618">
        <f t="shared" si="14"/>
        <v>-6.6600000000000819</v>
      </c>
      <c r="BG10" s="636">
        <f t="shared" si="14"/>
        <v>62</v>
      </c>
      <c r="BH10" s="634">
        <f t="shared" si="14"/>
        <v>54.939999999999941</v>
      </c>
      <c r="BI10" s="627">
        <f t="shared" si="14"/>
        <v>67.509999999999991</v>
      </c>
      <c r="BJ10" s="627">
        <f t="shared" si="14"/>
        <v>50.269999999999982</v>
      </c>
      <c r="BK10" s="627">
        <f>BK6-BK7</f>
        <v>58.980000000000018</v>
      </c>
      <c r="BL10" s="627">
        <f t="shared" si="14"/>
        <v>27.050000000000068</v>
      </c>
      <c r="BM10" s="627">
        <f t="shared" si="14"/>
        <v>57.349999999999966</v>
      </c>
      <c r="BN10" s="627">
        <f t="shared" si="14"/>
        <v>149.95000000000005</v>
      </c>
      <c r="BO10" s="627">
        <f t="shared" si="14"/>
        <v>104.94999999999999</v>
      </c>
      <c r="BP10" s="627">
        <f t="shared" si="14"/>
        <v>146.26999999999998</v>
      </c>
      <c r="BQ10" s="627">
        <f t="shared" si="14"/>
        <v>95.88</v>
      </c>
      <c r="BR10" s="627">
        <f t="shared" si="14"/>
        <v>53.897222222222297</v>
      </c>
      <c r="BS10" s="627">
        <f t="shared" si="14"/>
        <v>143.19999999999993</v>
      </c>
      <c r="BT10" s="597">
        <f t="shared" si="14"/>
        <v>-17.579999999999927</v>
      </c>
      <c r="BU10" s="597">
        <f t="shared" si="14"/>
        <v>-42.300000000000011</v>
      </c>
      <c r="BV10" s="597">
        <f t="shared" si="14"/>
        <v>-156.53818181818184</v>
      </c>
      <c r="BW10" s="597">
        <f t="shared" si="14"/>
        <v>-56.049999999999983</v>
      </c>
      <c r="BX10" s="597">
        <f t="shared" si="14"/>
        <v>-91.299999999999983</v>
      </c>
      <c r="BY10" s="597">
        <f t="shared" si="14"/>
        <v>22.730000000000018</v>
      </c>
      <c r="BZ10" s="597">
        <f t="shared" si="14"/>
        <v>51.25</v>
      </c>
      <c r="CA10" s="597">
        <f t="shared" si="14"/>
        <v>43.099999999999909</v>
      </c>
      <c r="CB10" s="597">
        <f t="shared" si="14"/>
        <v>38.893636363636347</v>
      </c>
      <c r="CC10" s="597">
        <f t="shared" si="14"/>
        <v>10.07000000000005</v>
      </c>
      <c r="CD10" s="651">
        <f t="shared" si="14"/>
        <v>-58.050000000000011</v>
      </c>
      <c r="CE10" s="651">
        <f t="shared" si="14"/>
        <v>-14.689999999999941</v>
      </c>
      <c r="CF10" s="651">
        <f t="shared" si="14"/>
        <v>-27.779999999999973</v>
      </c>
      <c r="CG10" s="651">
        <f t="shared" si="14"/>
        <v>-28.576599999999985</v>
      </c>
      <c r="CH10" s="651">
        <f t="shared" si="14"/>
        <v>-10.840000000000032</v>
      </c>
      <c r="CI10" s="651">
        <f t="shared" si="14"/>
        <v>40.199999999999932</v>
      </c>
      <c r="CJ10" s="651">
        <f t="shared" si="14"/>
        <v>69.600000000000023</v>
      </c>
      <c r="CK10" s="651">
        <f t="shared" si="14"/>
        <v>87.600000000000023</v>
      </c>
    </row>
    <row r="11" spans="1:89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89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5">BU3</f>
        <v>43862</v>
      </c>
      <c r="BV12" s="623">
        <f t="shared" si="15"/>
        <v>43892</v>
      </c>
      <c r="BW12" s="623">
        <f t="shared" si="15"/>
        <v>43923</v>
      </c>
      <c r="BX12" s="623">
        <f t="shared" si="15"/>
        <v>43952</v>
      </c>
      <c r="BY12" s="623">
        <f t="shared" si="15"/>
        <v>43983</v>
      </c>
      <c r="BZ12" s="623">
        <f t="shared" si="15"/>
        <v>44013</v>
      </c>
      <c r="CA12" s="623">
        <f t="shared" si="15"/>
        <v>44044</v>
      </c>
      <c r="CB12" s="623">
        <f t="shared" si="15"/>
        <v>44075</v>
      </c>
      <c r="CC12" s="623">
        <f t="shared" si="15"/>
        <v>44105</v>
      </c>
      <c r="CD12" s="623">
        <f t="shared" si="15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44320</v>
      </c>
      <c r="CK12" s="623">
        <v>44352</v>
      </c>
    </row>
    <row r="13" spans="1:89" ht="22.5" customHeight="1" thickBot="1">
      <c r="A13" s="484" t="s">
        <v>237</v>
      </c>
      <c r="B13" s="452">
        <f t="shared" ref="B13:M13" si="16">(B7/11.6)-B4</f>
        <v>-7.6432512315270955</v>
      </c>
      <c r="C13" s="453">
        <f t="shared" si="16"/>
        <v>-16.01966379310344</v>
      </c>
      <c r="D13" s="453">
        <f t="shared" si="16"/>
        <v>-12.933589341692787</v>
      </c>
      <c r="E13" s="453">
        <f t="shared" si="16"/>
        <v>-18.549523809523819</v>
      </c>
      <c r="F13" s="453">
        <f t="shared" si="16"/>
        <v>-23.125965517241376</v>
      </c>
      <c r="G13" s="453">
        <f t="shared" si="16"/>
        <v>-25.667405582922832</v>
      </c>
      <c r="H13" s="453">
        <f t="shared" si="16"/>
        <v>-21.0679235382309</v>
      </c>
      <c r="I13" s="453">
        <f t="shared" si="16"/>
        <v>-15.200205254515595</v>
      </c>
      <c r="J13" s="454">
        <f t="shared" si="16"/>
        <v>-17.189435736677126</v>
      </c>
      <c r="K13" s="454">
        <f t="shared" si="16"/>
        <v>-14.631739811912215</v>
      </c>
      <c r="L13" s="455">
        <f t="shared" si="16"/>
        <v>-6.3630131362889983</v>
      </c>
      <c r="M13" s="485">
        <f t="shared" si="16"/>
        <v>5.6571964017990979</v>
      </c>
      <c r="N13" s="452">
        <f t="shared" ref="N13:N14" si="17">AVERAGE(B13:D13)</f>
        <v>-12.198834788774441</v>
      </c>
      <c r="O13" s="453">
        <f t="shared" ref="O13:O14" si="18">AVERAGE(E13:G13)</f>
        <v>-22.447631636562676</v>
      </c>
      <c r="P13" s="453">
        <f t="shared" ref="P13:P14" si="19">AVERAGE(H13:J13)</f>
        <v>-17.81918817647454</v>
      </c>
      <c r="Q13" s="486">
        <f t="shared" ref="Q13:Q14" si="20">AVERAGE(K13:M13)</f>
        <v>-5.112518848800705</v>
      </c>
      <c r="R13" s="487">
        <f t="shared" ref="R13:R14" si="21">AVERAGE(B13:M13)</f>
        <v>-14.39454336265309</v>
      </c>
      <c r="S13" s="456">
        <f t="shared" ref="S13:AD13" si="22">(S7/11.6)-S4</f>
        <v>4.4836034482758613</v>
      </c>
      <c r="T13" s="457">
        <f t="shared" si="22"/>
        <v>-3.7965517241379274</v>
      </c>
      <c r="U13" s="457">
        <f t="shared" si="22"/>
        <v>-9.065517241379311</v>
      </c>
      <c r="V13" s="457">
        <f t="shared" si="22"/>
        <v>-10.407405582922831</v>
      </c>
      <c r="W13" s="457">
        <f t="shared" si="22"/>
        <v>-14.353934169278993</v>
      </c>
      <c r="X13" s="457">
        <f t="shared" si="22"/>
        <v>-16.715353901996366</v>
      </c>
      <c r="Y13" s="488">
        <f t="shared" si="22"/>
        <v>-16.511724137931033</v>
      </c>
      <c r="Z13" s="512">
        <f t="shared" si="22"/>
        <v>-18.960893416927892</v>
      </c>
      <c r="AA13" s="512">
        <f t="shared" si="22"/>
        <v>-17.036420361247952</v>
      </c>
      <c r="AB13" s="457">
        <f t="shared" si="22"/>
        <v>-18.639696223316911</v>
      </c>
      <c r="AC13" s="488">
        <f t="shared" si="22"/>
        <v>-8.5197178683385602</v>
      </c>
      <c r="AD13" s="520">
        <f t="shared" si="22"/>
        <v>-17.959688013136294</v>
      </c>
      <c r="AE13" s="459">
        <f t="shared" ref="AE13:AE14" si="23">AVERAGE(S13:U13)</f>
        <v>-2.7928218390804589</v>
      </c>
      <c r="AF13" s="458">
        <f t="shared" ref="AF13:AF14" si="24">AVERAGE(V13:X13)</f>
        <v>-13.825564551399395</v>
      </c>
      <c r="AG13" s="458">
        <f t="shared" ref="AG13:AG14" si="25">AVERAGE(Y13:AA13)</f>
        <v>-17.503012638702291</v>
      </c>
      <c r="AH13" s="458">
        <f t="shared" ref="AH13:AH14" si="26">AVERAGE(AB13:AD13)</f>
        <v>-15.039700701597255</v>
      </c>
      <c r="AI13" s="531">
        <f t="shared" ref="AI13:AI14" si="27">AVERAGE(S13:AD13)</f>
        <v>-12.290274932694849</v>
      </c>
      <c r="AJ13" s="567">
        <f t="shared" ref="AJ13:CK13" si="28">(AJ7/11.6)-AJ4</f>
        <v>-13.633793103448276</v>
      </c>
      <c r="AK13" s="565">
        <f t="shared" si="28"/>
        <v>-6.5951724137931009</v>
      </c>
      <c r="AL13" s="545">
        <f t="shared" si="28"/>
        <v>-4.6482758620689637</v>
      </c>
      <c r="AM13" s="546">
        <f t="shared" si="28"/>
        <v>-12.634827586206896</v>
      </c>
      <c r="AN13" s="546">
        <f t="shared" si="28"/>
        <v>-17.134827586206896</v>
      </c>
      <c r="AO13" s="546">
        <f t="shared" si="28"/>
        <v>-13.064827586206896</v>
      </c>
      <c r="AP13" s="546">
        <f t="shared" si="28"/>
        <v>-16.966551724137929</v>
      </c>
      <c r="AQ13" s="546">
        <f t="shared" si="28"/>
        <v>-12.28896551724138</v>
      </c>
      <c r="AR13" s="546">
        <f t="shared" si="28"/>
        <v>-11.427120689655169</v>
      </c>
      <c r="AS13" s="546">
        <f t="shared" si="28"/>
        <v>-5.7655172413793068</v>
      </c>
      <c r="AT13" s="546">
        <f t="shared" si="28"/>
        <v>-11.03551724137931</v>
      </c>
      <c r="AU13" s="566">
        <f t="shared" si="28"/>
        <v>-11.600000000000001</v>
      </c>
      <c r="AV13" s="560">
        <f t="shared" si="28"/>
        <v>-16.189999999999998</v>
      </c>
      <c r="AW13" s="561">
        <f t="shared" si="28"/>
        <v>-18.323448275862063</v>
      </c>
      <c r="AX13" s="561">
        <f t="shared" si="28"/>
        <v>-22.007241379310344</v>
      </c>
      <c r="AY13" s="561">
        <f t="shared" si="28"/>
        <v>-27.537241379310338</v>
      </c>
      <c r="AZ13" s="561">
        <f t="shared" si="28"/>
        <v>-31.091034482758616</v>
      </c>
      <c r="BA13" s="561">
        <f t="shared" si="28"/>
        <v>-25.314137931034487</v>
      </c>
      <c r="BB13" s="561">
        <f t="shared" si="28"/>
        <v>-24.628620689655179</v>
      </c>
      <c r="BC13" s="561">
        <f t="shared" si="28"/>
        <v>-21.843448275862059</v>
      </c>
      <c r="BD13" s="561">
        <f t="shared" si="28"/>
        <v>-21.767241379310342</v>
      </c>
      <c r="BE13" s="561">
        <f t="shared" si="28"/>
        <v>-22.924482758620691</v>
      </c>
      <c r="BF13" s="561">
        <f t="shared" si="28"/>
        <v>-19.654827586206899</v>
      </c>
      <c r="BG13" s="624">
        <f t="shared" si="28"/>
        <v>-20.231034482758616</v>
      </c>
      <c r="BH13" s="626">
        <f t="shared" si="28"/>
        <v>-22.442068965517237</v>
      </c>
      <c r="BI13" s="626">
        <f t="shared" si="28"/>
        <v>-25.345862068965509</v>
      </c>
      <c r="BJ13" s="626">
        <f t="shared" si="28"/>
        <v>-23.395517241379316</v>
      </c>
      <c r="BK13" s="626">
        <f t="shared" si="28"/>
        <v>-25.691379310344828</v>
      </c>
      <c r="BL13" s="626">
        <f t="shared" si="28"/>
        <v>-23.905862068965511</v>
      </c>
      <c r="BM13" s="626">
        <f t="shared" si="28"/>
        <v>-25.337586206896546</v>
      </c>
      <c r="BN13" s="626">
        <f t="shared" si="28"/>
        <v>-31.78448275862069</v>
      </c>
      <c r="BO13" s="626">
        <f t="shared" si="28"/>
        <v>-27.64448275862069</v>
      </c>
      <c r="BP13" s="626">
        <f t="shared" si="28"/>
        <v>-30.516551724137926</v>
      </c>
      <c r="BQ13" s="626">
        <f t="shared" si="28"/>
        <v>-22.516551724137926</v>
      </c>
      <c r="BR13" s="626">
        <f t="shared" si="28"/>
        <v>-24.084482758620688</v>
      </c>
      <c r="BS13" s="626">
        <f t="shared" si="28"/>
        <v>-25.422413793103445</v>
      </c>
      <c r="BT13" s="656">
        <f t="shared" si="28"/>
        <v>-14.505517241379316</v>
      </c>
      <c r="BU13" s="656">
        <f t="shared" si="28"/>
        <v>-8.9613793103448245</v>
      </c>
      <c r="BV13" s="656">
        <f t="shared" si="28"/>
        <v>5.5241379310344811</v>
      </c>
      <c r="BW13" s="656">
        <f t="shared" si="28"/>
        <v>-0.13137931034482619</v>
      </c>
      <c r="BX13" s="656">
        <f t="shared" si="28"/>
        <v>-1.1596551724137925</v>
      </c>
      <c r="BY13" s="656">
        <f t="shared" si="28"/>
        <v>-11.479655172413793</v>
      </c>
      <c r="BZ13" s="656">
        <f t="shared" si="28"/>
        <v>-12.827586206896552</v>
      </c>
      <c r="CA13" s="656">
        <f t="shared" si="28"/>
        <v>-13.383801724137932</v>
      </c>
      <c r="CB13" s="656">
        <f t="shared" si="28"/>
        <v>-10.46074451410658</v>
      </c>
      <c r="CC13" s="656">
        <f t="shared" si="28"/>
        <v>-8.1180329153605015</v>
      </c>
      <c r="CD13" s="650">
        <f t="shared" si="28"/>
        <v>-5.8900000000000006</v>
      </c>
      <c r="CE13" s="650">
        <f t="shared" si="28"/>
        <v>-10.475862068965519</v>
      </c>
      <c r="CF13" s="650">
        <f t="shared" si="28"/>
        <v>-8.218275862068964</v>
      </c>
      <c r="CG13" s="650">
        <f t="shared" si="28"/>
        <v>-9.5618965517241321</v>
      </c>
      <c r="CH13" s="650">
        <f t="shared" si="28"/>
        <v>-12.11379310344828</v>
      </c>
      <c r="CI13" s="650">
        <f t="shared" si="28"/>
        <v>-16.655172413793103</v>
      </c>
      <c r="CJ13" s="650">
        <f t="shared" si="28"/>
        <v>-19.987931034482749</v>
      </c>
      <c r="CK13" s="650">
        <f t="shared" si="28"/>
        <v>-21.827586206896548</v>
      </c>
    </row>
    <row r="14" spans="1:89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29">(333/11.6)-C4</f>
        <v>-27.140353448275857</v>
      </c>
      <c r="D14" s="461">
        <f t="shared" si="29"/>
        <v>-25.950830721003133</v>
      </c>
      <c r="E14" s="461">
        <f t="shared" si="29"/>
        <v>-29.842627257799681</v>
      </c>
      <c r="F14" s="461">
        <f t="shared" si="29"/>
        <v>-34.85010344827586</v>
      </c>
      <c r="G14" s="461">
        <f t="shared" si="29"/>
        <v>-33.08119868637111</v>
      </c>
      <c r="H14" s="461">
        <f t="shared" si="29"/>
        <v>-27.447233883058484</v>
      </c>
      <c r="I14" s="461">
        <f t="shared" si="29"/>
        <v>-19.165722495894908</v>
      </c>
      <c r="J14" s="462">
        <f t="shared" si="29"/>
        <v>-16.672194357366781</v>
      </c>
      <c r="K14" s="490">
        <f t="shared" si="29"/>
        <v>-17.131739811912215</v>
      </c>
      <c r="L14" s="491">
        <f t="shared" si="29"/>
        <v>-13.087151067323479</v>
      </c>
      <c r="M14" s="492">
        <f t="shared" si="29"/>
        <v>-5.8083208395802153</v>
      </c>
      <c r="N14" s="493">
        <f t="shared" si="17"/>
        <v>-23.319524443946857</v>
      </c>
      <c r="O14" s="494">
        <f t="shared" si="18"/>
        <v>-32.591309797482218</v>
      </c>
      <c r="P14" s="494">
        <f t="shared" si="19"/>
        <v>-21.09505024544006</v>
      </c>
      <c r="Q14" s="495">
        <f t="shared" si="20"/>
        <v>-12.009070572938635</v>
      </c>
      <c r="R14" s="496">
        <f t="shared" si="21"/>
        <v>-22.253738764951944</v>
      </c>
      <c r="S14" s="497">
        <f t="shared" ref="S14:AD14" si="30">(333/11.6)-S4</f>
        <v>1.8973965517241353</v>
      </c>
      <c r="T14" s="498">
        <f t="shared" si="30"/>
        <v>-0.69310344827585979</v>
      </c>
      <c r="U14" s="498">
        <f t="shared" si="30"/>
        <v>-6.3931034482758626</v>
      </c>
      <c r="V14" s="498">
        <f t="shared" si="30"/>
        <v>-10.321198686371108</v>
      </c>
      <c r="W14" s="498">
        <f t="shared" si="30"/>
        <v>-15.560830721003132</v>
      </c>
      <c r="X14" s="498">
        <f t="shared" si="30"/>
        <v>-17.66362976406533</v>
      </c>
      <c r="Y14" s="499">
        <f t="shared" si="30"/>
        <v>-13.753103448275862</v>
      </c>
      <c r="Z14" s="513">
        <f t="shared" si="30"/>
        <v>-14.995376175548582</v>
      </c>
      <c r="AA14" s="513">
        <f t="shared" si="30"/>
        <v>-14.622627257799675</v>
      </c>
      <c r="AB14" s="498">
        <f t="shared" si="30"/>
        <v>-20.277627257799669</v>
      </c>
      <c r="AC14" s="499">
        <f t="shared" si="30"/>
        <v>-15.157648902821318</v>
      </c>
      <c r="AD14" s="525">
        <f t="shared" si="30"/>
        <v>-23.390722495894916</v>
      </c>
      <c r="AE14" s="501">
        <f t="shared" si="23"/>
        <v>-1.7296034482758624</v>
      </c>
      <c r="AF14" s="500">
        <f t="shared" si="24"/>
        <v>-14.515219723813189</v>
      </c>
      <c r="AG14" s="500">
        <f t="shared" si="25"/>
        <v>-14.457035627208038</v>
      </c>
      <c r="AH14" s="500">
        <f t="shared" si="26"/>
        <v>-19.608666218838636</v>
      </c>
      <c r="AI14" s="502">
        <f t="shared" si="27"/>
        <v>-12.577631254533932</v>
      </c>
      <c r="AJ14" s="537">
        <f t="shared" ref="AJ14:AU14" si="31">(333/11.6)-AJ4</f>
        <v>-25.01310344827586</v>
      </c>
      <c r="AK14" s="538">
        <f t="shared" si="31"/>
        <v>-25.733103448275859</v>
      </c>
      <c r="AL14" s="538">
        <f t="shared" si="31"/>
        <v>-22.493103448275864</v>
      </c>
      <c r="AM14" s="539">
        <f t="shared" si="31"/>
        <v>-23.58310344827586</v>
      </c>
      <c r="AN14" s="539">
        <f t="shared" si="31"/>
        <v>-21.83310344827586</v>
      </c>
      <c r="AO14" s="539">
        <f t="shared" si="31"/>
        <v>-17.76310344827586</v>
      </c>
      <c r="AP14" s="539">
        <f t="shared" si="31"/>
        <v>-18.863103448275861</v>
      </c>
      <c r="AQ14" s="540">
        <f t="shared" si="31"/>
        <v>-21.51310344827586</v>
      </c>
      <c r="AR14" s="541">
        <f t="shared" si="31"/>
        <v>-24.961603448275856</v>
      </c>
      <c r="AS14" s="542">
        <f t="shared" si="31"/>
        <v>-26.843103448275858</v>
      </c>
      <c r="AT14" s="543">
        <f t="shared" si="31"/>
        <v>-32.113103448275865</v>
      </c>
      <c r="AU14" s="544">
        <f t="shared" si="31"/>
        <v>-32.893103448275866</v>
      </c>
      <c r="AV14" s="542"/>
      <c r="AW14" s="543"/>
      <c r="AX14" s="543"/>
      <c r="AY14" s="543"/>
      <c r="AZ14" s="544"/>
      <c r="BB14"/>
    </row>
    <row r="15" spans="1:89" s="507" customFormat="1" ht="31.5" customHeight="1">
      <c r="A15" s="654" t="s">
        <v>444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89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" thickBot="1">
      <c r="CD18" s="518" t="s">
        <v>242</v>
      </c>
      <c r="CF18" s="510" t="s">
        <v>436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24" t="s">
        <v>239</v>
      </c>
      <c r="CE19" s="725"/>
      <c r="CF19" s="725"/>
      <c r="CG19" s="725"/>
      <c r="CH19" s="725"/>
      <c r="CI19" s="726"/>
      <c r="CJ19" s="725" t="s">
        <v>240</v>
      </c>
      <c r="CK19" s="725"/>
      <c r="CL19" s="725"/>
      <c r="CM19" s="725"/>
      <c r="CN19" s="725"/>
      <c r="CO19" s="726"/>
    </row>
    <row r="20" spans="4:93" ht="55.5" customHeight="1">
      <c r="CD20" s="746" t="s">
        <v>437</v>
      </c>
      <c r="CE20" s="747"/>
      <c r="CF20" s="747"/>
      <c r="CG20" s="747"/>
      <c r="CH20" s="747"/>
      <c r="CI20" s="748"/>
      <c r="CJ20" s="746" t="s">
        <v>438</v>
      </c>
      <c r="CK20" s="747"/>
      <c r="CL20" s="747"/>
      <c r="CM20" s="747"/>
      <c r="CN20" s="747"/>
      <c r="CO20" s="748"/>
    </row>
    <row r="21" spans="4:93" ht="52.5" customHeight="1">
      <c r="CD21" s="746" t="s">
        <v>440</v>
      </c>
      <c r="CE21" s="747"/>
      <c r="CF21" s="747"/>
      <c r="CG21" s="747"/>
      <c r="CH21" s="747"/>
      <c r="CI21" s="748"/>
      <c r="CJ21" s="746" t="s">
        <v>445</v>
      </c>
      <c r="CK21" s="747"/>
      <c r="CL21" s="747"/>
      <c r="CM21" s="747"/>
      <c r="CN21" s="747"/>
      <c r="CO21" s="748"/>
    </row>
    <row r="22" spans="4:93" ht="52.5" customHeight="1">
      <c r="CD22" s="747" t="s">
        <v>447</v>
      </c>
      <c r="CE22" s="749"/>
      <c r="CF22" s="749"/>
      <c r="CG22" s="749"/>
      <c r="CH22" s="749"/>
      <c r="CI22" s="750"/>
      <c r="CJ22" s="746" t="s">
        <v>446</v>
      </c>
      <c r="CK22" s="747"/>
      <c r="CL22" s="747"/>
      <c r="CM22" s="747"/>
      <c r="CN22" s="747"/>
      <c r="CO22" s="748"/>
    </row>
    <row r="23" spans="4:93">
      <c r="CD23" s="659"/>
      <c r="CJ23"/>
    </row>
    <row r="24" spans="4:93">
      <c r="CD24" s="620" t="s">
        <v>251</v>
      </c>
      <c r="CJ24"/>
    </row>
    <row r="25" spans="4:93">
      <c r="CD25" s="668" t="s">
        <v>448</v>
      </c>
    </row>
    <row r="26" spans="4:93">
      <c r="CD26" s="668"/>
    </row>
    <row r="27" spans="4:93">
      <c r="CD27" s="668"/>
    </row>
  </sheetData>
  <mergeCells count="17">
    <mergeCell ref="AV2:BG2"/>
    <mergeCell ref="B2:M2"/>
    <mergeCell ref="N2:R2"/>
    <mergeCell ref="S2:AD2"/>
    <mergeCell ref="AE2:AI2"/>
    <mergeCell ref="AJ2:AU2"/>
    <mergeCell ref="CD21:CI21"/>
    <mergeCell ref="CJ21:CO21"/>
    <mergeCell ref="CD22:CI22"/>
    <mergeCell ref="CJ22:CO22"/>
    <mergeCell ref="BH2:BS2"/>
    <mergeCell ref="BT2:CE2"/>
    <mergeCell ref="CF2:CK2"/>
    <mergeCell ref="CD19:CI19"/>
    <mergeCell ref="CJ19:CO19"/>
    <mergeCell ref="CD20:CI20"/>
    <mergeCell ref="CJ20:CO20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70C0"/>
    <pageSetUpPr fitToPage="1"/>
  </sheetPr>
  <dimension ref="A1:CO27"/>
  <sheetViews>
    <sheetView zoomScaleNormal="100" zoomScaleSheetLayoutView="50" workbookViewId="0">
      <pane xSplit="1" ySplit="3" topLeftCell="BM13" activePane="bottomRight" state="frozenSplit"/>
      <selection pane="topRight" activeCell="B1" sqref="B1"/>
      <selection pane="bottomLeft" activeCell="A3" sqref="A3"/>
      <selection pane="bottomRight" activeCell="CO13" sqref="CO13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83" width="10.08984375" style="432" hidden="1" customWidth="1"/>
    <col min="84" max="87" width="10.6328125" style="432" customWidth="1"/>
    <col min="88" max="88" width="10" style="432" bestFit="1" customWidth="1"/>
    <col min="89" max="89" width="10.1796875" style="432" customWidth="1"/>
    <col min="90" max="92" width="9.08984375" style="432"/>
    <col min="93" max="93" width="17.6328125" style="432" customWidth="1"/>
    <col min="94" max="16384" width="9.08984375" style="432"/>
  </cols>
  <sheetData>
    <row r="1" spans="1:90" ht="20.25" customHeight="1" thickBot="1">
      <c r="A1" s="428" t="s">
        <v>458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0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  <c r="CE2" s="717"/>
      <c r="CF2" s="736">
        <v>2021</v>
      </c>
      <c r="CG2" s="736"/>
      <c r="CH2" s="736"/>
      <c r="CI2" s="736"/>
      <c r="CJ2" s="736"/>
      <c r="CK2" s="736"/>
      <c r="CL2" s="736"/>
    </row>
    <row r="3" spans="1:90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</row>
    <row r="4" spans="1:90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64">
        <v>63.4</v>
      </c>
      <c r="CJ4" s="664">
        <v>63.6</v>
      </c>
      <c r="CK4" s="664">
        <v>63.8</v>
      </c>
      <c r="CL4" s="664">
        <v>64</v>
      </c>
    </row>
    <row r="5" spans="1:90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64">
        <v>62.95</v>
      </c>
      <c r="CJ5" s="664">
        <v>62.83</v>
      </c>
      <c r="CK5" s="664">
        <v>62.7</v>
      </c>
      <c r="CL5" s="664">
        <v>62.63</v>
      </c>
    </row>
    <row r="6" spans="1:90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64">
        <v>578.55000000000007</v>
      </c>
      <c r="CJ6" s="664">
        <v>577.47</v>
      </c>
      <c r="CK6" s="664">
        <v>576.30000000000007</v>
      </c>
      <c r="CL6" s="664">
        <v>575.67000000000007</v>
      </c>
    </row>
    <row r="7" spans="1:90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K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70">
        <f t="shared" si="14"/>
        <v>460</v>
      </c>
      <c r="CK7" s="670">
        <f t="shared" si="14"/>
        <v>455</v>
      </c>
      <c r="CL7" s="670">
        <f t="shared" ref="CL7" si="15">(CL8+CL9)/2</f>
        <v>450</v>
      </c>
    </row>
    <row r="8" spans="1:90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66">
        <v>470</v>
      </c>
      <c r="CK8" s="666">
        <v>465</v>
      </c>
      <c r="CL8" s="666">
        <v>460</v>
      </c>
    </row>
    <row r="9" spans="1:90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66">
        <v>450</v>
      </c>
      <c r="CK9" s="666">
        <v>445</v>
      </c>
      <c r="CL9" s="666">
        <v>440</v>
      </c>
    </row>
    <row r="10" spans="1:90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K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597">
        <f t="shared" si="16"/>
        <v>-156.53818181818184</v>
      </c>
      <c r="BW10" s="597">
        <f t="shared" si="16"/>
        <v>-56.049999999999983</v>
      </c>
      <c r="BX10" s="597">
        <f t="shared" si="16"/>
        <v>-91.299999999999983</v>
      </c>
      <c r="BY10" s="597">
        <f t="shared" si="16"/>
        <v>22.730000000000018</v>
      </c>
      <c r="BZ10" s="597">
        <f t="shared" si="16"/>
        <v>51.25</v>
      </c>
      <c r="CA10" s="597">
        <f t="shared" si="16"/>
        <v>43.099999999999909</v>
      </c>
      <c r="CB10" s="597">
        <f t="shared" si="16"/>
        <v>38.893636363636347</v>
      </c>
      <c r="CC10" s="597">
        <f t="shared" si="16"/>
        <v>10.07000000000005</v>
      </c>
      <c r="CD10" s="651">
        <f t="shared" si="16"/>
        <v>-58.050000000000011</v>
      </c>
      <c r="CE10" s="651">
        <f t="shared" si="16"/>
        <v>-14.689999999999941</v>
      </c>
      <c r="CF10" s="651">
        <f t="shared" si="16"/>
        <v>-27.779999999999973</v>
      </c>
      <c r="CG10" s="651">
        <f t="shared" si="16"/>
        <v>-28.576599999999985</v>
      </c>
      <c r="CH10" s="651">
        <f t="shared" si="16"/>
        <v>-15.159999999999968</v>
      </c>
      <c r="CI10" s="651">
        <f t="shared" si="16"/>
        <v>33.550000000000068</v>
      </c>
      <c r="CJ10" s="651">
        <f t="shared" si="16"/>
        <v>117.47000000000003</v>
      </c>
      <c r="CK10" s="651">
        <f t="shared" si="16"/>
        <v>121.30000000000007</v>
      </c>
      <c r="CL10" s="651">
        <f t="shared" ref="CL10" si="17">CL6-CL7</f>
        <v>125.67000000000007</v>
      </c>
    </row>
    <row r="11" spans="1:90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0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8">BU3</f>
        <v>43862</v>
      </c>
      <c r="BV12" s="623">
        <f t="shared" si="18"/>
        <v>43892</v>
      </c>
      <c r="BW12" s="623">
        <f t="shared" si="18"/>
        <v>43923</v>
      </c>
      <c r="BX12" s="623">
        <f t="shared" si="18"/>
        <v>43952</v>
      </c>
      <c r="BY12" s="623">
        <f t="shared" si="18"/>
        <v>43983</v>
      </c>
      <c r="BZ12" s="623">
        <f t="shared" si="18"/>
        <v>44013</v>
      </c>
      <c r="CA12" s="623">
        <f t="shared" si="18"/>
        <v>44044</v>
      </c>
      <c r="CB12" s="623">
        <f t="shared" si="18"/>
        <v>44075</v>
      </c>
      <c r="CC12" s="623">
        <f t="shared" si="18"/>
        <v>44105</v>
      </c>
      <c r="CD12" s="623">
        <f t="shared" si="18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</row>
    <row r="13" spans="1:90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K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6">
        <f t="shared" si="31"/>
        <v>-11.479655172413793</v>
      </c>
      <c r="BZ13" s="656">
        <f t="shared" si="31"/>
        <v>-12.827586206896552</v>
      </c>
      <c r="CA13" s="656">
        <f t="shared" si="31"/>
        <v>-13.383801724137932</v>
      </c>
      <c r="CB13" s="656">
        <f t="shared" si="31"/>
        <v>-10.46074451410658</v>
      </c>
      <c r="CC13" s="656">
        <f t="shared" si="31"/>
        <v>-8.1180329153605015</v>
      </c>
      <c r="CD13" s="650">
        <f t="shared" si="31"/>
        <v>-5.8900000000000006</v>
      </c>
      <c r="CE13" s="650">
        <f t="shared" si="31"/>
        <v>-10.475862068965519</v>
      </c>
      <c r="CF13" s="650">
        <f t="shared" si="31"/>
        <v>-8.218275862068964</v>
      </c>
      <c r="CG13" s="650">
        <f t="shared" si="31"/>
        <v>-9.5618965517241321</v>
      </c>
      <c r="CH13" s="650">
        <f t="shared" si="31"/>
        <v>-11.823793103448274</v>
      </c>
      <c r="CI13" s="650">
        <f t="shared" si="31"/>
        <v>-16.41724137931034</v>
      </c>
      <c r="CJ13" s="650">
        <f t="shared" si="31"/>
        <v>-23.944827586206898</v>
      </c>
      <c r="CK13" s="650">
        <f t="shared" si="31"/>
        <v>-24.575862068965513</v>
      </c>
      <c r="CL13" s="650">
        <f t="shared" ref="CL13" si="32">(CL7/11.6)-CL4</f>
        <v>-25.206896551724135</v>
      </c>
    </row>
    <row r="14" spans="1:90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90" s="507" customFormat="1" ht="31.5" customHeight="1">
      <c r="A15" s="654" t="s">
        <v>450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90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" thickBot="1">
      <c r="CD18" s="518" t="s">
        <v>242</v>
      </c>
      <c r="CF18" s="510" t="s">
        <v>451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24" t="s">
        <v>239</v>
      </c>
      <c r="CE19" s="725"/>
      <c r="CF19" s="725"/>
      <c r="CG19" s="725"/>
      <c r="CH19" s="725"/>
      <c r="CI19" s="726"/>
      <c r="CJ19" s="725" t="s">
        <v>240</v>
      </c>
      <c r="CK19" s="725"/>
      <c r="CL19" s="725"/>
      <c r="CM19" s="725"/>
      <c r="CN19" s="725"/>
      <c r="CO19" s="726"/>
    </row>
    <row r="20" spans="4:93" ht="55.5" customHeight="1">
      <c r="CD20" s="746" t="s">
        <v>455</v>
      </c>
      <c r="CE20" s="747"/>
      <c r="CF20" s="747"/>
      <c r="CG20" s="747"/>
      <c r="CH20" s="747"/>
      <c r="CI20" s="748"/>
      <c r="CJ20" s="746" t="s">
        <v>456</v>
      </c>
      <c r="CK20" s="747"/>
      <c r="CL20" s="747"/>
      <c r="CM20" s="747"/>
      <c r="CN20" s="747"/>
      <c r="CO20" s="748"/>
    </row>
    <row r="21" spans="4:93" ht="52.5" customHeight="1">
      <c r="CD21" s="746" t="s">
        <v>452</v>
      </c>
      <c r="CE21" s="747"/>
      <c r="CF21" s="747"/>
      <c r="CG21" s="747"/>
      <c r="CH21" s="747"/>
      <c r="CI21" s="748"/>
      <c r="CJ21" s="746" t="s">
        <v>453</v>
      </c>
      <c r="CK21" s="747"/>
      <c r="CL21" s="747"/>
      <c r="CM21" s="747"/>
      <c r="CN21" s="747"/>
      <c r="CO21" s="748"/>
    </row>
    <row r="22" spans="4:93" ht="52.5" customHeight="1">
      <c r="CD22" s="747" t="s">
        <v>454</v>
      </c>
      <c r="CE22" s="749"/>
      <c r="CF22" s="749"/>
      <c r="CG22" s="749"/>
      <c r="CH22" s="749"/>
      <c r="CI22" s="750"/>
      <c r="CJ22" s="746" t="s">
        <v>457</v>
      </c>
      <c r="CK22" s="747"/>
      <c r="CL22" s="747"/>
      <c r="CM22" s="747"/>
      <c r="CN22" s="747"/>
      <c r="CO22" s="748"/>
    </row>
    <row r="23" spans="4:93">
      <c r="CD23" s="659"/>
      <c r="CJ23"/>
    </row>
    <row r="24" spans="4:93">
      <c r="CD24" s="620" t="s">
        <v>251</v>
      </c>
      <c r="CJ24"/>
    </row>
    <row r="25" spans="4:93">
      <c r="CD25" s="668" t="s">
        <v>448</v>
      </c>
    </row>
    <row r="26" spans="4:93">
      <c r="CD26" s="668"/>
    </row>
    <row r="27" spans="4:93">
      <c r="CD27" s="668"/>
    </row>
  </sheetData>
  <mergeCells count="17">
    <mergeCell ref="CD21:CI21"/>
    <mergeCell ref="CJ21:CO21"/>
    <mergeCell ref="CD22:CI22"/>
    <mergeCell ref="CJ22:CO22"/>
    <mergeCell ref="CF2:CL2"/>
    <mergeCell ref="BH2:BS2"/>
    <mergeCell ref="BT2:CE2"/>
    <mergeCell ref="CD19:CI19"/>
    <mergeCell ref="CJ19:CO19"/>
    <mergeCell ref="CD20:CI20"/>
    <mergeCell ref="CJ20:CO20"/>
    <mergeCell ref="AV2:BG2"/>
    <mergeCell ref="B2:M2"/>
    <mergeCell ref="N2:R2"/>
    <mergeCell ref="S2:AD2"/>
    <mergeCell ref="AE2:AI2"/>
    <mergeCell ref="AJ2:AU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B050"/>
    <pageSetUpPr fitToPage="1"/>
  </sheetPr>
  <dimension ref="A1:CP27"/>
  <sheetViews>
    <sheetView tabSelected="1" zoomScaleNormal="100" zoomScaleSheetLayoutView="50" workbookViewId="0">
      <pane xSplit="1" ySplit="3" topLeftCell="CI4" activePane="bottomRight" state="frozenSplit"/>
      <selection pane="topRight" activeCell="B1" sqref="B1"/>
      <selection pane="bottomLeft" activeCell="A3" sqref="A3"/>
      <selection pane="bottomRight" activeCell="CP7" sqref="CP7"/>
    </sheetView>
  </sheetViews>
  <sheetFormatPr defaultColWidth="9.08984375" defaultRowHeight="17.5"/>
  <cols>
    <col min="1" max="1" width="38.7265625" style="432" customWidth="1"/>
    <col min="2" max="12" width="12.36328125" style="508" hidden="1" customWidth="1"/>
    <col min="13" max="13" width="11.36328125" style="508" hidden="1" customWidth="1"/>
    <col min="14" max="14" width="12.36328125" style="510" hidden="1" customWidth="1"/>
    <col min="15" max="17" width="12.36328125" style="508" hidden="1" customWidth="1"/>
    <col min="18" max="18" width="11.90625" style="508" hidden="1" customWidth="1"/>
    <col min="19" max="19" width="10.36328125" style="432" hidden="1" customWidth="1"/>
    <col min="20" max="20" width="10.453125" style="432" hidden="1" customWidth="1"/>
    <col min="21" max="21" width="11.08984375" style="432" hidden="1" customWidth="1"/>
    <col min="22" max="22" width="10.90625" style="432" hidden="1" customWidth="1"/>
    <col min="23" max="23" width="11.36328125" style="432" hidden="1" customWidth="1"/>
    <col min="24" max="24" width="10.36328125" style="432" hidden="1" customWidth="1"/>
    <col min="25" max="25" width="9.453125" style="432" hidden="1" customWidth="1"/>
    <col min="26" max="26" width="11.08984375" style="432" hidden="1" customWidth="1"/>
    <col min="27" max="27" width="10.453125" style="432" hidden="1" customWidth="1"/>
    <col min="28" max="28" width="10.36328125" style="432" hidden="1" customWidth="1"/>
    <col min="29" max="29" width="10.90625" style="432" hidden="1" customWidth="1"/>
    <col min="30" max="30" width="12.36328125" style="518" hidden="1" customWidth="1"/>
    <col min="31" max="31" width="9.453125" style="432" hidden="1" customWidth="1"/>
    <col min="32" max="33" width="9.36328125" style="432" hidden="1" customWidth="1"/>
    <col min="34" max="34" width="9.453125" style="432" hidden="1" customWidth="1"/>
    <col min="35" max="35" width="9.36328125" style="432" hidden="1" customWidth="1"/>
    <col min="36" max="37" width="10.08984375" style="432" hidden="1" customWidth="1"/>
    <col min="38" max="38" width="11.08984375" style="432" hidden="1" customWidth="1"/>
    <col min="39" max="39" width="10.90625" style="432" hidden="1" customWidth="1"/>
    <col min="40" max="40" width="11" style="432" hidden="1" customWidth="1"/>
    <col min="41" max="41" width="10.36328125" style="432" hidden="1" customWidth="1"/>
    <col min="42" max="42" width="9.08984375" style="432" hidden="1" customWidth="1"/>
    <col min="43" max="43" width="11.08984375" style="432" hidden="1" customWidth="1"/>
    <col min="44" max="44" width="10.6328125" style="432" hidden="1" customWidth="1"/>
    <col min="45" max="45" width="10.36328125" style="432" hidden="1" customWidth="1"/>
    <col min="46" max="46" width="10.90625" style="432" hidden="1" customWidth="1"/>
    <col min="47" max="48" width="11.90625" style="432" hidden="1" customWidth="1"/>
    <col min="49" max="49" width="9.36328125" style="432" hidden="1" customWidth="1"/>
    <col min="50" max="50" width="9.6328125" style="432" hidden="1" customWidth="1"/>
    <col min="51" max="51" width="9.36328125" style="432" hidden="1" customWidth="1"/>
    <col min="52" max="52" width="10" style="432" hidden="1" customWidth="1"/>
    <col min="53" max="53" width="9.36328125" style="432" hidden="1" customWidth="1"/>
    <col min="54" max="54" width="9.08984375" hidden="1" customWidth="1"/>
    <col min="55" max="55" width="9.7265625" style="432" hidden="1" customWidth="1"/>
    <col min="56" max="56" width="9.453125" style="432" hidden="1" customWidth="1"/>
    <col min="57" max="57" width="9.08984375" style="432" hidden="1" customWidth="1"/>
    <col min="58" max="58" width="9.90625" style="432" hidden="1" customWidth="1"/>
    <col min="59" max="59" width="9.453125" style="432" hidden="1" customWidth="1"/>
    <col min="60" max="60" width="9.08984375" style="432" hidden="1" customWidth="1"/>
    <col min="61" max="61" width="9.36328125" style="432" hidden="1" customWidth="1"/>
    <col min="62" max="62" width="9.6328125" style="432" hidden="1" customWidth="1"/>
    <col min="63" max="63" width="9.08984375" style="432" hidden="1" customWidth="1"/>
    <col min="64" max="64" width="10" style="432" hidden="1" customWidth="1"/>
    <col min="65" max="65" width="9.36328125" style="432" hidden="1" customWidth="1"/>
    <col min="66" max="66" width="9.08984375" style="432" hidden="1" customWidth="1"/>
    <col min="67" max="67" width="9.7265625" style="432" hidden="1" customWidth="1"/>
    <col min="68" max="68" width="9.453125" style="432" hidden="1" customWidth="1"/>
    <col min="69" max="69" width="9.08984375" style="432" hidden="1" customWidth="1"/>
    <col min="70" max="70" width="9.90625" style="432" hidden="1" customWidth="1"/>
    <col min="71" max="71" width="9.453125" style="432" hidden="1" customWidth="1"/>
    <col min="72" max="83" width="10.08984375" style="432" hidden="1" customWidth="1"/>
    <col min="84" max="87" width="10.6328125" style="432" customWidth="1"/>
    <col min="88" max="88" width="10" style="432" bestFit="1" customWidth="1"/>
    <col min="89" max="89" width="10.1796875" style="432" customWidth="1"/>
    <col min="90" max="90" width="9.08984375" style="432"/>
    <col min="91" max="91" width="9.6328125" style="432" bestFit="1" customWidth="1"/>
    <col min="92" max="92" width="9.08984375" style="432"/>
    <col min="93" max="93" width="17.6328125" style="432" hidden="1" customWidth="1"/>
    <col min="94" max="94" width="42.08984375" style="432" customWidth="1"/>
    <col min="95" max="16384" width="9.08984375" style="432"/>
  </cols>
  <sheetData>
    <row r="1" spans="1:94" ht="20.25" customHeight="1" thickBot="1">
      <c r="A1" s="428" t="s">
        <v>459</v>
      </c>
      <c r="B1" s="429"/>
      <c r="C1" s="429"/>
      <c r="D1" s="429"/>
      <c r="E1" s="429"/>
      <c r="F1" s="429"/>
      <c r="G1" s="429"/>
      <c r="H1" s="429"/>
      <c r="I1" s="429"/>
      <c r="J1" s="429"/>
      <c r="K1" s="429"/>
      <c r="L1" s="430"/>
      <c r="M1" s="430"/>
      <c r="N1" s="431"/>
      <c r="O1" s="431"/>
      <c r="P1" s="431"/>
      <c r="Q1" s="431"/>
      <c r="R1" s="431"/>
      <c r="BB1" s="547"/>
    </row>
    <row r="2" spans="1:94" ht="22.5" customHeight="1" thickBot="1">
      <c r="A2" s="533"/>
      <c r="B2" s="703" t="s">
        <v>1</v>
      </c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5"/>
      <c r="N2" s="706">
        <v>2015</v>
      </c>
      <c r="O2" s="706"/>
      <c r="P2" s="706"/>
      <c r="Q2" s="706"/>
      <c r="R2" s="707"/>
      <c r="S2" s="708" t="s">
        <v>1</v>
      </c>
      <c r="T2" s="709"/>
      <c r="U2" s="709"/>
      <c r="V2" s="709"/>
      <c r="W2" s="709"/>
      <c r="X2" s="709"/>
      <c r="Y2" s="709"/>
      <c r="Z2" s="709"/>
      <c r="AA2" s="709"/>
      <c r="AB2" s="709"/>
      <c r="AC2" s="709"/>
      <c r="AD2" s="710"/>
      <c r="AE2" s="711">
        <v>2016</v>
      </c>
      <c r="AF2" s="712"/>
      <c r="AG2" s="712"/>
      <c r="AH2" s="712"/>
      <c r="AI2" s="712"/>
      <c r="AJ2" s="713" t="s">
        <v>1</v>
      </c>
      <c r="AK2" s="714"/>
      <c r="AL2" s="714"/>
      <c r="AM2" s="714"/>
      <c r="AN2" s="714"/>
      <c r="AO2" s="714"/>
      <c r="AP2" s="714"/>
      <c r="AQ2" s="714"/>
      <c r="AR2" s="714"/>
      <c r="AS2" s="714"/>
      <c r="AT2" s="714"/>
      <c r="AU2" s="715"/>
      <c r="AV2" s="701" t="s">
        <v>250</v>
      </c>
      <c r="AW2" s="702"/>
      <c r="AX2" s="702"/>
      <c r="AY2" s="702"/>
      <c r="AZ2" s="702"/>
      <c r="BA2" s="702"/>
      <c r="BB2" s="702"/>
      <c r="BC2" s="702"/>
      <c r="BD2" s="702"/>
      <c r="BE2" s="702"/>
      <c r="BF2" s="702"/>
      <c r="BG2" s="702"/>
      <c r="BH2" s="721" t="s">
        <v>252</v>
      </c>
      <c r="BI2" s="722"/>
      <c r="BJ2" s="722"/>
      <c r="BK2" s="722"/>
      <c r="BL2" s="722"/>
      <c r="BM2" s="722"/>
      <c r="BN2" s="722"/>
      <c r="BO2" s="722"/>
      <c r="BP2" s="722"/>
      <c r="BQ2" s="722"/>
      <c r="BR2" s="722"/>
      <c r="BS2" s="723"/>
      <c r="BT2" s="716">
        <v>2020</v>
      </c>
      <c r="BU2" s="717"/>
      <c r="BV2" s="717"/>
      <c r="BW2" s="717"/>
      <c r="BX2" s="717"/>
      <c r="BY2" s="717"/>
      <c r="BZ2" s="717"/>
      <c r="CA2" s="717"/>
      <c r="CB2" s="717"/>
      <c r="CC2" s="717"/>
      <c r="CD2" s="717"/>
      <c r="CE2" s="717"/>
      <c r="CF2" s="736">
        <v>2021</v>
      </c>
      <c r="CG2" s="736"/>
      <c r="CH2" s="736"/>
      <c r="CI2" s="736"/>
      <c r="CJ2" s="736"/>
      <c r="CK2" s="736"/>
      <c r="CL2" s="736"/>
      <c r="CM2" s="736"/>
      <c r="CP2" s="432" t="s">
        <v>469</v>
      </c>
    </row>
    <row r="3" spans="1:94" ht="22.5" customHeight="1" thickBot="1">
      <c r="A3" s="577" t="s">
        <v>243</v>
      </c>
      <c r="B3" s="433">
        <v>42005</v>
      </c>
      <c r="C3" s="434">
        <v>42036</v>
      </c>
      <c r="D3" s="434">
        <v>42064</v>
      </c>
      <c r="E3" s="434">
        <v>42095</v>
      </c>
      <c r="F3" s="434">
        <v>42125</v>
      </c>
      <c r="G3" s="434">
        <v>42156</v>
      </c>
      <c r="H3" s="434">
        <v>42186</v>
      </c>
      <c r="I3" s="434">
        <v>42217</v>
      </c>
      <c r="J3" s="434">
        <v>42248</v>
      </c>
      <c r="K3" s="435">
        <v>42278</v>
      </c>
      <c r="L3" s="435">
        <v>42309</v>
      </c>
      <c r="M3" s="436">
        <v>42339</v>
      </c>
      <c r="N3" s="437" t="s">
        <v>55</v>
      </c>
      <c r="O3" s="434" t="s">
        <v>233</v>
      </c>
      <c r="P3" s="438" t="s">
        <v>234</v>
      </c>
      <c r="Q3" s="434" t="s">
        <v>235</v>
      </c>
      <c r="R3" s="439">
        <v>2015</v>
      </c>
      <c r="S3" s="440">
        <v>42370</v>
      </c>
      <c r="T3" s="441">
        <v>42401</v>
      </c>
      <c r="U3" s="441">
        <v>42430</v>
      </c>
      <c r="V3" s="441">
        <v>42461</v>
      </c>
      <c r="W3" s="441">
        <v>42491</v>
      </c>
      <c r="X3" s="441">
        <v>42522</v>
      </c>
      <c r="Y3" s="441">
        <v>42552</v>
      </c>
      <c r="Z3" s="441">
        <v>42583</v>
      </c>
      <c r="AA3" s="441">
        <v>42614</v>
      </c>
      <c r="AB3" s="514">
        <v>42644</v>
      </c>
      <c r="AC3" s="522">
        <v>42675</v>
      </c>
      <c r="AD3" s="517">
        <v>42705</v>
      </c>
      <c r="AE3" s="442" t="s">
        <v>79</v>
      </c>
      <c r="AF3" s="443" t="s">
        <v>80</v>
      </c>
      <c r="AG3" s="443" t="s">
        <v>81</v>
      </c>
      <c r="AH3" s="443" t="s">
        <v>82</v>
      </c>
      <c r="AI3" s="529">
        <v>2016</v>
      </c>
      <c r="AJ3" s="568">
        <v>42736</v>
      </c>
      <c r="AK3" s="526">
        <v>42767</v>
      </c>
      <c r="AL3" s="526">
        <v>42795</v>
      </c>
      <c r="AM3" s="526">
        <v>42826</v>
      </c>
      <c r="AN3" s="526">
        <v>42856</v>
      </c>
      <c r="AO3" s="526">
        <v>42887</v>
      </c>
      <c r="AP3" s="526">
        <v>42917</v>
      </c>
      <c r="AQ3" s="526">
        <v>42948</v>
      </c>
      <c r="AR3" s="526">
        <v>42979</v>
      </c>
      <c r="AS3" s="526">
        <v>43009</v>
      </c>
      <c r="AT3" s="526">
        <v>43040</v>
      </c>
      <c r="AU3" s="590">
        <v>43070</v>
      </c>
      <c r="AV3" s="564">
        <v>43101</v>
      </c>
      <c r="AW3" s="527">
        <v>43132</v>
      </c>
      <c r="AX3" s="527">
        <v>43160</v>
      </c>
      <c r="AY3" s="527">
        <v>43191</v>
      </c>
      <c r="AZ3" s="527">
        <v>43221</v>
      </c>
      <c r="BA3" s="527">
        <v>43252</v>
      </c>
      <c r="BB3" s="528">
        <v>43283</v>
      </c>
      <c r="BC3" s="528">
        <v>43315</v>
      </c>
      <c r="BD3" s="528">
        <v>43347</v>
      </c>
      <c r="BE3" s="528">
        <v>43378</v>
      </c>
      <c r="BF3" s="528">
        <v>43410</v>
      </c>
      <c r="BG3" s="528">
        <v>43441</v>
      </c>
      <c r="BH3" s="625">
        <v>43466</v>
      </c>
      <c r="BI3" s="625">
        <v>43497</v>
      </c>
      <c r="BJ3" s="622">
        <v>43525</v>
      </c>
      <c r="BK3" s="622">
        <v>43556</v>
      </c>
      <c r="BL3" s="622">
        <v>43586</v>
      </c>
      <c r="BM3" s="622">
        <v>43617</v>
      </c>
      <c r="BN3" s="623">
        <v>43648</v>
      </c>
      <c r="BO3" s="623">
        <v>43680</v>
      </c>
      <c r="BP3" s="623">
        <v>43712</v>
      </c>
      <c r="BQ3" s="623">
        <v>43743</v>
      </c>
      <c r="BR3" s="623">
        <v>43775</v>
      </c>
      <c r="BS3" s="623">
        <v>43806</v>
      </c>
      <c r="BT3" s="623">
        <v>43831</v>
      </c>
      <c r="BU3" s="623">
        <v>43862</v>
      </c>
      <c r="BV3" s="623">
        <v>43892</v>
      </c>
      <c r="BW3" s="623">
        <v>43923</v>
      </c>
      <c r="BX3" s="623">
        <v>43952</v>
      </c>
      <c r="BY3" s="623">
        <v>43983</v>
      </c>
      <c r="BZ3" s="623">
        <v>44013</v>
      </c>
      <c r="CA3" s="623">
        <v>44044</v>
      </c>
      <c r="CB3" s="623">
        <v>44075</v>
      </c>
      <c r="CC3" s="623">
        <v>44105</v>
      </c>
      <c r="CD3" s="623">
        <v>44136</v>
      </c>
      <c r="CE3" s="623">
        <v>44166</v>
      </c>
      <c r="CF3" s="623">
        <v>44197</v>
      </c>
      <c r="CG3" s="623">
        <v>44228</v>
      </c>
      <c r="CH3" s="623">
        <v>44256</v>
      </c>
      <c r="CI3" s="623">
        <v>44288</v>
      </c>
      <c r="CJ3" s="623">
        <v>44317</v>
      </c>
      <c r="CK3" s="623">
        <v>44348</v>
      </c>
      <c r="CL3" s="623">
        <v>44378</v>
      </c>
      <c r="CM3" s="623">
        <v>44409</v>
      </c>
    </row>
    <row r="4" spans="1:94" ht="22.5" customHeight="1">
      <c r="A4" s="534" t="s">
        <v>244</v>
      </c>
      <c r="B4" s="575">
        <v>45.574285714285715</v>
      </c>
      <c r="C4" s="445">
        <v>55.847249999999995</v>
      </c>
      <c r="D4" s="445">
        <v>54.657727272727271</v>
      </c>
      <c r="E4" s="445">
        <v>58.549523809523819</v>
      </c>
      <c r="F4" s="445">
        <v>63.556999999999995</v>
      </c>
      <c r="G4" s="445">
        <v>61.788095238095245</v>
      </c>
      <c r="H4" s="445">
        <v>56.154130434782623</v>
      </c>
      <c r="I4" s="445">
        <v>47.872619047619047</v>
      </c>
      <c r="J4" s="445">
        <v>45.37909090909092</v>
      </c>
      <c r="K4" s="446">
        <v>45.838636363636354</v>
      </c>
      <c r="L4" s="446">
        <v>41.794047619047618</v>
      </c>
      <c r="M4" s="447">
        <v>34.515217391304354</v>
      </c>
      <c r="N4" s="444">
        <f>AVERAGE(B4:D4)</f>
        <v>52.026420995670996</v>
      </c>
      <c r="O4" s="445">
        <f>AVERAGE(E4:G4)</f>
        <v>61.29820634920636</v>
      </c>
      <c r="P4" s="445">
        <f>AVERAGE(H4:J4)</f>
        <v>49.801946797164192</v>
      </c>
      <c r="Q4" s="445">
        <f>AVERAGE(K4:M4)</f>
        <v>40.715967124662775</v>
      </c>
      <c r="R4" s="447">
        <f>AVERAGE(B4:M4)</f>
        <v>50.960635316676083</v>
      </c>
      <c r="S4" s="448">
        <v>26.809500000000003</v>
      </c>
      <c r="T4" s="449">
        <v>29.4</v>
      </c>
      <c r="U4" s="449">
        <v>35.1</v>
      </c>
      <c r="V4" s="449">
        <v>39.028095238095247</v>
      </c>
      <c r="W4" s="449">
        <v>44.267727272727271</v>
      </c>
      <c r="X4" s="449">
        <v>46.370526315789469</v>
      </c>
      <c r="Y4" s="449">
        <v>42.46</v>
      </c>
      <c r="Z4" s="449">
        <v>43.702272727272721</v>
      </c>
      <c r="AA4" s="449">
        <v>43.329523809523813</v>
      </c>
      <c r="AB4" s="515">
        <v>48.984523809523807</v>
      </c>
      <c r="AC4" s="523">
        <v>43.864545454545457</v>
      </c>
      <c r="AD4" s="519">
        <v>52.097619047619055</v>
      </c>
      <c r="AE4" s="450">
        <f t="shared" ref="AE4:AE7" si="0">AVERAGE(S4:U4)</f>
        <v>30.436500000000006</v>
      </c>
      <c r="AF4" s="451">
        <f t="shared" ref="AF4:AF7" si="1">AVERAGE(V4:X4)</f>
        <v>43.222116275537331</v>
      </c>
      <c r="AG4" s="451">
        <f>AVERAGE(Y4:AA4)</f>
        <v>43.163932178932178</v>
      </c>
      <c r="AH4" s="451">
        <f>AVERAGE(AB4:AD4)</f>
        <v>48.315562770562771</v>
      </c>
      <c r="AI4" s="530">
        <f t="shared" ref="AI4:AI7" si="2">AVERAGE(S4:AD4)</f>
        <v>41.284527806258076</v>
      </c>
      <c r="AJ4" s="586">
        <v>53.72</v>
      </c>
      <c r="AK4" s="532">
        <v>54.44</v>
      </c>
      <c r="AL4" s="532">
        <v>51.2</v>
      </c>
      <c r="AM4" s="532">
        <v>52.29</v>
      </c>
      <c r="AN4" s="532">
        <v>50.54</v>
      </c>
      <c r="AO4" s="532">
        <v>46.47</v>
      </c>
      <c r="AP4" s="532">
        <v>47.57</v>
      </c>
      <c r="AQ4" s="532">
        <v>50.22</v>
      </c>
      <c r="AR4" s="532">
        <v>53.668499999999995</v>
      </c>
      <c r="AS4" s="532">
        <v>55.55</v>
      </c>
      <c r="AT4" s="532">
        <v>60.82</v>
      </c>
      <c r="AU4" s="563">
        <v>61.6</v>
      </c>
      <c r="AV4" s="586">
        <v>66.19</v>
      </c>
      <c r="AW4" s="532">
        <v>62.72</v>
      </c>
      <c r="AX4" s="532">
        <v>62.74</v>
      </c>
      <c r="AY4" s="532">
        <v>68.27</v>
      </c>
      <c r="AZ4" s="532">
        <v>74.41</v>
      </c>
      <c r="BA4" s="532">
        <v>73.59</v>
      </c>
      <c r="BB4" s="532">
        <v>73.12</v>
      </c>
      <c r="BC4" s="532">
        <v>72.489999999999995</v>
      </c>
      <c r="BD4" s="532">
        <v>75</v>
      </c>
      <c r="BE4" s="532">
        <v>79.39</v>
      </c>
      <c r="BF4" s="532">
        <v>65.56</v>
      </c>
      <c r="BG4" s="637">
        <v>57.3</v>
      </c>
      <c r="BH4" s="640">
        <v>59.08</v>
      </c>
      <c r="BI4" s="640">
        <v>64.569999999999993</v>
      </c>
      <c r="BJ4" s="640">
        <v>66.930000000000007</v>
      </c>
      <c r="BK4" s="640">
        <v>70.95</v>
      </c>
      <c r="BL4" s="640">
        <v>69.38</v>
      </c>
      <c r="BM4" s="640">
        <v>61.76</v>
      </c>
      <c r="BN4" s="640">
        <v>63.25</v>
      </c>
      <c r="BO4" s="640">
        <v>59.11</v>
      </c>
      <c r="BP4" s="640">
        <v>61.12</v>
      </c>
      <c r="BQ4" s="640">
        <v>59.37</v>
      </c>
      <c r="BR4" s="640">
        <v>61.8</v>
      </c>
      <c r="BS4" s="652">
        <v>64</v>
      </c>
      <c r="BT4" s="640">
        <v>64.290000000000006</v>
      </c>
      <c r="BU4" s="655">
        <v>54.22</v>
      </c>
      <c r="BV4" s="655">
        <v>33.700000000000003</v>
      </c>
      <c r="BW4" s="655">
        <v>20.39</v>
      </c>
      <c r="BX4" s="655">
        <v>30.47</v>
      </c>
      <c r="BY4" s="655">
        <v>40.79</v>
      </c>
      <c r="BZ4" s="655">
        <v>43</v>
      </c>
      <c r="CA4" s="655">
        <v>43.987250000000003</v>
      </c>
      <c r="CB4" s="655">
        <v>41.49522727272727</v>
      </c>
      <c r="CC4" s="655">
        <v>40.661136363636366</v>
      </c>
      <c r="CD4" s="655">
        <v>43.39</v>
      </c>
      <c r="CE4" s="655">
        <v>49.7</v>
      </c>
      <c r="CF4" s="655">
        <v>54.77</v>
      </c>
      <c r="CG4" s="655">
        <v>60.854999999999997</v>
      </c>
      <c r="CH4" s="655">
        <v>64.41</v>
      </c>
      <c r="CI4" s="655">
        <v>62.89</v>
      </c>
      <c r="CJ4" s="664">
        <v>65.3</v>
      </c>
      <c r="CK4" s="664">
        <v>65.3</v>
      </c>
      <c r="CL4" s="664">
        <v>65.5</v>
      </c>
      <c r="CM4" s="664">
        <v>65.3</v>
      </c>
    </row>
    <row r="5" spans="1:94" ht="22.5" customHeight="1">
      <c r="A5" s="578" t="s">
        <v>245</v>
      </c>
      <c r="B5" s="576">
        <v>45.234285714285711</v>
      </c>
      <c r="C5" s="461">
        <v>57.652500000000011</v>
      </c>
      <c r="D5" s="461">
        <v>57.384545454545453</v>
      </c>
      <c r="E5" s="461">
        <v>59.560952380952379</v>
      </c>
      <c r="F5" s="461">
        <v>62.038000000000011</v>
      </c>
      <c r="G5" s="461">
        <v>60.888571428571431</v>
      </c>
      <c r="H5" s="461">
        <v>53.11</v>
      </c>
      <c r="I5" s="461">
        <v>45.976190476190474</v>
      </c>
      <c r="J5" s="461">
        <v>46.822727272727271</v>
      </c>
      <c r="K5" s="462">
        <v>48.924545454545459</v>
      </c>
      <c r="L5" s="462">
        <v>48.988095238095241</v>
      </c>
      <c r="M5" s="548">
        <v>45.648260869565213</v>
      </c>
      <c r="N5" s="460">
        <f t="shared" ref="N5:N7" si="3">AVERAGE(B5:D5)</f>
        <v>53.423777056277061</v>
      </c>
      <c r="O5" s="461">
        <f t="shared" ref="O5:O7" si="4">AVERAGE(E5:G5)</f>
        <v>60.829174603174607</v>
      </c>
      <c r="P5" s="461">
        <f t="shared" ref="P5:P7" si="5">AVERAGE(H5:J5)</f>
        <v>48.636305916305908</v>
      </c>
      <c r="Q5" s="461">
        <f t="shared" ref="Q5:Q7" si="6">AVERAGE(K5:M5)</f>
        <v>47.85363385406864</v>
      </c>
      <c r="R5" s="548">
        <f t="shared" ref="R5" si="7">AVERAGE(B5:M5)</f>
        <v>52.685722857456547</v>
      </c>
      <c r="S5" s="549">
        <v>36.601499999999994</v>
      </c>
      <c r="T5" s="550">
        <v>33.940952380952382</v>
      </c>
      <c r="U5" s="550">
        <v>39</v>
      </c>
      <c r="V5" s="550">
        <v>42.356666666666662</v>
      </c>
      <c r="W5" s="550">
        <v>44.047142857142859</v>
      </c>
      <c r="X5" s="550">
        <v>45.6</v>
      </c>
      <c r="Y5" s="550">
        <v>41.63</v>
      </c>
      <c r="Z5" s="550">
        <v>39.857727272727274</v>
      </c>
      <c r="AA5" s="550">
        <v>42.395238095238085</v>
      </c>
      <c r="AB5" s="551">
        <v>47.552857142857142</v>
      </c>
      <c r="AC5" s="552">
        <v>46.686363636363645</v>
      </c>
      <c r="AD5" s="553">
        <v>51.287142857142854</v>
      </c>
      <c r="AE5" s="554">
        <f t="shared" si="0"/>
        <v>36.514150793650792</v>
      </c>
      <c r="AF5" s="555">
        <f t="shared" si="1"/>
        <v>44.001269841269838</v>
      </c>
      <c r="AG5" s="555">
        <f t="shared" ref="AG5:AG7" si="8">AVERAGE(Y5:AA5)</f>
        <v>41.294321789321792</v>
      </c>
      <c r="AH5" s="555">
        <f t="shared" ref="AH5:AH7" si="9">AVERAGE(AB5:AD5)</f>
        <v>48.508787878787878</v>
      </c>
      <c r="AI5" s="569">
        <f t="shared" si="2"/>
        <v>42.579632575757572</v>
      </c>
      <c r="AJ5" s="580">
        <v>55.52</v>
      </c>
      <c r="AK5" s="557">
        <v>56.49</v>
      </c>
      <c r="AL5" s="557">
        <v>50.66</v>
      </c>
      <c r="AM5" s="557">
        <v>52.15</v>
      </c>
      <c r="AN5" s="557">
        <v>48.56</v>
      </c>
      <c r="AO5" s="557">
        <v>44.79</v>
      </c>
      <c r="AP5" s="557">
        <v>45.69</v>
      </c>
      <c r="AQ5" s="557">
        <v>50.32</v>
      </c>
      <c r="AR5" s="557">
        <v>54.911500000000004</v>
      </c>
      <c r="AS5" s="557">
        <v>57.58</v>
      </c>
      <c r="AT5" s="557">
        <v>64.64</v>
      </c>
      <c r="AU5" s="558">
        <v>65.012500000000017</v>
      </c>
      <c r="AV5" s="580">
        <v>66.13</v>
      </c>
      <c r="AW5" s="557">
        <v>61.23</v>
      </c>
      <c r="AX5" s="557">
        <v>62.9</v>
      </c>
      <c r="AY5" s="532">
        <v>66.87</v>
      </c>
      <c r="AZ5" s="532">
        <v>74.52</v>
      </c>
      <c r="BA5" s="557">
        <v>70.66</v>
      </c>
      <c r="BB5" s="532">
        <v>72.09</v>
      </c>
      <c r="BC5" s="532">
        <v>71.58</v>
      </c>
      <c r="BD5" s="532">
        <v>73</v>
      </c>
      <c r="BE5" s="532">
        <v>74.69</v>
      </c>
      <c r="BF5" s="532">
        <v>56.76</v>
      </c>
      <c r="BG5" s="629">
        <v>53</v>
      </c>
      <c r="BH5" s="556">
        <v>51.66</v>
      </c>
      <c r="BI5" s="640">
        <v>56.39</v>
      </c>
      <c r="BJ5" s="640">
        <v>60.03</v>
      </c>
      <c r="BK5" s="640">
        <v>63.22</v>
      </c>
      <c r="BL5" s="640">
        <v>59.95</v>
      </c>
      <c r="BM5" s="640">
        <v>51.65</v>
      </c>
      <c r="BN5" s="640">
        <v>55.55</v>
      </c>
      <c r="BO5" s="640">
        <v>50.55</v>
      </c>
      <c r="BP5" s="640">
        <v>54.03</v>
      </c>
      <c r="BQ5" s="640">
        <v>56.82</v>
      </c>
      <c r="BR5" s="640">
        <v>59</v>
      </c>
      <c r="BS5" s="653">
        <v>64.3</v>
      </c>
      <c r="BT5" s="640">
        <v>60.88</v>
      </c>
      <c r="BU5" s="655">
        <v>52.3</v>
      </c>
      <c r="BV5" s="655">
        <v>31.829090909090908</v>
      </c>
      <c r="BW5" s="655">
        <v>18.55</v>
      </c>
      <c r="BX5" s="655">
        <v>26.3</v>
      </c>
      <c r="BY5" s="655">
        <v>38.97</v>
      </c>
      <c r="BZ5" s="655">
        <v>41.75</v>
      </c>
      <c r="CA5" s="655">
        <v>42.899999999999991</v>
      </c>
      <c r="CB5" s="655">
        <v>42.988181818181815</v>
      </c>
      <c r="CC5" s="655">
        <v>41.730000000000004</v>
      </c>
      <c r="CD5" s="655">
        <v>40.549999999999997</v>
      </c>
      <c r="CE5" s="655">
        <v>47.59</v>
      </c>
      <c r="CF5" s="655">
        <v>55.58</v>
      </c>
      <c r="CG5" s="655">
        <v>61.602600000000002</v>
      </c>
      <c r="CH5" s="655">
        <v>64.760000000000005</v>
      </c>
      <c r="CI5" s="655">
        <v>62.15</v>
      </c>
      <c r="CJ5" s="664">
        <v>64.599999999999994</v>
      </c>
      <c r="CK5" s="664">
        <v>64.400000000000006</v>
      </c>
      <c r="CL5" s="664">
        <v>64.400000000000006</v>
      </c>
      <c r="CM5" s="664">
        <v>64.3</v>
      </c>
    </row>
    <row r="6" spans="1:94" ht="22.5" customHeight="1" thickBot="1">
      <c r="A6" s="578" t="s">
        <v>246</v>
      </c>
      <c r="B6" s="576"/>
      <c r="C6" s="461"/>
      <c r="D6" s="461"/>
      <c r="E6" s="461"/>
      <c r="F6" s="461"/>
      <c r="G6" s="461"/>
      <c r="H6" s="461"/>
      <c r="I6" s="461"/>
      <c r="J6" s="461"/>
      <c r="K6" s="462"/>
      <c r="L6" s="462"/>
      <c r="M6" s="548"/>
      <c r="N6" s="460"/>
      <c r="O6" s="461"/>
      <c r="P6" s="461"/>
      <c r="Q6" s="461"/>
      <c r="R6" s="548"/>
      <c r="S6" s="549"/>
      <c r="T6" s="550"/>
      <c r="U6" s="550"/>
      <c r="V6" s="550"/>
      <c r="W6" s="550"/>
      <c r="X6" s="550"/>
      <c r="Y6" s="550"/>
      <c r="Z6" s="550"/>
      <c r="AA6" s="550"/>
      <c r="AB6" s="551"/>
      <c r="AC6" s="552"/>
      <c r="AD6" s="553"/>
      <c r="AE6" s="554"/>
      <c r="AF6" s="555"/>
      <c r="AG6" s="555"/>
      <c r="AH6" s="555"/>
      <c r="AI6" s="569"/>
      <c r="AJ6" s="584"/>
      <c r="AK6" s="585"/>
      <c r="AL6" s="585"/>
      <c r="AM6" s="585"/>
      <c r="AN6" s="585"/>
      <c r="AO6" s="585"/>
      <c r="AP6" s="585"/>
      <c r="AQ6" s="585"/>
      <c r="AR6" s="585"/>
      <c r="AS6" s="585"/>
      <c r="AT6" s="585"/>
      <c r="AU6" s="587"/>
      <c r="AV6" s="580">
        <v>603</v>
      </c>
      <c r="AW6" s="557">
        <f t="shared" ref="AW6:BP6" si="10">(AW5*9)+15</f>
        <v>566.06999999999994</v>
      </c>
      <c r="AX6" s="557">
        <f t="shared" si="10"/>
        <v>581.1</v>
      </c>
      <c r="AY6" s="532">
        <f t="shared" si="10"/>
        <v>616.83000000000004</v>
      </c>
      <c r="AZ6" s="532">
        <f t="shared" si="10"/>
        <v>685.68</v>
      </c>
      <c r="BA6" s="532">
        <f t="shared" si="10"/>
        <v>650.93999999999994</v>
      </c>
      <c r="BB6" s="532">
        <f t="shared" si="10"/>
        <v>663.81000000000006</v>
      </c>
      <c r="BC6" s="532">
        <f t="shared" si="10"/>
        <v>659.22</v>
      </c>
      <c r="BD6" s="532">
        <f t="shared" si="10"/>
        <v>672</v>
      </c>
      <c r="BE6" s="532">
        <f t="shared" si="10"/>
        <v>687.21</v>
      </c>
      <c r="BF6" s="532">
        <f t="shared" si="10"/>
        <v>525.83999999999992</v>
      </c>
      <c r="BG6" s="559">
        <f t="shared" si="10"/>
        <v>492</v>
      </c>
      <c r="BH6" s="556">
        <f t="shared" si="10"/>
        <v>479.93999999999994</v>
      </c>
      <c r="BI6" s="640">
        <f t="shared" si="10"/>
        <v>522.51</v>
      </c>
      <c r="BJ6" s="640">
        <f t="shared" si="10"/>
        <v>555.27</v>
      </c>
      <c r="BK6" s="640">
        <f t="shared" si="10"/>
        <v>583.98</v>
      </c>
      <c r="BL6" s="640">
        <f t="shared" si="10"/>
        <v>554.55000000000007</v>
      </c>
      <c r="BM6" s="640">
        <f t="shared" si="10"/>
        <v>479.84999999999997</v>
      </c>
      <c r="BN6" s="640">
        <f t="shared" si="10"/>
        <v>514.95000000000005</v>
      </c>
      <c r="BO6" s="640">
        <f>(BO5*9)+15</f>
        <v>469.95</v>
      </c>
      <c r="BP6" s="640">
        <f t="shared" si="10"/>
        <v>501.27</v>
      </c>
      <c r="BQ6" s="640">
        <v>523.38</v>
      </c>
      <c r="BR6" s="640">
        <v>491.3972222222223</v>
      </c>
      <c r="BS6" s="653">
        <f>(BS5*9)+12</f>
        <v>590.69999999999993</v>
      </c>
      <c r="BT6" s="655">
        <f t="shared" ref="BT6:BU6" si="11">(BT5*9)+12</f>
        <v>559.92000000000007</v>
      </c>
      <c r="BU6" s="640">
        <f t="shared" si="11"/>
        <v>482.7</v>
      </c>
      <c r="BV6" s="640">
        <v>298.46181818181816</v>
      </c>
      <c r="BW6" s="640">
        <v>178.95000000000002</v>
      </c>
      <c r="BX6" s="640">
        <v>248.70000000000002</v>
      </c>
      <c r="BY6" s="640">
        <v>362.73</v>
      </c>
      <c r="BZ6" s="640">
        <v>401.25</v>
      </c>
      <c r="CA6" s="640">
        <v>398.09999999999991</v>
      </c>
      <c r="CB6" s="640">
        <v>398.89363636363635</v>
      </c>
      <c r="CC6" s="640">
        <v>387.57000000000005</v>
      </c>
      <c r="CD6" s="655">
        <v>376.95</v>
      </c>
      <c r="CE6" s="655">
        <v>440.31000000000006</v>
      </c>
      <c r="CF6" s="655">
        <v>512.22</v>
      </c>
      <c r="CG6" s="655">
        <v>566.42340000000002</v>
      </c>
      <c r="CH6" s="655">
        <f t="shared" ref="CH6" si="12">(CH5*9)+12</f>
        <v>594.84</v>
      </c>
      <c r="CI6" s="655">
        <v>571.35</v>
      </c>
      <c r="CJ6" s="664">
        <v>593.4</v>
      </c>
      <c r="CK6" s="664">
        <v>591.6</v>
      </c>
      <c r="CL6" s="664">
        <v>591.6</v>
      </c>
      <c r="CM6" s="664">
        <v>590.69999999999993</v>
      </c>
    </row>
    <row r="7" spans="1:94" ht="22.5" customHeight="1">
      <c r="A7" s="598" t="s">
        <v>241</v>
      </c>
      <c r="B7" s="600">
        <v>440</v>
      </c>
      <c r="C7" s="601">
        <v>462</v>
      </c>
      <c r="D7" s="601">
        <v>484</v>
      </c>
      <c r="E7" s="601">
        <v>464</v>
      </c>
      <c r="F7" s="601">
        <v>469</v>
      </c>
      <c r="G7" s="601">
        <v>419</v>
      </c>
      <c r="H7" s="601">
        <v>407</v>
      </c>
      <c r="I7" s="601">
        <v>379</v>
      </c>
      <c r="J7" s="601">
        <v>327</v>
      </c>
      <c r="K7" s="602">
        <v>362</v>
      </c>
      <c r="L7" s="603">
        <v>411</v>
      </c>
      <c r="M7" s="604">
        <v>466</v>
      </c>
      <c r="N7" s="605">
        <f t="shared" si="3"/>
        <v>462</v>
      </c>
      <c r="O7" s="601">
        <f t="shared" si="4"/>
        <v>450.66666666666669</v>
      </c>
      <c r="P7" s="601">
        <f t="shared" si="5"/>
        <v>371</v>
      </c>
      <c r="Q7" s="601">
        <f t="shared" si="6"/>
        <v>413</v>
      </c>
      <c r="R7" s="604">
        <f>AVERAGE(B7:M7)</f>
        <v>424.16666666666669</v>
      </c>
      <c r="S7" s="606">
        <v>363</v>
      </c>
      <c r="T7" s="607">
        <v>297</v>
      </c>
      <c r="U7" s="607">
        <v>302</v>
      </c>
      <c r="V7" s="607">
        <v>332</v>
      </c>
      <c r="W7" s="607">
        <v>347</v>
      </c>
      <c r="X7" s="607">
        <v>344</v>
      </c>
      <c r="Y7" s="607">
        <v>301</v>
      </c>
      <c r="Z7" s="607">
        <v>287</v>
      </c>
      <c r="AA7" s="607">
        <v>305</v>
      </c>
      <c r="AB7" s="608">
        <v>352</v>
      </c>
      <c r="AC7" s="609">
        <v>410</v>
      </c>
      <c r="AD7" s="610">
        <v>396</v>
      </c>
      <c r="AE7" s="611">
        <f t="shared" si="0"/>
        <v>320.66666666666669</v>
      </c>
      <c r="AF7" s="612">
        <f t="shared" si="1"/>
        <v>341</v>
      </c>
      <c r="AG7" s="612">
        <f t="shared" si="8"/>
        <v>297.66666666666669</v>
      </c>
      <c r="AH7" s="612">
        <f t="shared" si="9"/>
        <v>386</v>
      </c>
      <c r="AI7" s="613">
        <f t="shared" si="2"/>
        <v>336.33333333333331</v>
      </c>
      <c r="AJ7" s="614">
        <f>(AJ8+AJ9)/2</f>
        <v>465</v>
      </c>
      <c r="AK7" s="615">
        <f t="shared" ref="AK7:AU7" si="13">(AK8+AK9)/2</f>
        <v>555</v>
      </c>
      <c r="AL7" s="615">
        <f t="shared" si="13"/>
        <v>540</v>
      </c>
      <c r="AM7" s="615">
        <f t="shared" si="13"/>
        <v>460</v>
      </c>
      <c r="AN7" s="615">
        <f t="shared" si="13"/>
        <v>387.5</v>
      </c>
      <c r="AO7" s="615">
        <f t="shared" si="13"/>
        <v>387.5</v>
      </c>
      <c r="AP7" s="615">
        <f t="shared" si="13"/>
        <v>355</v>
      </c>
      <c r="AQ7" s="615">
        <f t="shared" si="13"/>
        <v>440</v>
      </c>
      <c r="AR7" s="615">
        <f t="shared" si="13"/>
        <v>490</v>
      </c>
      <c r="AS7" s="615">
        <f t="shared" si="13"/>
        <v>577.5</v>
      </c>
      <c r="AT7" s="615">
        <f t="shared" si="13"/>
        <v>577.5</v>
      </c>
      <c r="AU7" s="616">
        <f t="shared" si="13"/>
        <v>580</v>
      </c>
      <c r="AV7" s="599">
        <f>(AV8+AV9)/2</f>
        <v>580</v>
      </c>
      <c r="AW7" s="595">
        <f t="shared" ref="AW7:CL7" si="14">(AW8+AW9)/2</f>
        <v>515</v>
      </c>
      <c r="AX7" s="617">
        <f t="shared" si="14"/>
        <v>472.5</v>
      </c>
      <c r="AY7" s="617">
        <f t="shared" si="14"/>
        <v>472.5</v>
      </c>
      <c r="AZ7" s="617">
        <f t="shared" si="14"/>
        <v>502.5</v>
      </c>
      <c r="BA7" s="617">
        <f t="shared" si="14"/>
        <v>560</v>
      </c>
      <c r="BB7" s="617">
        <f t="shared" si="14"/>
        <v>562.5</v>
      </c>
      <c r="BC7" s="617">
        <f t="shared" si="14"/>
        <v>587.5</v>
      </c>
      <c r="BD7" s="617">
        <f t="shared" si="14"/>
        <v>617.5</v>
      </c>
      <c r="BE7" s="617">
        <f t="shared" si="14"/>
        <v>655</v>
      </c>
      <c r="BF7" s="617">
        <f t="shared" si="14"/>
        <v>532.5</v>
      </c>
      <c r="BG7" s="635">
        <f t="shared" si="14"/>
        <v>430</v>
      </c>
      <c r="BH7" s="628">
        <f t="shared" si="14"/>
        <v>425</v>
      </c>
      <c r="BI7" s="596">
        <f t="shared" si="14"/>
        <v>455</v>
      </c>
      <c r="BJ7" s="596">
        <f t="shared" si="14"/>
        <v>505</v>
      </c>
      <c r="BK7" s="596">
        <f t="shared" si="14"/>
        <v>525</v>
      </c>
      <c r="BL7" s="596">
        <f t="shared" si="14"/>
        <v>527.5</v>
      </c>
      <c r="BM7" s="596">
        <f t="shared" si="14"/>
        <v>422.5</v>
      </c>
      <c r="BN7" s="596">
        <f t="shared" si="14"/>
        <v>365</v>
      </c>
      <c r="BO7" s="596">
        <f t="shared" si="14"/>
        <v>365</v>
      </c>
      <c r="BP7" s="596">
        <f t="shared" si="14"/>
        <v>355</v>
      </c>
      <c r="BQ7" s="596">
        <f t="shared" si="14"/>
        <v>427.5</v>
      </c>
      <c r="BR7" s="596">
        <f t="shared" si="14"/>
        <v>437.5</v>
      </c>
      <c r="BS7" s="596">
        <f t="shared" si="14"/>
        <v>447.5</v>
      </c>
      <c r="BT7" s="595">
        <f t="shared" si="14"/>
        <v>577.5</v>
      </c>
      <c r="BU7" s="595">
        <f t="shared" si="14"/>
        <v>525</v>
      </c>
      <c r="BV7" s="595">
        <f t="shared" si="14"/>
        <v>455</v>
      </c>
      <c r="BW7" s="595">
        <f t="shared" si="14"/>
        <v>235</v>
      </c>
      <c r="BX7" s="595">
        <f t="shared" si="14"/>
        <v>340</v>
      </c>
      <c r="BY7" s="595">
        <f t="shared" si="14"/>
        <v>340</v>
      </c>
      <c r="BZ7" s="595">
        <f t="shared" si="14"/>
        <v>350</v>
      </c>
      <c r="CA7" s="595">
        <f t="shared" si="14"/>
        <v>355</v>
      </c>
      <c r="CB7" s="595">
        <f t="shared" si="14"/>
        <v>360</v>
      </c>
      <c r="CC7" s="595">
        <f t="shared" si="14"/>
        <v>377.5</v>
      </c>
      <c r="CD7" s="595">
        <f t="shared" si="14"/>
        <v>435</v>
      </c>
      <c r="CE7" s="617">
        <f t="shared" si="14"/>
        <v>455</v>
      </c>
      <c r="CF7" s="617">
        <f t="shared" si="14"/>
        <v>540</v>
      </c>
      <c r="CG7" s="617">
        <f t="shared" si="14"/>
        <v>595</v>
      </c>
      <c r="CH7" s="617">
        <f t="shared" si="14"/>
        <v>610</v>
      </c>
      <c r="CI7" s="617">
        <f t="shared" si="14"/>
        <v>545</v>
      </c>
      <c r="CJ7" s="617">
        <f t="shared" si="14"/>
        <v>485</v>
      </c>
      <c r="CK7" s="670">
        <f t="shared" si="14"/>
        <v>487.5</v>
      </c>
      <c r="CL7" s="670">
        <f t="shared" si="14"/>
        <v>487.5</v>
      </c>
      <c r="CM7" s="670">
        <f t="shared" ref="CM7" si="15">(CM8+CM9)/2</f>
        <v>495</v>
      </c>
      <c r="CP7" s="765" t="s">
        <v>466</v>
      </c>
    </row>
    <row r="8" spans="1:94" ht="22.5" customHeight="1">
      <c r="A8" s="578" t="s">
        <v>247</v>
      </c>
      <c r="B8" s="570"/>
      <c r="C8" s="570"/>
      <c r="D8" s="570"/>
      <c r="E8" s="570"/>
      <c r="F8" s="570"/>
      <c r="G8" s="570"/>
      <c r="H8" s="570"/>
      <c r="I8" s="570"/>
      <c r="J8" s="570"/>
      <c r="K8" s="571"/>
      <c r="L8" s="570"/>
      <c r="M8" s="570"/>
      <c r="N8" s="570"/>
      <c r="O8" s="570"/>
      <c r="P8" s="570"/>
      <c r="Q8" s="570"/>
      <c r="R8" s="570"/>
      <c r="S8" s="572"/>
      <c r="T8" s="572"/>
      <c r="U8" s="572"/>
      <c r="V8" s="572"/>
      <c r="W8" s="572"/>
      <c r="X8" s="572"/>
      <c r="Y8" s="572"/>
      <c r="Z8" s="572"/>
      <c r="AA8" s="572"/>
      <c r="AB8" s="573"/>
      <c r="AC8" s="572"/>
      <c r="AD8" s="572"/>
      <c r="AE8" s="574"/>
      <c r="AF8" s="574"/>
      <c r="AG8" s="574"/>
      <c r="AH8" s="574"/>
      <c r="AI8" s="574"/>
      <c r="AJ8" s="581">
        <v>435</v>
      </c>
      <c r="AK8" s="579">
        <v>510</v>
      </c>
      <c r="AL8" s="579">
        <v>480</v>
      </c>
      <c r="AM8" s="579">
        <v>430</v>
      </c>
      <c r="AN8" s="579">
        <v>385</v>
      </c>
      <c r="AO8" s="579">
        <v>385</v>
      </c>
      <c r="AP8" s="579">
        <v>345</v>
      </c>
      <c r="AQ8" s="579">
        <v>420</v>
      </c>
      <c r="AR8" s="579">
        <v>480</v>
      </c>
      <c r="AS8" s="579">
        <v>575</v>
      </c>
      <c r="AT8" s="579">
        <v>575</v>
      </c>
      <c r="AU8" s="588">
        <v>590</v>
      </c>
      <c r="AV8" s="580">
        <v>590</v>
      </c>
      <c r="AW8" s="556">
        <v>525</v>
      </c>
      <c r="AX8" s="556">
        <v>480</v>
      </c>
      <c r="AY8" s="556">
        <v>475</v>
      </c>
      <c r="AZ8" s="556">
        <v>500</v>
      </c>
      <c r="BA8" s="556">
        <v>560</v>
      </c>
      <c r="BB8" s="556">
        <v>555</v>
      </c>
      <c r="BC8" s="556">
        <v>580</v>
      </c>
      <c r="BD8" s="556">
        <v>600</v>
      </c>
      <c r="BE8" s="556">
        <v>655</v>
      </c>
      <c r="BF8" s="556">
        <v>540</v>
      </c>
      <c r="BG8" s="630">
        <v>445</v>
      </c>
      <c r="BH8" s="638">
        <v>430</v>
      </c>
      <c r="BI8" s="641">
        <v>440</v>
      </c>
      <c r="BJ8" s="641">
        <v>490</v>
      </c>
      <c r="BK8" s="641">
        <v>515</v>
      </c>
      <c r="BL8" s="641">
        <v>525</v>
      </c>
      <c r="BM8" s="641">
        <v>430</v>
      </c>
      <c r="BN8" s="641">
        <v>375</v>
      </c>
      <c r="BO8" s="641">
        <v>370</v>
      </c>
      <c r="BP8" s="641">
        <v>350</v>
      </c>
      <c r="BQ8" s="641">
        <v>420</v>
      </c>
      <c r="BR8" s="641">
        <v>430</v>
      </c>
      <c r="BS8" s="648">
        <v>440</v>
      </c>
      <c r="BT8" s="649">
        <v>565</v>
      </c>
      <c r="BU8" s="649">
        <v>505</v>
      </c>
      <c r="BV8" s="649">
        <v>430</v>
      </c>
      <c r="BW8" s="649">
        <v>230</v>
      </c>
      <c r="BX8" s="649">
        <v>340</v>
      </c>
      <c r="BY8" s="649">
        <v>350</v>
      </c>
      <c r="BZ8" s="649">
        <v>360</v>
      </c>
      <c r="CA8" s="649">
        <v>365</v>
      </c>
      <c r="CB8" s="649">
        <v>365</v>
      </c>
      <c r="CC8" s="649">
        <v>375</v>
      </c>
      <c r="CD8" s="649">
        <v>430</v>
      </c>
      <c r="CE8" s="649">
        <v>450</v>
      </c>
      <c r="CF8" s="649">
        <v>550</v>
      </c>
      <c r="CG8" s="649">
        <v>605</v>
      </c>
      <c r="CH8" s="649">
        <v>625</v>
      </c>
      <c r="CI8" s="649">
        <v>560</v>
      </c>
      <c r="CJ8" s="649">
        <v>495</v>
      </c>
      <c r="CK8" s="666">
        <v>495</v>
      </c>
      <c r="CL8" s="666">
        <v>495</v>
      </c>
      <c r="CM8" s="666">
        <v>500</v>
      </c>
      <c r="CP8" s="765" t="s">
        <v>467</v>
      </c>
    </row>
    <row r="9" spans="1:94" ht="22.5" customHeight="1" thickBot="1">
      <c r="A9" s="535" t="s">
        <v>248</v>
      </c>
      <c r="B9" s="570"/>
      <c r="C9" s="570"/>
      <c r="D9" s="570"/>
      <c r="E9" s="570"/>
      <c r="F9" s="570"/>
      <c r="G9" s="570"/>
      <c r="H9" s="570"/>
      <c r="I9" s="570"/>
      <c r="J9" s="570"/>
      <c r="K9" s="571"/>
      <c r="L9" s="570"/>
      <c r="M9" s="570"/>
      <c r="N9" s="570"/>
      <c r="O9" s="570"/>
      <c r="P9" s="570"/>
      <c r="Q9" s="570"/>
      <c r="R9" s="570"/>
      <c r="S9" s="572"/>
      <c r="T9" s="572"/>
      <c r="U9" s="572"/>
      <c r="V9" s="572"/>
      <c r="W9" s="572"/>
      <c r="X9" s="572"/>
      <c r="Y9" s="572"/>
      <c r="Z9" s="572"/>
      <c r="AA9" s="572"/>
      <c r="AB9" s="573"/>
      <c r="AC9" s="572"/>
      <c r="AD9" s="572"/>
      <c r="AE9" s="574"/>
      <c r="AF9" s="574"/>
      <c r="AG9" s="574"/>
      <c r="AH9" s="574"/>
      <c r="AI9" s="574"/>
      <c r="AJ9" s="582">
        <v>495</v>
      </c>
      <c r="AK9" s="583">
        <v>600</v>
      </c>
      <c r="AL9" s="583">
        <v>600</v>
      </c>
      <c r="AM9" s="583">
        <v>490</v>
      </c>
      <c r="AN9" s="583">
        <v>390</v>
      </c>
      <c r="AO9" s="583">
        <v>390</v>
      </c>
      <c r="AP9" s="583">
        <v>365</v>
      </c>
      <c r="AQ9" s="583">
        <v>460</v>
      </c>
      <c r="AR9" s="583">
        <v>500</v>
      </c>
      <c r="AS9" s="583">
        <v>580</v>
      </c>
      <c r="AT9" s="583">
        <v>580</v>
      </c>
      <c r="AU9" s="589">
        <v>570</v>
      </c>
      <c r="AV9" s="631">
        <v>570</v>
      </c>
      <c r="AW9" s="632">
        <v>505</v>
      </c>
      <c r="AX9" s="632">
        <v>465</v>
      </c>
      <c r="AY9" s="632">
        <v>470</v>
      </c>
      <c r="AZ9" s="632">
        <v>505</v>
      </c>
      <c r="BA9" s="632">
        <v>560</v>
      </c>
      <c r="BB9" s="632">
        <v>570</v>
      </c>
      <c r="BC9" s="632">
        <v>595</v>
      </c>
      <c r="BD9" s="632">
        <v>635</v>
      </c>
      <c r="BE9" s="632">
        <v>655</v>
      </c>
      <c r="BF9" s="632">
        <v>525</v>
      </c>
      <c r="BG9" s="633">
        <v>415</v>
      </c>
      <c r="BH9" s="639">
        <v>420</v>
      </c>
      <c r="BI9" s="642">
        <v>470</v>
      </c>
      <c r="BJ9" s="641">
        <v>520</v>
      </c>
      <c r="BK9" s="641">
        <v>535</v>
      </c>
      <c r="BL9" s="641">
        <v>530</v>
      </c>
      <c r="BM9" s="641">
        <v>415</v>
      </c>
      <c r="BN9" s="641">
        <v>355</v>
      </c>
      <c r="BO9" s="641">
        <v>360</v>
      </c>
      <c r="BP9" s="641">
        <v>360</v>
      </c>
      <c r="BQ9" s="641">
        <v>435</v>
      </c>
      <c r="BR9" s="641">
        <v>445</v>
      </c>
      <c r="BS9" s="648">
        <v>455</v>
      </c>
      <c r="BT9" s="649">
        <v>590</v>
      </c>
      <c r="BU9" s="649">
        <v>545</v>
      </c>
      <c r="BV9" s="649">
        <v>480</v>
      </c>
      <c r="BW9" s="649">
        <v>240</v>
      </c>
      <c r="BX9" s="649">
        <v>340</v>
      </c>
      <c r="BY9" s="649">
        <v>330</v>
      </c>
      <c r="BZ9" s="649">
        <v>340</v>
      </c>
      <c r="CA9" s="649">
        <v>345</v>
      </c>
      <c r="CB9" s="649">
        <v>355</v>
      </c>
      <c r="CC9" s="649">
        <v>380</v>
      </c>
      <c r="CD9" s="649">
        <v>440</v>
      </c>
      <c r="CE9" s="649">
        <v>460</v>
      </c>
      <c r="CF9" s="649">
        <v>530</v>
      </c>
      <c r="CG9" s="649">
        <v>585</v>
      </c>
      <c r="CH9" s="649">
        <v>595</v>
      </c>
      <c r="CI9" s="649">
        <v>530</v>
      </c>
      <c r="CJ9" s="649">
        <v>475</v>
      </c>
      <c r="CK9" s="666">
        <v>480</v>
      </c>
      <c r="CL9" s="666">
        <v>480</v>
      </c>
      <c r="CM9" s="666">
        <v>490</v>
      </c>
      <c r="CP9" s="765" t="s">
        <v>468</v>
      </c>
    </row>
    <row r="10" spans="1:94" ht="22.5" customHeight="1" thickBot="1">
      <c r="A10" s="593" t="s">
        <v>249</v>
      </c>
      <c r="B10" s="570"/>
      <c r="C10" s="570"/>
      <c r="D10" s="570"/>
      <c r="E10" s="570"/>
      <c r="F10" s="570"/>
      <c r="G10" s="570"/>
      <c r="H10" s="570"/>
      <c r="I10" s="570"/>
      <c r="J10" s="570"/>
      <c r="K10" s="571"/>
      <c r="L10" s="570"/>
      <c r="M10" s="570"/>
      <c r="N10" s="570"/>
      <c r="O10" s="570"/>
      <c r="P10" s="570"/>
      <c r="Q10" s="570"/>
      <c r="R10" s="570"/>
      <c r="S10" s="572"/>
      <c r="T10" s="572"/>
      <c r="U10" s="572"/>
      <c r="V10" s="572"/>
      <c r="W10" s="572"/>
      <c r="X10" s="572"/>
      <c r="Y10" s="572"/>
      <c r="Z10" s="572"/>
      <c r="AA10" s="572"/>
      <c r="AB10" s="573"/>
      <c r="AC10" s="572"/>
      <c r="AD10" s="572"/>
      <c r="AE10" s="574"/>
      <c r="AF10" s="574"/>
      <c r="AG10" s="574"/>
      <c r="AH10" s="574"/>
      <c r="AI10" s="574"/>
      <c r="AJ10" s="591"/>
      <c r="AK10" s="592"/>
      <c r="AL10" s="592"/>
      <c r="AM10" s="592"/>
      <c r="AN10" s="592"/>
      <c r="AO10" s="592"/>
      <c r="AP10" s="592"/>
      <c r="AQ10" s="592"/>
      <c r="AR10" s="592"/>
      <c r="AS10" s="592"/>
      <c r="AT10" s="592"/>
      <c r="AU10" s="594"/>
      <c r="AV10" s="597">
        <f>AV6-AV7</f>
        <v>23</v>
      </c>
      <c r="AW10" s="618">
        <f t="shared" ref="AW10:CL10" si="16">AW6-AW7</f>
        <v>51.069999999999936</v>
      </c>
      <c r="AX10" s="618">
        <f t="shared" si="16"/>
        <v>108.60000000000002</v>
      </c>
      <c r="AY10" s="618">
        <f t="shared" si="16"/>
        <v>144.33000000000004</v>
      </c>
      <c r="AZ10" s="618">
        <f>AZ6-AZ7</f>
        <v>183.17999999999995</v>
      </c>
      <c r="BA10" s="618">
        <f t="shared" si="16"/>
        <v>90.939999999999941</v>
      </c>
      <c r="BB10" s="618">
        <f t="shared" si="16"/>
        <v>101.31000000000006</v>
      </c>
      <c r="BC10" s="618">
        <f t="shared" si="16"/>
        <v>71.720000000000027</v>
      </c>
      <c r="BD10" s="618">
        <f t="shared" si="16"/>
        <v>54.5</v>
      </c>
      <c r="BE10" s="618">
        <f t="shared" si="16"/>
        <v>32.210000000000036</v>
      </c>
      <c r="BF10" s="618">
        <f t="shared" si="16"/>
        <v>-6.6600000000000819</v>
      </c>
      <c r="BG10" s="636">
        <f t="shared" si="16"/>
        <v>62</v>
      </c>
      <c r="BH10" s="634">
        <f t="shared" si="16"/>
        <v>54.939999999999941</v>
      </c>
      <c r="BI10" s="627">
        <f t="shared" si="16"/>
        <v>67.509999999999991</v>
      </c>
      <c r="BJ10" s="627">
        <f t="shared" si="16"/>
        <v>50.269999999999982</v>
      </c>
      <c r="BK10" s="627">
        <f>BK6-BK7</f>
        <v>58.980000000000018</v>
      </c>
      <c r="BL10" s="627">
        <f t="shared" si="16"/>
        <v>27.050000000000068</v>
      </c>
      <c r="BM10" s="627">
        <f t="shared" si="16"/>
        <v>57.349999999999966</v>
      </c>
      <c r="BN10" s="627">
        <f t="shared" si="16"/>
        <v>149.95000000000005</v>
      </c>
      <c r="BO10" s="627">
        <f t="shared" si="16"/>
        <v>104.94999999999999</v>
      </c>
      <c r="BP10" s="627">
        <f t="shared" si="16"/>
        <v>146.26999999999998</v>
      </c>
      <c r="BQ10" s="627">
        <f t="shared" si="16"/>
        <v>95.88</v>
      </c>
      <c r="BR10" s="627">
        <f t="shared" si="16"/>
        <v>53.897222222222297</v>
      </c>
      <c r="BS10" s="627">
        <f t="shared" si="16"/>
        <v>143.19999999999993</v>
      </c>
      <c r="BT10" s="597">
        <f t="shared" si="16"/>
        <v>-17.579999999999927</v>
      </c>
      <c r="BU10" s="597">
        <f t="shared" si="16"/>
        <v>-42.300000000000011</v>
      </c>
      <c r="BV10" s="597">
        <f t="shared" si="16"/>
        <v>-156.53818181818184</v>
      </c>
      <c r="BW10" s="597">
        <f t="shared" si="16"/>
        <v>-56.049999999999983</v>
      </c>
      <c r="BX10" s="597">
        <f t="shared" si="16"/>
        <v>-91.299999999999983</v>
      </c>
      <c r="BY10" s="597">
        <f t="shared" si="16"/>
        <v>22.730000000000018</v>
      </c>
      <c r="BZ10" s="597">
        <f t="shared" si="16"/>
        <v>51.25</v>
      </c>
      <c r="CA10" s="597">
        <f t="shared" si="16"/>
        <v>43.099999999999909</v>
      </c>
      <c r="CB10" s="597">
        <f t="shared" si="16"/>
        <v>38.893636363636347</v>
      </c>
      <c r="CC10" s="597">
        <f t="shared" si="16"/>
        <v>10.07000000000005</v>
      </c>
      <c r="CD10" s="651">
        <f t="shared" si="16"/>
        <v>-58.050000000000011</v>
      </c>
      <c r="CE10" s="651">
        <f t="shared" si="16"/>
        <v>-14.689999999999941</v>
      </c>
      <c r="CF10" s="651">
        <f t="shared" si="16"/>
        <v>-27.779999999999973</v>
      </c>
      <c r="CG10" s="651">
        <f t="shared" si="16"/>
        <v>-28.576599999999985</v>
      </c>
      <c r="CH10" s="651">
        <f t="shared" si="16"/>
        <v>-15.159999999999968</v>
      </c>
      <c r="CI10" s="651">
        <f t="shared" si="16"/>
        <v>26.350000000000023</v>
      </c>
      <c r="CJ10" s="651">
        <f t="shared" si="16"/>
        <v>108.39999999999998</v>
      </c>
      <c r="CK10" s="651">
        <f t="shared" si="16"/>
        <v>104.10000000000002</v>
      </c>
      <c r="CL10" s="651">
        <f t="shared" si="16"/>
        <v>104.10000000000002</v>
      </c>
      <c r="CM10" s="651">
        <f t="shared" ref="CM10" si="17">CM6-CM7</f>
        <v>95.699999999999932</v>
      </c>
    </row>
    <row r="11" spans="1:94" ht="22.5" customHeight="1" thickBot="1">
      <c r="A11" s="468"/>
      <c r="B11" s="469"/>
      <c r="C11" s="469"/>
      <c r="D11" s="469"/>
      <c r="E11" s="470"/>
      <c r="F11" s="470"/>
      <c r="G11" s="471"/>
      <c r="H11" s="472"/>
      <c r="I11" s="472"/>
      <c r="J11" s="473"/>
      <c r="K11" s="473"/>
      <c r="L11" s="474"/>
      <c r="M11" s="474"/>
      <c r="N11" s="463"/>
      <c r="O11" s="463"/>
      <c r="P11" s="464"/>
      <c r="Q11" s="465"/>
      <c r="R11" s="466"/>
      <c r="T11" s="467"/>
      <c r="X11" s="467"/>
      <c r="AB11" s="516"/>
      <c r="AD11" s="467"/>
    </row>
    <row r="12" spans="1:94" ht="22.5" customHeight="1" thickBot="1">
      <c r="A12" s="475" t="s">
        <v>236</v>
      </c>
      <c r="B12" s="433">
        <v>42005</v>
      </c>
      <c r="C12" s="434">
        <v>42036</v>
      </c>
      <c r="D12" s="434">
        <v>42064</v>
      </c>
      <c r="E12" s="434">
        <v>42095</v>
      </c>
      <c r="F12" s="434">
        <v>42125</v>
      </c>
      <c r="G12" s="434">
        <v>42156</v>
      </c>
      <c r="H12" s="434">
        <v>42186</v>
      </c>
      <c r="I12" s="434">
        <v>42217</v>
      </c>
      <c r="J12" s="435">
        <v>42248</v>
      </c>
      <c r="K12" s="435">
        <v>42278</v>
      </c>
      <c r="L12" s="436">
        <v>42309</v>
      </c>
      <c r="M12" s="476">
        <v>42339</v>
      </c>
      <c r="N12" s="437" t="s">
        <v>55</v>
      </c>
      <c r="O12" s="434" t="s">
        <v>233</v>
      </c>
      <c r="P12" s="438" t="s">
        <v>234</v>
      </c>
      <c r="Q12" s="477" t="s">
        <v>235</v>
      </c>
      <c r="R12" s="478">
        <v>2015</v>
      </c>
      <c r="S12" s="479">
        <v>42370</v>
      </c>
      <c r="T12" s="480">
        <v>42401</v>
      </c>
      <c r="U12" s="480">
        <v>42430</v>
      </c>
      <c r="V12" s="480">
        <v>42461</v>
      </c>
      <c r="W12" s="480">
        <v>42491</v>
      </c>
      <c r="X12" s="480">
        <v>42522</v>
      </c>
      <c r="Y12" s="481">
        <v>42552</v>
      </c>
      <c r="Z12" s="511">
        <v>42583</v>
      </c>
      <c r="AA12" s="511">
        <v>42614</v>
      </c>
      <c r="AB12" s="480">
        <v>42644</v>
      </c>
      <c r="AC12" s="481">
        <v>42675</v>
      </c>
      <c r="AD12" s="524">
        <v>42705</v>
      </c>
      <c r="AE12" s="482" t="s">
        <v>79</v>
      </c>
      <c r="AF12" s="483" t="s">
        <v>80</v>
      </c>
      <c r="AG12" s="483" t="s">
        <v>81</v>
      </c>
      <c r="AH12" s="483" t="s">
        <v>82</v>
      </c>
      <c r="AI12" s="536">
        <v>2016</v>
      </c>
      <c r="AJ12" s="568">
        <v>42736</v>
      </c>
      <c r="AK12" s="526">
        <v>42767</v>
      </c>
      <c r="AL12" s="526">
        <v>42795</v>
      </c>
      <c r="AM12" s="527">
        <v>42826</v>
      </c>
      <c r="AN12" s="527">
        <v>42856</v>
      </c>
      <c r="AO12" s="527">
        <v>42887</v>
      </c>
      <c r="AP12" s="527">
        <v>42917</v>
      </c>
      <c r="AQ12" s="527">
        <v>42948</v>
      </c>
      <c r="AR12" s="527">
        <v>42979</v>
      </c>
      <c r="AS12" s="527">
        <v>43009</v>
      </c>
      <c r="AT12" s="527">
        <v>43040</v>
      </c>
      <c r="AU12" s="528">
        <v>43070</v>
      </c>
      <c r="AV12" s="564">
        <v>43101</v>
      </c>
      <c r="AW12" s="527">
        <v>43132</v>
      </c>
      <c r="AX12" s="527">
        <v>43160</v>
      </c>
      <c r="AY12" s="527">
        <v>43191</v>
      </c>
      <c r="AZ12" s="527">
        <v>43221</v>
      </c>
      <c r="BA12" s="527">
        <v>43252</v>
      </c>
      <c r="BB12" s="528">
        <v>43283</v>
      </c>
      <c r="BC12" s="528">
        <v>43315</v>
      </c>
      <c r="BD12" s="528">
        <v>43347</v>
      </c>
      <c r="BE12" s="528">
        <v>43378</v>
      </c>
      <c r="BF12" s="528">
        <v>43410</v>
      </c>
      <c r="BG12" s="562">
        <v>43441</v>
      </c>
      <c r="BH12" s="621">
        <v>43466</v>
      </c>
      <c r="BI12" s="622">
        <v>43497</v>
      </c>
      <c r="BJ12" s="622">
        <v>43525</v>
      </c>
      <c r="BK12" s="622">
        <v>43556</v>
      </c>
      <c r="BL12" s="622">
        <v>43586</v>
      </c>
      <c r="BM12" s="622">
        <v>43617</v>
      </c>
      <c r="BN12" s="623">
        <v>43648</v>
      </c>
      <c r="BO12" s="623">
        <v>43680</v>
      </c>
      <c r="BP12" s="623">
        <v>43712</v>
      </c>
      <c r="BQ12" s="623">
        <v>43743</v>
      </c>
      <c r="BR12" s="623">
        <v>43770</v>
      </c>
      <c r="BS12" s="623">
        <v>43806</v>
      </c>
      <c r="BT12" s="623">
        <f>BT3</f>
        <v>43831</v>
      </c>
      <c r="BU12" s="623">
        <f t="shared" ref="BU12:CD12" si="18">BU3</f>
        <v>43862</v>
      </c>
      <c r="BV12" s="623">
        <f t="shared" si="18"/>
        <v>43892</v>
      </c>
      <c r="BW12" s="623">
        <f t="shared" si="18"/>
        <v>43923</v>
      </c>
      <c r="BX12" s="623">
        <f t="shared" si="18"/>
        <v>43952</v>
      </c>
      <c r="BY12" s="623">
        <f t="shared" si="18"/>
        <v>43983</v>
      </c>
      <c r="BZ12" s="623">
        <f t="shared" si="18"/>
        <v>44013</v>
      </c>
      <c r="CA12" s="623">
        <f t="shared" si="18"/>
        <v>44044</v>
      </c>
      <c r="CB12" s="623">
        <f t="shared" si="18"/>
        <v>44075</v>
      </c>
      <c r="CC12" s="623">
        <f t="shared" si="18"/>
        <v>44105</v>
      </c>
      <c r="CD12" s="623">
        <f t="shared" si="18"/>
        <v>44136</v>
      </c>
      <c r="CE12" s="623">
        <v>44166</v>
      </c>
      <c r="CF12" s="623">
        <v>44197</v>
      </c>
      <c r="CG12" s="623">
        <v>44228</v>
      </c>
      <c r="CH12" s="623">
        <v>44256</v>
      </c>
      <c r="CI12" s="623">
        <v>44288</v>
      </c>
      <c r="CJ12" s="623">
        <v>44317</v>
      </c>
      <c r="CK12" s="623">
        <v>44348</v>
      </c>
      <c r="CL12" s="623">
        <v>44378</v>
      </c>
      <c r="CM12" s="623">
        <v>44409</v>
      </c>
    </row>
    <row r="13" spans="1:94" ht="22.5" customHeight="1" thickBot="1">
      <c r="A13" s="484" t="s">
        <v>237</v>
      </c>
      <c r="B13" s="452">
        <f t="shared" ref="B13:M13" si="19">(B7/11.6)-B4</f>
        <v>-7.6432512315270955</v>
      </c>
      <c r="C13" s="453">
        <f t="shared" si="19"/>
        <v>-16.01966379310344</v>
      </c>
      <c r="D13" s="453">
        <f t="shared" si="19"/>
        <v>-12.933589341692787</v>
      </c>
      <c r="E13" s="453">
        <f t="shared" si="19"/>
        <v>-18.549523809523819</v>
      </c>
      <c r="F13" s="453">
        <f t="shared" si="19"/>
        <v>-23.125965517241376</v>
      </c>
      <c r="G13" s="453">
        <f t="shared" si="19"/>
        <v>-25.667405582922832</v>
      </c>
      <c r="H13" s="453">
        <f t="shared" si="19"/>
        <v>-21.0679235382309</v>
      </c>
      <c r="I13" s="453">
        <f t="shared" si="19"/>
        <v>-15.200205254515595</v>
      </c>
      <c r="J13" s="454">
        <f t="shared" si="19"/>
        <v>-17.189435736677126</v>
      </c>
      <c r="K13" s="454">
        <f t="shared" si="19"/>
        <v>-14.631739811912215</v>
      </c>
      <c r="L13" s="455">
        <f t="shared" si="19"/>
        <v>-6.3630131362889983</v>
      </c>
      <c r="M13" s="485">
        <f t="shared" si="19"/>
        <v>5.6571964017990979</v>
      </c>
      <c r="N13" s="452">
        <f t="shared" ref="N13:N14" si="20">AVERAGE(B13:D13)</f>
        <v>-12.198834788774441</v>
      </c>
      <c r="O13" s="453">
        <f t="shared" ref="O13:O14" si="21">AVERAGE(E13:G13)</f>
        <v>-22.447631636562676</v>
      </c>
      <c r="P13" s="453">
        <f t="shared" ref="P13:P14" si="22">AVERAGE(H13:J13)</f>
        <v>-17.81918817647454</v>
      </c>
      <c r="Q13" s="486">
        <f t="shared" ref="Q13:Q14" si="23">AVERAGE(K13:M13)</f>
        <v>-5.112518848800705</v>
      </c>
      <c r="R13" s="487">
        <f t="shared" ref="R13:R14" si="24">AVERAGE(B13:M13)</f>
        <v>-14.39454336265309</v>
      </c>
      <c r="S13" s="456">
        <f t="shared" ref="S13:AD13" si="25">(S7/11.6)-S4</f>
        <v>4.4836034482758613</v>
      </c>
      <c r="T13" s="457">
        <f t="shared" si="25"/>
        <v>-3.7965517241379274</v>
      </c>
      <c r="U13" s="457">
        <f t="shared" si="25"/>
        <v>-9.065517241379311</v>
      </c>
      <c r="V13" s="457">
        <f t="shared" si="25"/>
        <v>-10.407405582922831</v>
      </c>
      <c r="W13" s="457">
        <f t="shared" si="25"/>
        <v>-14.353934169278993</v>
      </c>
      <c r="X13" s="457">
        <f t="shared" si="25"/>
        <v>-16.715353901996366</v>
      </c>
      <c r="Y13" s="488">
        <f t="shared" si="25"/>
        <v>-16.511724137931033</v>
      </c>
      <c r="Z13" s="512">
        <f t="shared" si="25"/>
        <v>-18.960893416927892</v>
      </c>
      <c r="AA13" s="512">
        <f t="shared" si="25"/>
        <v>-17.036420361247952</v>
      </c>
      <c r="AB13" s="457">
        <f t="shared" si="25"/>
        <v>-18.639696223316911</v>
      </c>
      <c r="AC13" s="488">
        <f t="shared" si="25"/>
        <v>-8.5197178683385602</v>
      </c>
      <c r="AD13" s="520">
        <f t="shared" si="25"/>
        <v>-17.959688013136294</v>
      </c>
      <c r="AE13" s="459">
        <f t="shared" ref="AE13:AE14" si="26">AVERAGE(S13:U13)</f>
        <v>-2.7928218390804589</v>
      </c>
      <c r="AF13" s="458">
        <f t="shared" ref="AF13:AF14" si="27">AVERAGE(V13:X13)</f>
        <v>-13.825564551399395</v>
      </c>
      <c r="AG13" s="458">
        <f t="shared" ref="AG13:AG14" si="28">AVERAGE(Y13:AA13)</f>
        <v>-17.503012638702291</v>
      </c>
      <c r="AH13" s="458">
        <f t="shared" ref="AH13:AH14" si="29">AVERAGE(AB13:AD13)</f>
        <v>-15.039700701597255</v>
      </c>
      <c r="AI13" s="531">
        <f t="shared" ref="AI13:AI14" si="30">AVERAGE(S13:AD13)</f>
        <v>-12.290274932694849</v>
      </c>
      <c r="AJ13" s="567">
        <f t="shared" ref="AJ13:CL13" si="31">(AJ7/11.6)-AJ4</f>
        <v>-13.633793103448276</v>
      </c>
      <c r="AK13" s="565">
        <f t="shared" si="31"/>
        <v>-6.5951724137931009</v>
      </c>
      <c r="AL13" s="545">
        <f t="shared" si="31"/>
        <v>-4.6482758620689637</v>
      </c>
      <c r="AM13" s="546">
        <f t="shared" si="31"/>
        <v>-12.634827586206896</v>
      </c>
      <c r="AN13" s="546">
        <f t="shared" si="31"/>
        <v>-17.134827586206896</v>
      </c>
      <c r="AO13" s="546">
        <f t="shared" si="31"/>
        <v>-13.064827586206896</v>
      </c>
      <c r="AP13" s="546">
        <f t="shared" si="31"/>
        <v>-16.966551724137929</v>
      </c>
      <c r="AQ13" s="546">
        <f t="shared" si="31"/>
        <v>-12.28896551724138</v>
      </c>
      <c r="AR13" s="546">
        <f t="shared" si="31"/>
        <v>-11.427120689655169</v>
      </c>
      <c r="AS13" s="546">
        <f t="shared" si="31"/>
        <v>-5.7655172413793068</v>
      </c>
      <c r="AT13" s="546">
        <f t="shared" si="31"/>
        <v>-11.03551724137931</v>
      </c>
      <c r="AU13" s="566">
        <f t="shared" si="31"/>
        <v>-11.600000000000001</v>
      </c>
      <c r="AV13" s="560">
        <f t="shared" si="31"/>
        <v>-16.189999999999998</v>
      </c>
      <c r="AW13" s="561">
        <f t="shared" si="31"/>
        <v>-18.323448275862063</v>
      </c>
      <c r="AX13" s="561">
        <f t="shared" si="31"/>
        <v>-22.007241379310344</v>
      </c>
      <c r="AY13" s="561">
        <f t="shared" si="31"/>
        <v>-27.537241379310338</v>
      </c>
      <c r="AZ13" s="561">
        <f t="shared" si="31"/>
        <v>-31.091034482758616</v>
      </c>
      <c r="BA13" s="561">
        <f t="shared" si="31"/>
        <v>-25.314137931034487</v>
      </c>
      <c r="BB13" s="561">
        <f t="shared" si="31"/>
        <v>-24.628620689655179</v>
      </c>
      <c r="BC13" s="561">
        <f t="shared" si="31"/>
        <v>-21.843448275862059</v>
      </c>
      <c r="BD13" s="561">
        <f t="shared" si="31"/>
        <v>-21.767241379310342</v>
      </c>
      <c r="BE13" s="561">
        <f t="shared" si="31"/>
        <v>-22.924482758620691</v>
      </c>
      <c r="BF13" s="561">
        <f t="shared" si="31"/>
        <v>-19.654827586206899</v>
      </c>
      <c r="BG13" s="624">
        <f t="shared" si="31"/>
        <v>-20.231034482758616</v>
      </c>
      <c r="BH13" s="626">
        <f t="shared" si="31"/>
        <v>-22.442068965517237</v>
      </c>
      <c r="BI13" s="626">
        <f t="shared" si="31"/>
        <v>-25.345862068965509</v>
      </c>
      <c r="BJ13" s="626">
        <f t="shared" si="31"/>
        <v>-23.395517241379316</v>
      </c>
      <c r="BK13" s="626">
        <f t="shared" si="31"/>
        <v>-25.691379310344828</v>
      </c>
      <c r="BL13" s="626">
        <f t="shared" si="31"/>
        <v>-23.905862068965511</v>
      </c>
      <c r="BM13" s="626">
        <f t="shared" si="31"/>
        <v>-25.337586206896546</v>
      </c>
      <c r="BN13" s="626">
        <f t="shared" si="31"/>
        <v>-31.78448275862069</v>
      </c>
      <c r="BO13" s="626">
        <f t="shared" si="31"/>
        <v>-27.64448275862069</v>
      </c>
      <c r="BP13" s="626">
        <f t="shared" si="31"/>
        <v>-30.516551724137926</v>
      </c>
      <c r="BQ13" s="626">
        <f t="shared" si="31"/>
        <v>-22.516551724137926</v>
      </c>
      <c r="BR13" s="626">
        <f t="shared" si="31"/>
        <v>-24.084482758620688</v>
      </c>
      <c r="BS13" s="626">
        <f t="shared" si="31"/>
        <v>-25.422413793103445</v>
      </c>
      <c r="BT13" s="656">
        <f t="shared" si="31"/>
        <v>-14.505517241379316</v>
      </c>
      <c r="BU13" s="656">
        <f t="shared" si="31"/>
        <v>-8.9613793103448245</v>
      </c>
      <c r="BV13" s="656">
        <f t="shared" si="31"/>
        <v>5.5241379310344811</v>
      </c>
      <c r="BW13" s="656">
        <f t="shared" si="31"/>
        <v>-0.13137931034482619</v>
      </c>
      <c r="BX13" s="656">
        <f t="shared" si="31"/>
        <v>-1.1596551724137925</v>
      </c>
      <c r="BY13" s="656">
        <f t="shared" si="31"/>
        <v>-11.479655172413793</v>
      </c>
      <c r="BZ13" s="656">
        <f t="shared" si="31"/>
        <v>-12.827586206896552</v>
      </c>
      <c r="CA13" s="656">
        <f t="shared" si="31"/>
        <v>-13.383801724137932</v>
      </c>
      <c r="CB13" s="656">
        <f t="shared" si="31"/>
        <v>-10.46074451410658</v>
      </c>
      <c r="CC13" s="656">
        <f t="shared" si="31"/>
        <v>-8.1180329153605015</v>
      </c>
      <c r="CD13" s="650">
        <f t="shared" si="31"/>
        <v>-5.8900000000000006</v>
      </c>
      <c r="CE13" s="650">
        <f t="shared" si="31"/>
        <v>-10.475862068965519</v>
      </c>
      <c r="CF13" s="650">
        <f t="shared" si="31"/>
        <v>-8.218275862068964</v>
      </c>
      <c r="CG13" s="650">
        <f t="shared" si="31"/>
        <v>-9.5618965517241321</v>
      </c>
      <c r="CH13" s="650">
        <f t="shared" si="31"/>
        <v>-11.823793103448274</v>
      </c>
      <c r="CI13" s="650">
        <f t="shared" si="31"/>
        <v>-15.907241379310342</v>
      </c>
      <c r="CJ13" s="650">
        <f t="shared" si="31"/>
        <v>-23.489655172413791</v>
      </c>
      <c r="CK13" s="650">
        <f t="shared" si="31"/>
        <v>-23.274137931034481</v>
      </c>
      <c r="CL13" s="650">
        <f t="shared" si="31"/>
        <v>-23.474137931034484</v>
      </c>
      <c r="CM13" s="650">
        <f t="shared" ref="CM13" si="32">(CM7/11.6)-CM4</f>
        <v>-22.627586206896545</v>
      </c>
    </row>
    <row r="14" spans="1:94" s="503" customFormat="1" ht="18" hidden="1" customHeight="1">
      <c r="A14" s="489" t="s">
        <v>238</v>
      </c>
      <c r="B14" s="460">
        <f>(333/11.6)-B4</f>
        <v>-16.867389162561576</v>
      </c>
      <c r="C14" s="461">
        <f t="shared" ref="C14:M14" si="33">(333/11.6)-C4</f>
        <v>-27.140353448275857</v>
      </c>
      <c r="D14" s="461">
        <f t="shared" si="33"/>
        <v>-25.950830721003133</v>
      </c>
      <c r="E14" s="461">
        <f t="shared" si="33"/>
        <v>-29.842627257799681</v>
      </c>
      <c r="F14" s="461">
        <f t="shared" si="33"/>
        <v>-34.85010344827586</v>
      </c>
      <c r="G14" s="461">
        <f t="shared" si="33"/>
        <v>-33.08119868637111</v>
      </c>
      <c r="H14" s="461">
        <f t="shared" si="33"/>
        <v>-27.447233883058484</v>
      </c>
      <c r="I14" s="461">
        <f t="shared" si="33"/>
        <v>-19.165722495894908</v>
      </c>
      <c r="J14" s="462">
        <f t="shared" si="33"/>
        <v>-16.672194357366781</v>
      </c>
      <c r="K14" s="490">
        <f t="shared" si="33"/>
        <v>-17.131739811912215</v>
      </c>
      <c r="L14" s="491">
        <f t="shared" si="33"/>
        <v>-13.087151067323479</v>
      </c>
      <c r="M14" s="492">
        <f t="shared" si="33"/>
        <v>-5.8083208395802153</v>
      </c>
      <c r="N14" s="493">
        <f t="shared" si="20"/>
        <v>-23.319524443946857</v>
      </c>
      <c r="O14" s="494">
        <f t="shared" si="21"/>
        <v>-32.591309797482218</v>
      </c>
      <c r="P14" s="494">
        <f t="shared" si="22"/>
        <v>-21.09505024544006</v>
      </c>
      <c r="Q14" s="495">
        <f t="shared" si="23"/>
        <v>-12.009070572938635</v>
      </c>
      <c r="R14" s="496">
        <f t="shared" si="24"/>
        <v>-22.253738764951944</v>
      </c>
      <c r="S14" s="497">
        <f t="shared" ref="S14:AD14" si="34">(333/11.6)-S4</f>
        <v>1.8973965517241353</v>
      </c>
      <c r="T14" s="498">
        <f t="shared" si="34"/>
        <v>-0.69310344827585979</v>
      </c>
      <c r="U14" s="498">
        <f t="shared" si="34"/>
        <v>-6.3931034482758626</v>
      </c>
      <c r="V14" s="498">
        <f t="shared" si="34"/>
        <v>-10.321198686371108</v>
      </c>
      <c r="W14" s="498">
        <f t="shared" si="34"/>
        <v>-15.560830721003132</v>
      </c>
      <c r="X14" s="498">
        <f t="shared" si="34"/>
        <v>-17.66362976406533</v>
      </c>
      <c r="Y14" s="499">
        <f t="shared" si="34"/>
        <v>-13.753103448275862</v>
      </c>
      <c r="Z14" s="513">
        <f t="shared" si="34"/>
        <v>-14.995376175548582</v>
      </c>
      <c r="AA14" s="513">
        <f t="shared" si="34"/>
        <v>-14.622627257799675</v>
      </c>
      <c r="AB14" s="498">
        <f t="shared" si="34"/>
        <v>-20.277627257799669</v>
      </c>
      <c r="AC14" s="499">
        <f t="shared" si="34"/>
        <v>-15.157648902821318</v>
      </c>
      <c r="AD14" s="525">
        <f t="shared" si="34"/>
        <v>-23.390722495894916</v>
      </c>
      <c r="AE14" s="501">
        <f t="shared" si="26"/>
        <v>-1.7296034482758624</v>
      </c>
      <c r="AF14" s="500">
        <f t="shared" si="27"/>
        <v>-14.515219723813189</v>
      </c>
      <c r="AG14" s="500">
        <f t="shared" si="28"/>
        <v>-14.457035627208038</v>
      </c>
      <c r="AH14" s="500">
        <f t="shared" si="29"/>
        <v>-19.608666218838636</v>
      </c>
      <c r="AI14" s="502">
        <f t="shared" si="30"/>
        <v>-12.577631254533932</v>
      </c>
      <c r="AJ14" s="537">
        <f t="shared" ref="AJ14:AU14" si="35">(333/11.6)-AJ4</f>
        <v>-25.01310344827586</v>
      </c>
      <c r="AK14" s="538">
        <f t="shared" si="35"/>
        <v>-25.733103448275859</v>
      </c>
      <c r="AL14" s="538">
        <f t="shared" si="35"/>
        <v>-22.493103448275864</v>
      </c>
      <c r="AM14" s="539">
        <f t="shared" si="35"/>
        <v>-23.58310344827586</v>
      </c>
      <c r="AN14" s="539">
        <f t="shared" si="35"/>
        <v>-21.83310344827586</v>
      </c>
      <c r="AO14" s="539">
        <f t="shared" si="35"/>
        <v>-17.76310344827586</v>
      </c>
      <c r="AP14" s="539">
        <f t="shared" si="35"/>
        <v>-18.863103448275861</v>
      </c>
      <c r="AQ14" s="540">
        <f t="shared" si="35"/>
        <v>-21.51310344827586</v>
      </c>
      <c r="AR14" s="541">
        <f t="shared" si="35"/>
        <v>-24.961603448275856</v>
      </c>
      <c r="AS14" s="542">
        <f t="shared" si="35"/>
        <v>-26.843103448275858</v>
      </c>
      <c r="AT14" s="543">
        <f t="shared" si="35"/>
        <v>-32.113103448275865</v>
      </c>
      <c r="AU14" s="544">
        <f t="shared" si="35"/>
        <v>-32.893103448275866</v>
      </c>
      <c r="AV14" s="542"/>
      <c r="AW14" s="543"/>
      <c r="AX14" s="543"/>
      <c r="AY14" s="543"/>
      <c r="AZ14" s="544"/>
      <c r="BB14"/>
    </row>
    <row r="15" spans="1:94" s="507" customFormat="1" ht="31.5" customHeight="1">
      <c r="A15" s="654" t="s">
        <v>460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6"/>
      <c r="O15" s="505"/>
      <c r="P15" s="505"/>
      <c r="Q15" s="505"/>
      <c r="R15" s="505"/>
      <c r="AD15" s="521"/>
      <c r="AU15" s="521"/>
      <c r="BB15"/>
    </row>
    <row r="16" spans="1:94" ht="21.75" customHeight="1">
      <c r="D16" s="509"/>
      <c r="E16" s="509"/>
      <c r="F16" s="509"/>
      <c r="G16" s="509"/>
      <c r="H16" s="509"/>
      <c r="I16" s="509"/>
      <c r="J16" s="509"/>
      <c r="K16" s="509"/>
      <c r="L16" s="509"/>
      <c r="M16" s="509"/>
    </row>
    <row r="17" spans="4:93" ht="21.75" customHeight="1">
      <c r="D17" s="509"/>
      <c r="E17" s="509"/>
      <c r="F17" s="509"/>
      <c r="G17" s="509"/>
      <c r="H17" s="509"/>
      <c r="I17" s="509"/>
      <c r="J17" s="509"/>
      <c r="K17" s="509"/>
      <c r="L17" s="509"/>
      <c r="M17" s="509"/>
    </row>
    <row r="18" spans="4:93" ht="18" thickBot="1">
      <c r="CD18" s="518" t="s">
        <v>242</v>
      </c>
      <c r="CF18" s="510" t="s">
        <v>461</v>
      </c>
      <c r="CG18" s="508"/>
      <c r="CH18" s="508"/>
      <c r="CI18" s="508"/>
      <c r="CJ18" s="508"/>
      <c r="CK18" s="508"/>
      <c r="CL18" s="508"/>
      <c r="CM18" s="508"/>
      <c r="CN18" s="508"/>
    </row>
    <row r="19" spans="4:93">
      <c r="CD19" s="724" t="s">
        <v>239</v>
      </c>
      <c r="CE19" s="725"/>
      <c r="CF19" s="725"/>
      <c r="CG19" s="725"/>
      <c r="CH19" s="725"/>
      <c r="CI19" s="726"/>
      <c r="CJ19" s="725" t="s">
        <v>240</v>
      </c>
      <c r="CK19" s="725"/>
      <c r="CL19" s="725"/>
      <c r="CM19" s="725"/>
      <c r="CN19" s="725"/>
      <c r="CO19" s="726"/>
    </row>
    <row r="20" spans="4:93" ht="55.5" customHeight="1">
      <c r="CD20" s="760" t="s">
        <v>455</v>
      </c>
      <c r="CE20" s="761"/>
      <c r="CF20" s="761"/>
      <c r="CG20" s="761"/>
      <c r="CH20" s="761"/>
      <c r="CI20" s="762"/>
      <c r="CJ20" s="760" t="s">
        <v>463</v>
      </c>
      <c r="CK20" s="761"/>
      <c r="CL20" s="761"/>
      <c r="CM20" s="761"/>
      <c r="CN20" s="761"/>
      <c r="CO20" s="762"/>
    </row>
    <row r="21" spans="4:93" ht="52.5" customHeight="1">
      <c r="CD21" s="760" t="s">
        <v>452</v>
      </c>
      <c r="CE21" s="761"/>
      <c r="CF21" s="761"/>
      <c r="CG21" s="761"/>
      <c r="CH21" s="761"/>
      <c r="CI21" s="762"/>
      <c r="CJ21" s="760" t="s">
        <v>465</v>
      </c>
      <c r="CK21" s="761"/>
      <c r="CL21" s="761"/>
      <c r="CM21" s="761"/>
      <c r="CN21" s="761"/>
      <c r="CO21" s="762"/>
    </row>
    <row r="22" spans="4:93" ht="52.5" customHeight="1">
      <c r="CD22" s="761" t="s">
        <v>462</v>
      </c>
      <c r="CE22" s="763"/>
      <c r="CF22" s="763"/>
      <c r="CG22" s="763"/>
      <c r="CH22" s="763"/>
      <c r="CI22" s="764"/>
      <c r="CJ22" s="760" t="s">
        <v>464</v>
      </c>
      <c r="CK22" s="761"/>
      <c r="CL22" s="761"/>
      <c r="CM22" s="761"/>
      <c r="CN22" s="761"/>
      <c r="CO22" s="762"/>
    </row>
    <row r="23" spans="4:93">
      <c r="CD23" s="659"/>
      <c r="CJ23"/>
    </row>
    <row r="24" spans="4:93">
      <c r="CD24" s="620" t="s">
        <v>251</v>
      </c>
      <c r="CJ24"/>
    </row>
    <row r="25" spans="4:93">
      <c r="CD25" s="668" t="s">
        <v>448</v>
      </c>
    </row>
    <row r="26" spans="4:93">
      <c r="CD26" s="668"/>
    </row>
    <row r="27" spans="4:93">
      <c r="CD27" s="668"/>
    </row>
  </sheetData>
  <mergeCells count="17">
    <mergeCell ref="AV2:BG2"/>
    <mergeCell ref="B2:M2"/>
    <mergeCell ref="N2:R2"/>
    <mergeCell ref="S2:AD2"/>
    <mergeCell ref="AE2:AI2"/>
    <mergeCell ref="AJ2:AU2"/>
    <mergeCell ref="BH2:BS2"/>
    <mergeCell ref="BT2:CE2"/>
    <mergeCell ref="CD19:CI19"/>
    <mergeCell ref="CJ19:CO19"/>
    <mergeCell ref="CD20:CI20"/>
    <mergeCell ref="CJ20:CO20"/>
    <mergeCell ref="CD21:CI21"/>
    <mergeCell ref="CJ21:CO21"/>
    <mergeCell ref="CD22:CI22"/>
    <mergeCell ref="CJ22:CO22"/>
    <mergeCell ref="CF2:CM2"/>
  </mergeCells>
  <pageMargins left="0.7" right="0.7" top="0.75" bottom="0.75" header="0.3" footer="0.3"/>
  <pageSetup paperSize="9" scale="47" orientation="landscape" r:id="rId1"/>
  <colBreaks count="1" manualBreakCount="1">
    <brk id="1" max="4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A5B1A3E0B0514C928DD8602F850BF2" ma:contentTypeVersion="11" ma:contentTypeDescription="Create a new document." ma:contentTypeScope="" ma:versionID="32457fccbb3c1b38ca29023a3ed9e869">
  <xsd:schema xmlns:xsd="http://www.w3.org/2001/XMLSchema" xmlns:xs="http://www.w3.org/2001/XMLSchema" xmlns:p="http://schemas.microsoft.com/office/2006/metadata/properties" xmlns:ns3="24b5089b-87bf-46f4-b2e6-cee7d96a219e" xmlns:ns4="03ffe25b-cc8b-4578-b774-25df79118f27" targetNamespace="http://schemas.microsoft.com/office/2006/metadata/properties" ma:root="true" ma:fieldsID="b73c999fabb8888b8c7d255fc3bf6976" ns3:_="" ns4:_="">
    <xsd:import namespace="24b5089b-87bf-46f4-b2e6-cee7d96a219e"/>
    <xsd:import namespace="03ffe25b-cc8b-4578-b774-25df79118f2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EventHashCode" minOccurs="0"/>
                <xsd:element ref="ns3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b5089b-87bf-46f4-b2e6-cee7d96a21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ffe25b-cc8b-4578-b774-25df79118f2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E025034-9A1A-41C5-AAC6-E43078BEB5FE}">
  <ds:schemaRefs>
    <ds:schemaRef ds:uri="http://schemas.microsoft.com/office/2006/metadata/properties"/>
    <ds:schemaRef ds:uri="24b5089b-87bf-46f4-b2e6-cee7d96a219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03ffe25b-cc8b-4578-b774-25df79118f27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54BF70F-A1E2-4929-AF4D-6EA84348BC3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4b5089b-87bf-46f4-b2e6-cee7d96a219e"/>
    <ds:schemaRef ds:uri="03ffe25b-cc8b-4578-b774-25df79118f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33F1ED5-1412-4A55-9F71-D1FDDEC9F64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45</vt:i4>
      </vt:variant>
      <vt:variant>
        <vt:lpstr>Named Ranges</vt:lpstr>
      </vt:variant>
      <vt:variant>
        <vt:i4>60</vt:i4>
      </vt:variant>
    </vt:vector>
  </HeadingPairs>
  <TitlesOfParts>
    <vt:vector size="105" baseType="lpstr">
      <vt:lpstr>11 Jan 16</vt:lpstr>
      <vt:lpstr>25 Jan 16</vt:lpstr>
      <vt:lpstr>15 Feb 16</vt:lpstr>
      <vt:lpstr>29 Feb 16</vt:lpstr>
      <vt:lpstr>15 Mar 16</vt:lpstr>
      <vt:lpstr>29 Mar 16</vt:lpstr>
      <vt:lpstr>25 Apr 16</vt:lpstr>
      <vt:lpstr>17 May 16</vt:lpstr>
      <vt:lpstr>30 May 16</vt:lpstr>
      <vt:lpstr>14 Jun 16</vt:lpstr>
      <vt:lpstr>27 Jun 16</vt:lpstr>
      <vt:lpstr>12 Jul 16</vt:lpstr>
      <vt:lpstr>25 Jul 16</vt:lpstr>
      <vt:lpstr>29 Aug 16</vt:lpstr>
      <vt:lpstr>12 Sep 16</vt:lpstr>
      <vt:lpstr>LPG-CP Price Forecast_Jan20</vt:lpstr>
      <vt:lpstr>LPG-CP Price Forecast_Feb20</vt:lpstr>
      <vt:lpstr>LPG-CP Price Forecast_Mar20</vt:lpstr>
      <vt:lpstr>LPG Forecast_Apr20 (ครั้งที่ 1)</vt:lpstr>
      <vt:lpstr>LPG Forecast_Apr20 (ครั้งที่ 2)</vt:lpstr>
      <vt:lpstr>LPG Forecast_may20 (ครั้งที 1)</vt:lpstr>
      <vt:lpstr>LPG Forecast_may20 (ครั้งที 2)</vt:lpstr>
      <vt:lpstr>LPG Forecast 27052020</vt:lpstr>
      <vt:lpstr>LPG Forecast 11062020</vt:lpstr>
      <vt:lpstr>LPG Forecast 24062020</vt:lpstr>
      <vt:lpstr>LPG Forecast 16072020</vt:lpstr>
      <vt:lpstr>LPG Forecast 24072020</vt:lpstr>
      <vt:lpstr>LPG Forecast 14082020</vt:lpstr>
      <vt:lpstr>LPG Forecast 25082020</vt:lpstr>
      <vt:lpstr>LPG Forecast 17092020</vt:lpstr>
      <vt:lpstr>LPG Forecast 29092020</vt:lpstr>
      <vt:lpstr>LPG Forecast 15102020</vt:lpstr>
      <vt:lpstr>LPG Forecast 27102020</vt:lpstr>
      <vt:lpstr>LPG Forecast 12112020</vt:lpstr>
      <vt:lpstr>LPG Forecast 30112020</vt:lpstr>
      <vt:lpstr>LPG Forecast 18122020</vt:lpstr>
      <vt:lpstr>LPG Forecast 25122020</vt:lpstr>
      <vt:lpstr>LPG Forecast 15012021 </vt:lpstr>
      <vt:lpstr>LPG Forecast 27012021</vt:lpstr>
      <vt:lpstr>LPG Forecast 11022021</vt:lpstr>
      <vt:lpstr>LPG Forecast 24022021</vt:lpstr>
      <vt:lpstr>LPG Forecast 17032021</vt:lpstr>
      <vt:lpstr>LPG Forecast 30032021</vt:lpstr>
      <vt:lpstr>LPG Forecast 22042021</vt:lpstr>
      <vt:lpstr>LPG Forecast 13052021</vt:lpstr>
      <vt:lpstr>'LPG Forecast 11022021'!Print_Area</vt:lpstr>
      <vt:lpstr>'LPG Forecast 11062020'!Print_Area</vt:lpstr>
      <vt:lpstr>'LPG Forecast 12112020'!Print_Area</vt:lpstr>
      <vt:lpstr>'LPG Forecast 13052021'!Print_Area</vt:lpstr>
      <vt:lpstr>'LPG Forecast 14082020'!Print_Area</vt:lpstr>
      <vt:lpstr>'LPG Forecast 15012021 '!Print_Area</vt:lpstr>
      <vt:lpstr>'LPG Forecast 15102020'!Print_Area</vt:lpstr>
      <vt:lpstr>'LPG Forecast 16072020'!Print_Area</vt:lpstr>
      <vt:lpstr>'LPG Forecast 17032021'!Print_Area</vt:lpstr>
      <vt:lpstr>'LPG Forecast 17092020'!Print_Area</vt:lpstr>
      <vt:lpstr>'LPG Forecast 18122020'!Print_Area</vt:lpstr>
      <vt:lpstr>'LPG Forecast 22042021'!Print_Area</vt:lpstr>
      <vt:lpstr>'LPG Forecast 24022021'!Print_Area</vt:lpstr>
      <vt:lpstr>'LPG Forecast 24062020'!Print_Area</vt:lpstr>
      <vt:lpstr>'LPG Forecast 24072020'!Print_Area</vt:lpstr>
      <vt:lpstr>'LPG Forecast 25082020'!Print_Area</vt:lpstr>
      <vt:lpstr>'LPG Forecast 25122020'!Print_Area</vt:lpstr>
      <vt:lpstr>'LPG Forecast 27012021'!Print_Area</vt:lpstr>
      <vt:lpstr>'LPG Forecast 27052020'!Print_Area</vt:lpstr>
      <vt:lpstr>'LPG Forecast 27102020'!Print_Area</vt:lpstr>
      <vt:lpstr>'LPG Forecast 29092020'!Print_Area</vt:lpstr>
      <vt:lpstr>'LPG Forecast 30032021'!Print_Area</vt:lpstr>
      <vt:lpstr>'LPG Forecast 30112020'!Print_Area</vt:lpstr>
      <vt:lpstr>'LPG Forecast_Apr20 (ครั้งที่ 1)'!Print_Area</vt:lpstr>
      <vt:lpstr>'LPG Forecast_Apr20 (ครั้งที่ 2)'!Print_Area</vt:lpstr>
      <vt:lpstr>'LPG Forecast_may20 (ครั้งที 1)'!Print_Area</vt:lpstr>
      <vt:lpstr>'LPG Forecast_may20 (ครั้งที 2)'!Print_Area</vt:lpstr>
      <vt:lpstr>'LPG-CP Price Forecast_Feb20'!Print_Area</vt:lpstr>
      <vt:lpstr>'LPG-CP Price Forecast_Jan20'!Print_Area</vt:lpstr>
      <vt:lpstr>'LPG-CP Price Forecast_Mar20'!Print_Area</vt:lpstr>
      <vt:lpstr>'LPG Forecast 11022021'!Print_Titles</vt:lpstr>
      <vt:lpstr>'LPG Forecast 11062020'!Print_Titles</vt:lpstr>
      <vt:lpstr>'LPG Forecast 12112020'!Print_Titles</vt:lpstr>
      <vt:lpstr>'LPG Forecast 13052021'!Print_Titles</vt:lpstr>
      <vt:lpstr>'LPG Forecast 14082020'!Print_Titles</vt:lpstr>
      <vt:lpstr>'LPG Forecast 15012021 '!Print_Titles</vt:lpstr>
      <vt:lpstr>'LPG Forecast 15102020'!Print_Titles</vt:lpstr>
      <vt:lpstr>'LPG Forecast 16072020'!Print_Titles</vt:lpstr>
      <vt:lpstr>'LPG Forecast 17032021'!Print_Titles</vt:lpstr>
      <vt:lpstr>'LPG Forecast 17092020'!Print_Titles</vt:lpstr>
      <vt:lpstr>'LPG Forecast 18122020'!Print_Titles</vt:lpstr>
      <vt:lpstr>'LPG Forecast 22042021'!Print_Titles</vt:lpstr>
      <vt:lpstr>'LPG Forecast 24022021'!Print_Titles</vt:lpstr>
      <vt:lpstr>'LPG Forecast 24062020'!Print_Titles</vt:lpstr>
      <vt:lpstr>'LPG Forecast 24072020'!Print_Titles</vt:lpstr>
      <vt:lpstr>'LPG Forecast 25082020'!Print_Titles</vt:lpstr>
      <vt:lpstr>'LPG Forecast 25122020'!Print_Titles</vt:lpstr>
      <vt:lpstr>'LPG Forecast 27012021'!Print_Titles</vt:lpstr>
      <vt:lpstr>'LPG Forecast 27052020'!Print_Titles</vt:lpstr>
      <vt:lpstr>'LPG Forecast 27102020'!Print_Titles</vt:lpstr>
      <vt:lpstr>'LPG Forecast 29092020'!Print_Titles</vt:lpstr>
      <vt:lpstr>'LPG Forecast 30032021'!Print_Titles</vt:lpstr>
      <vt:lpstr>'LPG Forecast 30112020'!Print_Titles</vt:lpstr>
      <vt:lpstr>'LPG Forecast_Apr20 (ครั้งที่ 1)'!Print_Titles</vt:lpstr>
      <vt:lpstr>'LPG Forecast_Apr20 (ครั้งที่ 2)'!Print_Titles</vt:lpstr>
      <vt:lpstr>'LPG Forecast_may20 (ครั้งที 1)'!Print_Titles</vt:lpstr>
      <vt:lpstr>'LPG Forecast_may20 (ครั้งที 2)'!Print_Titles</vt:lpstr>
      <vt:lpstr>'LPG-CP Price Forecast_Feb20'!Print_Titles</vt:lpstr>
      <vt:lpstr>'LPG-CP Price Forecast_Jan20'!Print_Titles</vt:lpstr>
      <vt:lpstr>'LPG-CP Price Forecast_Mar20'!Print_Titles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NATTAWUT HOKITTIKUL</dc:creator>
  <cp:lastModifiedBy>Chalida</cp:lastModifiedBy>
  <cp:lastPrinted>2017-10-03T08:44:09Z</cp:lastPrinted>
  <dcterms:created xsi:type="dcterms:W3CDTF">2015-10-12T03:06:24Z</dcterms:created>
  <dcterms:modified xsi:type="dcterms:W3CDTF">2021-05-27T07:59:57Z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0x01010011A5B1A3E0B0514C928DD8602F850BF2</vt:lpwstr>
  </property>
</Properties>
</file>