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30234\Desktop\"/>
    </mc:Choice>
  </mc:AlternateContent>
  <bookViews>
    <workbookView xWindow="0" yWindow="0" windowWidth="15360" windowHeight="7068" activeTab="2"/>
  </bookViews>
  <sheets>
    <sheet name="11th" sheetId="34" r:id="rId1"/>
    <sheet name="16th" sheetId="32" r:id="rId2"/>
    <sheet name="ปรับแผนเดือน มิ.ย. 64" sheetId="30" r:id="rId3"/>
    <sheet name="For PTTOR" sheetId="1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A" localSheetId="0" hidden="1">#REF!</definedName>
    <definedName name="__123Graph_A" localSheetId="1" hidden="1">#REF!</definedName>
    <definedName name="__123Graph_A" hidden="1">#REF!</definedName>
    <definedName name="__123Graph_B" localSheetId="0" hidden="1">#REF!</definedName>
    <definedName name="__123Graph_B" localSheetId="1" hidden="1">#REF!</definedName>
    <definedName name="__123Graph_B" hidden="1">#REF!</definedName>
    <definedName name="__123Graph_X" localSheetId="0" hidden="1">#REF!</definedName>
    <definedName name="__123Graph_X" localSheetId="1" hidden="1">#REF!</definedName>
    <definedName name="__123Graph_X" hidden="1">#REF!</definedName>
    <definedName name="aas" localSheetId="0">#REF!</definedName>
    <definedName name="aas" localSheetId="1">#REF!</definedName>
    <definedName name="aas">#REF!</definedName>
    <definedName name="Apr" localSheetId="0">#REF!</definedName>
    <definedName name="Apr" localSheetId="1">#REF!</definedName>
    <definedName name="Apr">#REF!</definedName>
    <definedName name="ARC" localSheetId="0">#REF!</definedName>
    <definedName name="ARC" localSheetId="1">#REF!</definedName>
    <definedName name="ARC">#REF!</definedName>
    <definedName name="Aug" localSheetId="0">#REF!</definedName>
    <definedName name="Aug" localSheetId="1">#REF!</definedName>
    <definedName name="Aug">#REF!</definedName>
    <definedName name="aui" localSheetId="0">#REF!</definedName>
    <definedName name="aui" localSheetId="1">#REF!</definedName>
    <definedName name="aui">#REF!</definedName>
    <definedName name="AVGAS">[1]COST!$F$15</definedName>
    <definedName name="BCP" localSheetId="0">#REF!</definedName>
    <definedName name="BCP" localSheetId="1">#REF!</definedName>
    <definedName name="BCP">#REF!</definedName>
    <definedName name="BRP" localSheetId="0">#REF!</definedName>
    <definedName name="BRP" localSheetId="1">#REF!</definedName>
    <definedName name="BRP">#REF!</definedName>
    <definedName name="Clear" localSheetId="0">#REF!,#REF!</definedName>
    <definedName name="Clear" localSheetId="1">#REF!,#REF!</definedName>
    <definedName name="Clear">#REF!,#REF!</definedName>
    <definedName name="clear_reset">[2]Parameters!$C$14:$K$22,[2]Parameters!$C$24:$K$32,[2]Parameters!$C$38:$K$43,[2]Parameters!$C$45:$K$47,[2]Parameters!$C$49:$K$54</definedName>
    <definedName name="clear_reset2">'[2]Parameters II'!$C$13:$L$18,'[2]Parameters II'!$C$20,'[2]Parameters II'!$C$20,'[2]Parameters II'!$C$20:$L$25,'[2]Parameters II'!$C$27:$L$29,'[2]Parameters II'!$C$31:$L$33,'[2]Parameters II'!$C$35:$L$37</definedName>
    <definedName name="clearB100" localSheetId="0">#REF!</definedName>
    <definedName name="clearB100" localSheetId="1">#REF!</definedName>
    <definedName name="clearB100">#REF!</definedName>
    <definedName name="ctl" localSheetId="1" hidden="1">{#N/A,#N/A,FALSE,"แผนเดือน";#N/A,#N/A,FALSE,"รายคลัง";#N/A,#N/A,FALSE,"บรป.";#N/A,#N/A,FALSE,"SUPPLY SALE"}</definedName>
    <definedName name="ctl" hidden="1">{#N/A,#N/A,FALSE,"แผนเดือน";#N/A,#N/A,FALSE,"รายคลัง";#N/A,#N/A,FALSE,"บรป.";#N/A,#N/A,FALSE,"SUPPLY SALE"}</definedName>
    <definedName name="D">[3]Sum!$C$100</definedName>
    <definedName name="D_BRP" localSheetId="0">#REF!</definedName>
    <definedName name="D_BRP" localSheetId="1">#REF!</definedName>
    <definedName name="D_BRP">#REF!</definedName>
    <definedName name="D_KKN" localSheetId="0">#REF!</definedName>
    <definedName name="D_KKN" localSheetId="1">#REF!</definedName>
    <definedName name="D_KKN">#REF!</definedName>
    <definedName name="D_LMP" localSheetId="0">#REF!</definedName>
    <definedName name="D_LMP" localSheetId="1">#REF!</definedName>
    <definedName name="D_LMP">#REF!</definedName>
    <definedName name="D_NSW" localSheetId="0">#REF!</definedName>
    <definedName name="D_NSW" localSheetId="1">#REF!</definedName>
    <definedName name="D_NSW">#REF!</definedName>
    <definedName name="D_SHIP" localSheetId="0">#REF!</definedName>
    <definedName name="D_SHIP" localSheetId="1">#REF!</definedName>
    <definedName name="D_SHIP">#REF!</definedName>
    <definedName name="D_SKL" localSheetId="0">#REF!</definedName>
    <definedName name="D_SKL" localSheetId="1">#REF!</definedName>
    <definedName name="D_SKL">#REF!</definedName>
    <definedName name="D_SRT" localSheetId="0">#REF!</definedName>
    <definedName name="D_SRT" localSheetId="1">#REF!</definedName>
    <definedName name="D_SRT">#REF!</definedName>
    <definedName name="DastNSW" localSheetId="0">#REF!</definedName>
    <definedName name="DastNSW" localSheetId="1">#REF!</definedName>
    <definedName name="DastNSW">#REF!</definedName>
    <definedName name="DateAprBCP" localSheetId="0">#REF!</definedName>
    <definedName name="DateAprBCP" localSheetId="1">#REF!</definedName>
    <definedName name="DateAprBCP">#REF!</definedName>
    <definedName name="DateAprBRP" localSheetId="0">#REF!</definedName>
    <definedName name="DateAprBRP" localSheetId="1">#REF!</definedName>
    <definedName name="DateAprBRP">#REF!</definedName>
    <definedName name="DateAprKKN" localSheetId="0">#REF!</definedName>
    <definedName name="DateAprKKN" localSheetId="1">#REF!</definedName>
    <definedName name="DateAprKKN">#REF!</definedName>
    <definedName name="DateAprLMP" localSheetId="0">#REF!</definedName>
    <definedName name="DateAprLMP" localSheetId="1">#REF!</definedName>
    <definedName name="DateAprLMP">#REF!</definedName>
    <definedName name="DateAprMT" localSheetId="0">#REF!</definedName>
    <definedName name="DateAprMT" localSheetId="1">#REF!</definedName>
    <definedName name="DateAprMT">#REF!</definedName>
    <definedName name="DateAprNSW" localSheetId="0">#REF!</definedName>
    <definedName name="DateAprNSW" localSheetId="1">#REF!</definedName>
    <definedName name="DateAprNSW">#REF!</definedName>
    <definedName name="DateAprSKL" localSheetId="0">#REF!</definedName>
    <definedName name="DateAprSKL" localSheetId="1">#REF!</definedName>
    <definedName name="DateAprSKL">#REF!</definedName>
    <definedName name="DateAprSRT" localSheetId="0">#REF!</definedName>
    <definedName name="DateAprSRT" localSheetId="1">#REF!</definedName>
    <definedName name="DateAprSRT">#REF!</definedName>
    <definedName name="DateAprTank" localSheetId="0">#REF!</definedName>
    <definedName name="DateAprTank" localSheetId="1">#REF!</definedName>
    <definedName name="DateAprTank">#REF!</definedName>
    <definedName name="DateAug">'[4]Supply Sale'!$S$4</definedName>
    <definedName name="DateDec">'[4]Supply Sale'!$BG$4</definedName>
    <definedName name="DateJul">'[4]Supply Sale'!$I$4</definedName>
    <definedName name="DateKKN" localSheetId="0">#REF!</definedName>
    <definedName name="DateKKN" localSheetId="1">#REF!</definedName>
    <definedName name="DateKKN">#REF!</definedName>
    <definedName name="DateLMP" localSheetId="0">#REF!</definedName>
    <definedName name="DateLMP" localSheetId="1">#REF!</definedName>
    <definedName name="DateLMP">#REF!</definedName>
    <definedName name="DateNov">'[4]Supply Sale'!$AW$4</definedName>
    <definedName name="DateNSW" localSheetId="0">#REF!</definedName>
    <definedName name="DateNSW" localSheetId="1">#REF!</definedName>
    <definedName name="DateNSW">#REF!</definedName>
    <definedName name="DateOct">'[4]Supply Sale'!$AM$4</definedName>
    <definedName name="DateSep">'[4]Supply Sale'!$AC$4</definedName>
    <definedName name="DateSKL" localSheetId="0">#REF!</definedName>
    <definedName name="DateSKL" localSheetId="1">#REF!</definedName>
    <definedName name="DateSKL">#REF!</definedName>
    <definedName name="DateSRT" localSheetId="0">#REF!</definedName>
    <definedName name="DateSRT" localSheetId="1">#REF!</definedName>
    <definedName name="DateSRT">#REF!</definedName>
    <definedName name="Day" localSheetId="0">#REF!</definedName>
    <definedName name="Day" localSheetId="1">#REF!</definedName>
    <definedName name="Day">#REF!</definedName>
    <definedName name="DayARC" localSheetId="0">#REF!</definedName>
    <definedName name="DayARC" localSheetId="1">#REF!</definedName>
    <definedName name="DayARC">#REF!</definedName>
    <definedName name="DayAug">'[4]Supply Sale'!$T$1</definedName>
    <definedName name="DayBCP" localSheetId="0">#REF!</definedName>
    <definedName name="DayBCP" localSheetId="1">#REF!</definedName>
    <definedName name="DayBCP">#REF!</definedName>
    <definedName name="DayBRP" localSheetId="0">#REF!</definedName>
    <definedName name="DayBRP" localSheetId="1">#REF!</definedName>
    <definedName name="DayBRP">#REF!</definedName>
    <definedName name="DayDec">'[4]Supply Sale'!$BH$1</definedName>
    <definedName name="DayJul">'[4]Supply Sale'!$J$1</definedName>
    <definedName name="DayKKN" localSheetId="0">#REF!</definedName>
    <definedName name="DayKKN" localSheetId="1">#REF!</definedName>
    <definedName name="DayKKN">#REF!</definedName>
    <definedName name="DayLMP" localSheetId="0">#REF!</definedName>
    <definedName name="DayLMP" localSheetId="1">#REF!</definedName>
    <definedName name="DayLMP">#REF!</definedName>
    <definedName name="DayMT" localSheetId="0">#REF!</definedName>
    <definedName name="DayMT" localSheetId="1">#REF!</definedName>
    <definedName name="DayMT">#REF!</definedName>
    <definedName name="DayMth" localSheetId="0">#REF!</definedName>
    <definedName name="DayMth" localSheetId="1">#REF!</definedName>
    <definedName name="DayMth">#REF!</definedName>
    <definedName name="DayNov">'[4]Supply Sale'!$AX$1</definedName>
    <definedName name="DayNSW" localSheetId="0">#REF!</definedName>
    <definedName name="DayNSW" localSheetId="1">#REF!</definedName>
    <definedName name="DayNSW">#REF!</definedName>
    <definedName name="DayOct">'[4]Supply Sale'!$AN$1</definedName>
    <definedName name="DaySep">'[4]Supply Sale'!$AD$1</definedName>
    <definedName name="DaySKL" localSheetId="0">#REF!</definedName>
    <definedName name="DaySKL" localSheetId="1">#REF!</definedName>
    <definedName name="DaySKL">#REF!</definedName>
    <definedName name="DaySRT" localSheetId="0">#REF!</definedName>
    <definedName name="DaySRT" localSheetId="1">#REF!</definedName>
    <definedName name="DaySRT">#REF!</definedName>
    <definedName name="DayTANK" localSheetId="0">#REF!</definedName>
    <definedName name="DayTANK" localSheetId="1">#REF!</definedName>
    <definedName name="DayTANK">#REF!</definedName>
    <definedName name="Dec" localSheetId="0">#REF!</definedName>
    <definedName name="Dec" localSheetId="1">#REF!</definedName>
    <definedName name="Dec">#REF!</definedName>
    <definedName name="DM">[3]Sum!$C$101</definedName>
    <definedName name="ESSO" localSheetId="1" hidden="1">{#N/A,#N/A,FALSE,"แผนเดือน";#N/A,#N/A,FALSE,"รายคลัง";#N/A,#N/A,FALSE,"บรป.";#N/A,#N/A,FALSE,"SUPPLY SALE"}</definedName>
    <definedName name="ESSO" hidden="1">{#N/A,#N/A,FALSE,"แผนเดือน";#N/A,#N/A,FALSE,"รายคลัง";#N/A,#N/A,FALSE,"บรป.";#N/A,#N/A,FALSE,"SUPPLY SALE"}</definedName>
    <definedName name="esso1" localSheetId="1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0">#REF!</definedName>
    <definedName name="Feb" localSheetId="1">#REF!</definedName>
    <definedName name="Feb">#REF!</definedName>
    <definedName name="HTML_CodePage" hidden="1">874</definedName>
    <definedName name="HTML_Control" localSheetId="1" hidden="1">{"'MOPS'!$A$1:$L$18"}</definedName>
    <definedName name="HTML_Control" hidden="1">{"'MOPS'!$A$1:$L$18"}</definedName>
    <definedName name="HTML_Description" hidden="1">""</definedName>
    <definedName name="HTML_Email" hidden="1">"390178@ptt.or.th"</definedName>
    <definedName name="HTML_Header" hidden="1">"SINGAPORE MOP    UNIT : $/BBL"</definedName>
    <definedName name="HTML_LastUpdate" hidden="1">"25/5/99"</definedName>
    <definedName name="HTML_LineAfter" hidden="1">FALSE</definedName>
    <definedName name="HTML_LineBefore" hidden="1">FALSE</definedName>
    <definedName name="HTML_Name" hidden="1">"ช่อแก้ว  วจ./ฝปน.  โทร. 7438"</definedName>
    <definedName name="HTML_OBDlg2" hidden="1">TRUE</definedName>
    <definedName name="HTML_OBDlg4" hidden="1">TRUE</definedName>
    <definedName name="HTML_OS" hidden="1">0</definedName>
    <definedName name="HTML_PathFile" hidden="1">"M:\MOPS\mops.html"</definedName>
    <definedName name="HTML_Title" hidden="1">"SINGAPORE MOP"</definedName>
    <definedName name="Jan" localSheetId="0">#REF!</definedName>
    <definedName name="Jan" localSheetId="1">#REF!</definedName>
    <definedName name="Jan">#REF!</definedName>
    <definedName name="Jul" localSheetId="0">#REF!</definedName>
    <definedName name="Jul" localSheetId="1">#REF!</definedName>
    <definedName name="Jul">#REF!</definedName>
    <definedName name="Jun" localSheetId="0">#REF!</definedName>
    <definedName name="Jun" localSheetId="1">#REF!</definedName>
    <definedName name="Jun">#REF!</definedName>
    <definedName name="KKN" localSheetId="0">#REF!</definedName>
    <definedName name="KKN" localSheetId="1">#REF!</definedName>
    <definedName name="KKN">#REF!</definedName>
    <definedName name="kor" localSheetId="0">#REF!</definedName>
    <definedName name="kor" localSheetId="1">#REF!</definedName>
    <definedName name="kor">#REF!</definedName>
    <definedName name="kuad" localSheetId="0">#REF!</definedName>
    <definedName name="kuad" localSheetId="1">#REF!</definedName>
    <definedName name="kuad">#REF!</definedName>
    <definedName name="LMP" localSheetId="0">#REF!</definedName>
    <definedName name="LMP" localSheetId="1">#REF!</definedName>
    <definedName name="LMP">#REF!</definedName>
    <definedName name="Mar" localSheetId="0">#REF!</definedName>
    <definedName name="Mar" localSheetId="1">#REF!</definedName>
    <definedName name="Mar">#REF!</definedName>
    <definedName name="Marธพ" localSheetId="0">#REF!</definedName>
    <definedName name="Marธพ" localSheetId="1">#REF!</definedName>
    <definedName name="Marธพ">#REF!</definedName>
    <definedName name="May" localSheetId="0">#REF!</definedName>
    <definedName name="May" localSheetId="1">#REF!</definedName>
    <definedName name="May">#REF!</definedName>
    <definedName name="MD_BRP" localSheetId="0">#REF!</definedName>
    <definedName name="MD_BRP" localSheetId="1">#REF!</definedName>
    <definedName name="MD_BRP">#REF!</definedName>
    <definedName name="MD_KKN" localSheetId="0">#REF!</definedName>
    <definedName name="MD_KKN" localSheetId="1">#REF!</definedName>
    <definedName name="MD_KKN">#REF!</definedName>
    <definedName name="MD_LMP" localSheetId="0">#REF!</definedName>
    <definedName name="MD_LMP" localSheetId="1">#REF!</definedName>
    <definedName name="MD_LMP">#REF!</definedName>
    <definedName name="MD_NSW" localSheetId="0">#REF!</definedName>
    <definedName name="MD_NSW" localSheetId="1">#REF!</definedName>
    <definedName name="MD_NSW">#REF!</definedName>
    <definedName name="MD_SHIP" localSheetId="0">#REF!</definedName>
    <definedName name="MD_SHIP" localSheetId="1">#REF!</definedName>
    <definedName name="MD_SHIP">#REF!</definedName>
    <definedName name="MD_SKL" localSheetId="0">#REF!</definedName>
    <definedName name="MD_SKL" localSheetId="1">#REF!</definedName>
    <definedName name="MD_SKL">#REF!</definedName>
    <definedName name="MD_SRT" localSheetId="0">#REF!</definedName>
    <definedName name="MD_SRT" localSheetId="1">#REF!</definedName>
    <definedName name="MD_SRT">#REF!</definedName>
    <definedName name="mod" localSheetId="0">#REF!</definedName>
    <definedName name="mod" localSheetId="1">#REF!</definedName>
    <definedName name="mod">#REF!</definedName>
    <definedName name="MT" localSheetId="0">#REF!</definedName>
    <definedName name="MT" localSheetId="1">#REF!</definedName>
    <definedName name="MT">#REF!</definedName>
    <definedName name="Nov" localSheetId="0">#REF!</definedName>
    <definedName name="Nov" localSheetId="1">#REF!</definedName>
    <definedName name="Nov">#REF!</definedName>
    <definedName name="now" localSheetId="0">#REF!</definedName>
    <definedName name="now" localSheetId="1">#REF!</definedName>
    <definedName name="now">#REF!</definedName>
    <definedName name="NSW" localSheetId="0">#REF!</definedName>
    <definedName name="NSW" localSheetId="1">#REF!</definedName>
    <definedName name="NSW">#REF!</definedName>
    <definedName name="Oct" localSheetId="0">#REF!</definedName>
    <definedName name="Oct" localSheetId="1">#REF!</definedName>
    <definedName name="Oct">#REF!</definedName>
    <definedName name="ok" localSheetId="0">'[5]UBL''44'!#REF!</definedName>
    <definedName name="ok" localSheetId="1">'[5]UBL''44'!#REF!</definedName>
    <definedName name="ok">'[5]UBL''44'!#REF!</definedName>
    <definedName name="pp" localSheetId="1" hidden="1">{#N/A,#N/A,FALSE,"แผนเดือน";#N/A,#N/A,FALSE,"รายคลัง";#N/A,#N/A,FALSE,"บรป.";#N/A,#N/A,FALSE,"SUPPLY SALE"}</definedName>
    <definedName name="pp" hidden="1">{#N/A,#N/A,FALSE,"แผนเดือน";#N/A,#N/A,FALSE,"รายคลัง";#N/A,#N/A,FALSE,"บรป.";#N/A,#N/A,FALSE,"SUPPLY SALE"}</definedName>
    <definedName name="_xlnm.Print_Area" localSheetId="0">#REF!</definedName>
    <definedName name="_xlnm.Print_Area" localSheetId="1">#REF!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PRINT_TITLES_MI" localSheetId="0">#REF!</definedName>
    <definedName name="PRINT_TITLES_MI" localSheetId="1">#REF!</definedName>
    <definedName name="PRINT_TITLES_MI">#REF!</definedName>
    <definedName name="reset" localSheetId="0">#REF!,#REF!,#REF!,#REF!,#REF!</definedName>
    <definedName name="reset" localSheetId="1">#REF!,#REF!,#REF!,#REF!,#REF!</definedName>
    <definedName name="reset">#REF!,#REF!,#REF!,#REF!,#REF!</definedName>
    <definedName name="Sep" localSheetId="0">#REF!</definedName>
    <definedName name="Sep" localSheetId="1">#REF!</definedName>
    <definedName name="Sep">#REF!</definedName>
    <definedName name="SKL" localSheetId="0">#REF!</definedName>
    <definedName name="SKL" localSheetId="1">#REF!</definedName>
    <definedName name="SKL">#REF!</definedName>
    <definedName name="SRT" localSheetId="0">#REF!</definedName>
    <definedName name="SRT" localSheetId="1">#REF!</definedName>
    <definedName name="SRT">#REF!</definedName>
    <definedName name="su" localSheetId="0">#REF!</definedName>
    <definedName name="su" localSheetId="1">#REF!</definedName>
    <definedName name="su">#REF!</definedName>
    <definedName name="TANK" localSheetId="0">#REF!</definedName>
    <definedName name="TANK" localSheetId="1">#REF!</definedName>
    <definedName name="TANK">#REF!</definedName>
    <definedName name="test" localSheetId="0">'[5]UBL''44'!#REF!</definedName>
    <definedName name="test" localSheetId="1">'[5]UBL''44'!#REF!</definedName>
    <definedName name="test">'[5]UBL''44'!#REF!</definedName>
    <definedName name="TG">[6]MT!$I$14</definedName>
    <definedName name="what" localSheetId="0">#REF!,#REF!,#REF!,#REF!,#REF!</definedName>
    <definedName name="what" localSheetId="1">#REF!,#REF!,#REF!,#REF!,#REF!</definedName>
    <definedName name="what">#REF!,#REF!,#REF!,#REF!,#REF!</definedName>
    <definedName name="wrn.LPG._.Monthly." localSheetId="1" hidden="1">{#N/A,#N/A,FALSE,"แผนเดือน";#N/A,#N/A,FALSE,"รายคลัง";#N/A,#N/A,FALSE,"บรป.";#N/A,#N/A,FALSE,"SUPPLY SALE"}</definedName>
    <definedName name="wrn.LPG._.Monthly." hidden="1">{#N/A,#N/A,FALSE,"แผนเดือน";#N/A,#N/A,FALSE,"รายคลัง";#N/A,#N/A,FALSE,"บรป.";#N/A,#N/A,FALSE,"SUPPLY SALE"}</definedName>
    <definedName name="ง" localSheetId="0">#REF!</definedName>
    <definedName name="ง" localSheetId="1">#REF!</definedName>
    <definedName name="ง">#REF!</definedName>
    <definedName name="น" localSheetId="0">#REF!,#REF!,#REF!,#REF!,#REF!</definedName>
    <definedName name="น" localSheetId="1">#REF!,#REF!,#REF!,#REF!,#REF!</definedName>
    <definedName name="น">#REF!,#REF!,#REF!,#REF!,#REF!</definedName>
    <definedName name="นน" localSheetId="0">'[5]UBL''44'!#REF!</definedName>
    <definedName name="นน" localSheetId="1">'[5]UBL''44'!#REF!</definedName>
    <definedName name="นน">'[5]UBL''44'!#REF!</definedName>
    <definedName name="นอ" localSheetId="0">#REF!</definedName>
    <definedName name="นอ" localSheetId="1">#REF!</definedName>
    <definedName name="นอ">#REF!</definedName>
    <definedName name="ปรับแผน" localSheetId="0">#REF!</definedName>
    <definedName name="ปรับแผน" localSheetId="1">#REF!</definedName>
    <definedName name="ปรับแผน">#REF!</definedName>
    <definedName name="ปรับแผน4" localSheetId="0">#REF!</definedName>
    <definedName name="ปรับแผน4" localSheetId="1">#REF!</definedName>
    <definedName name="ปรับแผน4">#REF!</definedName>
    <definedName name="แผนแก้ไข" localSheetId="0">'[5]UBL''44'!#REF!</definedName>
    <definedName name="แผนแก้ไข" localSheetId="1">'[5]UBL''44'!#REF!</definedName>
    <definedName name="แผนแก้ไข">'[5]UBL''44'!#REF!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D56" i="30"/>
  <c r="D55" i="30"/>
  <c r="D57" i="30" l="1"/>
  <c r="E4" i="30"/>
  <c r="E55" i="30" s="1"/>
  <c r="F9" i="30"/>
  <c r="F8" i="30"/>
  <c r="E67" i="30"/>
  <c r="E66" i="30"/>
  <c r="E65" i="30"/>
  <c r="E64" i="30"/>
  <c r="E63" i="30"/>
  <c r="E62" i="30"/>
  <c r="E61" i="30"/>
  <c r="E60" i="30"/>
  <c r="E59" i="30"/>
  <c r="E58" i="30"/>
  <c r="E56" i="30"/>
  <c r="E57" i="30" l="1"/>
  <c r="D73" i="32" l="1"/>
  <c r="AQ10" i="34" l="1"/>
  <c r="AQ8" i="34"/>
  <c r="AQ2" i="34" s="1"/>
  <c r="D63" i="30" l="1"/>
  <c r="D62" i="30"/>
  <c r="D61" i="30"/>
  <c r="D59" i="30"/>
  <c r="D60" i="30" l="1"/>
  <c r="D58" i="30"/>
  <c r="AF8" i="34"/>
  <c r="AG8" i="34"/>
  <c r="AH8" i="34"/>
  <c r="AI8" i="34"/>
  <c r="AJ8" i="34"/>
  <c r="AK8" i="34"/>
  <c r="AL8" i="34"/>
  <c r="AM8" i="34"/>
  <c r="AN8" i="34"/>
  <c r="AO8" i="34"/>
  <c r="AP8" i="34"/>
  <c r="AP10" i="34" l="1"/>
  <c r="AP2" i="34"/>
  <c r="D78" i="32" l="1"/>
  <c r="X25" i="32" l="1"/>
  <c r="X26" i="32"/>
  <c r="X27" i="32"/>
  <c r="X28" i="32"/>
  <c r="X29" i="32"/>
  <c r="X30" i="32"/>
  <c r="X31" i="32"/>
  <c r="X32" i="32"/>
  <c r="X33" i="32"/>
  <c r="X34" i="32"/>
  <c r="X35" i="32"/>
  <c r="X24" i="32"/>
  <c r="AE10" i="34" l="1"/>
  <c r="AF10" i="34"/>
  <c r="AG10" i="34"/>
  <c r="AH10" i="34"/>
  <c r="AI10" i="34"/>
  <c r="AJ10" i="34"/>
  <c r="AK10" i="34"/>
  <c r="AL10" i="34"/>
  <c r="AM10" i="34"/>
  <c r="AN10" i="34"/>
  <c r="AO10" i="34"/>
  <c r="AD10" i="34"/>
  <c r="AO2" i="34" l="1"/>
  <c r="D67" i="30" l="1"/>
  <c r="D66" i="30"/>
  <c r="D65" i="30"/>
  <c r="D64" i="30"/>
  <c r="O85" i="32"/>
  <c r="E85" i="32"/>
  <c r="F85" i="32"/>
  <c r="G85" i="32"/>
  <c r="H85" i="32"/>
  <c r="I85" i="32"/>
  <c r="J85" i="32"/>
  <c r="K85" i="32"/>
  <c r="L85" i="32"/>
  <c r="M85" i="32"/>
  <c r="N85" i="32"/>
  <c r="E84" i="32"/>
  <c r="F84" i="32"/>
  <c r="G84" i="32"/>
  <c r="H84" i="32"/>
  <c r="I84" i="32"/>
  <c r="J84" i="32"/>
  <c r="K84" i="32"/>
  <c r="L84" i="32"/>
  <c r="M84" i="32"/>
  <c r="N84" i="32"/>
  <c r="O84" i="32"/>
  <c r="O98" i="32"/>
  <c r="N98" i="32"/>
  <c r="M98" i="32"/>
  <c r="L98" i="32"/>
  <c r="K98" i="32"/>
  <c r="J98" i="32"/>
  <c r="I98" i="32"/>
  <c r="H98" i="32"/>
  <c r="G98" i="32"/>
  <c r="F98" i="32"/>
  <c r="E98" i="32"/>
  <c r="D98" i="32"/>
  <c r="X5" i="32" l="1"/>
  <c r="X6" i="32"/>
  <c r="X7" i="32"/>
  <c r="X8" i="32"/>
  <c r="X9" i="32"/>
  <c r="X10" i="32"/>
  <c r="X11" i="32"/>
  <c r="X12" i="32"/>
  <c r="X13" i="32"/>
  <c r="X14" i="32"/>
  <c r="X15" i="32"/>
  <c r="X16" i="32"/>
  <c r="D22" i="32"/>
  <c r="AN2" i="34" l="1"/>
  <c r="F33" i="30" l="1"/>
  <c r="E78" i="32" l="1"/>
  <c r="F78" i="32"/>
  <c r="G78" i="32"/>
  <c r="H78" i="32"/>
  <c r="I78" i="32"/>
  <c r="J78" i="32"/>
  <c r="K78" i="32"/>
  <c r="L78" i="32"/>
  <c r="M78" i="32"/>
  <c r="N78" i="32"/>
  <c r="O78" i="32"/>
  <c r="E89" i="32" l="1"/>
  <c r="F89" i="32"/>
  <c r="G89" i="32"/>
  <c r="H89" i="32"/>
  <c r="I89" i="32"/>
  <c r="J89" i="32"/>
  <c r="K89" i="32"/>
  <c r="L89" i="32"/>
  <c r="M89" i="32"/>
  <c r="N89" i="32"/>
  <c r="O89" i="32"/>
  <c r="D89" i="32"/>
  <c r="E71" i="32" l="1"/>
  <c r="F71" i="32"/>
  <c r="G71" i="32"/>
  <c r="H71" i="32"/>
  <c r="I71" i="32"/>
  <c r="J71" i="32"/>
  <c r="K71" i="32"/>
  <c r="L71" i="32"/>
  <c r="M71" i="32"/>
  <c r="N71" i="32"/>
  <c r="O71" i="32"/>
  <c r="AC8" i="34" l="1"/>
  <c r="AD8" i="34"/>
  <c r="AE8" i="34"/>
  <c r="AB8" i="34"/>
  <c r="AM2" i="34" l="1"/>
  <c r="D54" i="32" l="1"/>
  <c r="D93" i="32" s="1"/>
  <c r="E88" i="32" l="1"/>
  <c r="F88" i="32"/>
  <c r="G88" i="32"/>
  <c r="H88" i="32"/>
  <c r="I88" i="32"/>
  <c r="J88" i="32"/>
  <c r="K88" i="32"/>
  <c r="L88" i="32"/>
  <c r="M88" i="32"/>
  <c r="N88" i="32"/>
  <c r="O88" i="32"/>
  <c r="D88" i="32"/>
  <c r="D87" i="32"/>
  <c r="E86" i="32"/>
  <c r="F86" i="32"/>
  <c r="G86" i="32"/>
  <c r="H86" i="32"/>
  <c r="I86" i="32"/>
  <c r="J86" i="32"/>
  <c r="K86" i="32"/>
  <c r="L86" i="32"/>
  <c r="M86" i="32"/>
  <c r="N86" i="32"/>
  <c r="O86" i="32"/>
  <c r="D86" i="32"/>
  <c r="D85" i="32"/>
  <c r="D84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K82" i="32" l="1"/>
  <c r="K81" i="32"/>
  <c r="M81" i="32"/>
  <c r="M82" i="32"/>
  <c r="G82" i="32"/>
  <c r="G81" i="32"/>
  <c r="O82" i="32"/>
  <c r="O81" i="32"/>
  <c r="H82" i="32"/>
  <c r="H81" i="32"/>
  <c r="L82" i="32"/>
  <c r="L81" i="32"/>
  <c r="E81" i="32"/>
  <c r="E82" i="32"/>
  <c r="I82" i="32"/>
  <c r="I81" i="32"/>
  <c r="F81" i="32"/>
  <c r="F82" i="32"/>
  <c r="J81" i="32"/>
  <c r="J82" i="32"/>
  <c r="N81" i="32"/>
  <c r="N82" i="32"/>
  <c r="D82" i="32"/>
  <c r="D81" i="32"/>
  <c r="AB2" i="34"/>
  <c r="AC2" i="34"/>
  <c r="AD2" i="34"/>
  <c r="AE2" i="34"/>
  <c r="AF2" i="34"/>
  <c r="AG2" i="34"/>
  <c r="AH2" i="34"/>
  <c r="AI2" i="34"/>
  <c r="AJ2" i="34"/>
  <c r="AK2" i="34"/>
  <c r="AL2" i="34"/>
  <c r="AA2" i="34"/>
  <c r="Q81" i="32" l="1"/>
  <c r="Q80" i="32" l="1"/>
  <c r="Q79" i="32"/>
  <c r="Q78" i="32"/>
  <c r="E87" i="32"/>
  <c r="F87" i="32"/>
  <c r="G87" i="32"/>
  <c r="H87" i="32"/>
  <c r="I87" i="32"/>
  <c r="J87" i="32"/>
  <c r="K87" i="32"/>
  <c r="L87" i="32"/>
  <c r="M87" i="32"/>
  <c r="N87" i="32"/>
  <c r="O87" i="32"/>
  <c r="E54" i="32" l="1"/>
  <c r="E93" i="32" s="1"/>
  <c r="F54" i="32"/>
  <c r="F93" i="32" s="1"/>
  <c r="G54" i="32"/>
  <c r="G93" i="32" s="1"/>
  <c r="H54" i="32"/>
  <c r="H93" i="32" s="1"/>
  <c r="I54" i="32"/>
  <c r="I93" i="32" s="1"/>
  <c r="J54" i="32"/>
  <c r="J93" i="32" s="1"/>
  <c r="K54" i="32"/>
  <c r="K93" i="32" s="1"/>
  <c r="L54" i="32"/>
  <c r="L93" i="32" s="1"/>
  <c r="M54" i="32"/>
  <c r="M93" i="32" s="1"/>
  <c r="N54" i="32"/>
  <c r="N93" i="32" s="1"/>
  <c r="D71" i="32"/>
  <c r="D75" i="32"/>
  <c r="E75" i="32"/>
  <c r="F75" i="32"/>
  <c r="G75" i="32"/>
  <c r="H75" i="32"/>
  <c r="I75" i="32"/>
  <c r="J75" i="32"/>
  <c r="K75" i="32"/>
  <c r="L75" i="32"/>
  <c r="M75" i="32"/>
  <c r="N75" i="32"/>
  <c r="D76" i="32"/>
  <c r="E76" i="32"/>
  <c r="F76" i="32"/>
  <c r="G76" i="32"/>
  <c r="H76" i="32"/>
  <c r="I76" i="32"/>
  <c r="J76" i="32"/>
  <c r="K76" i="32"/>
  <c r="L76" i="32"/>
  <c r="M76" i="32"/>
  <c r="N76" i="32"/>
  <c r="Y10" i="34" l="1"/>
  <c r="S8" i="34"/>
  <c r="R8" i="34"/>
  <c r="Q8" i="34"/>
  <c r="P8" i="34"/>
  <c r="Z2" i="34"/>
  <c r="Y2" i="34"/>
  <c r="X2" i="34"/>
  <c r="W2" i="34"/>
  <c r="V2" i="34"/>
  <c r="U2" i="34"/>
  <c r="T2" i="34"/>
  <c r="O2" i="34"/>
  <c r="N2" i="34"/>
  <c r="M2" i="34"/>
  <c r="L2" i="34"/>
  <c r="F2" i="34"/>
  <c r="E2" i="34"/>
  <c r="E83" i="32" l="1"/>
  <c r="F83" i="32"/>
  <c r="G83" i="32"/>
  <c r="H83" i="32"/>
  <c r="I83" i="32"/>
  <c r="J83" i="32"/>
  <c r="K83" i="32"/>
  <c r="L83" i="32"/>
  <c r="M83" i="32"/>
  <c r="N83" i="32"/>
  <c r="O83" i="32"/>
  <c r="O54" i="32"/>
  <c r="O93" i="32" s="1"/>
  <c r="D83" i="32" l="1"/>
  <c r="O76" i="32"/>
  <c r="O75" i="32"/>
  <c r="O22" i="32"/>
  <c r="N22" i="32"/>
  <c r="M22" i="32"/>
  <c r="L22" i="32"/>
  <c r="K22" i="32"/>
  <c r="J22" i="32"/>
  <c r="I22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H22" i="32"/>
  <c r="G22" i="32"/>
  <c r="F22" i="32"/>
  <c r="E22" i="32"/>
  <c r="O3" i="32"/>
  <c r="N3" i="32"/>
  <c r="N26" i="32" s="1"/>
  <c r="M3" i="32"/>
  <c r="M26" i="32" s="1"/>
  <c r="L3" i="32"/>
  <c r="L26" i="32" s="1"/>
  <c r="K3" i="32"/>
  <c r="K26" i="32" s="1"/>
  <c r="J3" i="32"/>
  <c r="J26" i="32" s="1"/>
  <c r="I3" i="32"/>
  <c r="H3" i="32"/>
  <c r="G3" i="32"/>
  <c r="F3" i="32"/>
  <c r="E3" i="32"/>
  <c r="D3" i="32"/>
  <c r="O2" i="32"/>
  <c r="O27" i="32" s="1"/>
  <c r="N2" i="32"/>
  <c r="N27" i="32" s="1"/>
  <c r="M2" i="32"/>
  <c r="M27" i="32" s="1"/>
  <c r="L2" i="32"/>
  <c r="L27" i="32" s="1"/>
  <c r="K2" i="32"/>
  <c r="K27" i="32" s="1"/>
  <c r="J2" i="32"/>
  <c r="J27" i="32" s="1"/>
  <c r="I2" i="32"/>
  <c r="H2" i="32"/>
  <c r="H27" i="32" s="1"/>
  <c r="G2" i="32"/>
  <c r="F2" i="32"/>
  <c r="E2" i="32"/>
  <c r="D2" i="32"/>
  <c r="D27" i="32" s="1"/>
  <c r="O1" i="32"/>
  <c r="O7" i="32" s="1"/>
  <c r="N1" i="32"/>
  <c r="N24" i="32" s="1"/>
  <c r="M1" i="32"/>
  <c r="M97" i="32" s="1"/>
  <c r="L1" i="32"/>
  <c r="L97" i="32" s="1"/>
  <c r="K1" i="32"/>
  <c r="K7" i="32" s="1"/>
  <c r="J1" i="32"/>
  <c r="J24" i="32" s="1"/>
  <c r="I1" i="32"/>
  <c r="I97" i="32" s="1"/>
  <c r="H1" i="32"/>
  <c r="H97" i="32" s="1"/>
  <c r="G1" i="32"/>
  <c r="G7" i="32" s="1"/>
  <c r="F1" i="32"/>
  <c r="F24" i="32" s="1"/>
  <c r="E1" i="32"/>
  <c r="E97" i="32" s="1"/>
  <c r="D1" i="32"/>
  <c r="D97" i="32" s="1"/>
  <c r="O26" i="32" l="1"/>
  <c r="O80" i="32" s="1"/>
  <c r="K80" i="32"/>
  <c r="N80" i="32"/>
  <c r="L80" i="32"/>
  <c r="M80" i="32"/>
  <c r="P31" i="32"/>
  <c r="J80" i="32"/>
  <c r="E27" i="32"/>
  <c r="F27" i="32"/>
  <c r="I27" i="32"/>
  <c r="G27" i="32"/>
  <c r="K4" i="32"/>
  <c r="L4" i="32"/>
  <c r="D4" i="32"/>
  <c r="M4" i="32"/>
  <c r="E4" i="32"/>
  <c r="H4" i="32"/>
  <c r="I4" i="32"/>
  <c r="G4" i="32"/>
  <c r="O4" i="32"/>
  <c r="F26" i="32"/>
  <c r="F80" i="32" s="1"/>
  <c r="G26" i="32"/>
  <c r="D26" i="32"/>
  <c r="D80" i="32" s="1"/>
  <c r="E26" i="32"/>
  <c r="I26" i="32"/>
  <c r="H26" i="32"/>
  <c r="H80" i="32" s="1"/>
  <c r="F4" i="32"/>
  <c r="J4" i="32"/>
  <c r="N4" i="32"/>
  <c r="D7" i="32"/>
  <c r="H7" i="32"/>
  <c r="L7" i="32"/>
  <c r="F18" i="32"/>
  <c r="J18" i="32"/>
  <c r="N18" i="32"/>
  <c r="F21" i="32"/>
  <c r="J21" i="32"/>
  <c r="N21" i="32"/>
  <c r="G24" i="32"/>
  <c r="K24" i="32"/>
  <c r="O24" i="32"/>
  <c r="F92" i="32"/>
  <c r="J92" i="32"/>
  <c r="N92" i="32"/>
  <c r="F97" i="32"/>
  <c r="J97" i="32"/>
  <c r="N97" i="32"/>
  <c r="E7" i="32"/>
  <c r="I7" i="32"/>
  <c r="M7" i="32"/>
  <c r="G18" i="32"/>
  <c r="K18" i="32"/>
  <c r="O18" i="32"/>
  <c r="G21" i="32"/>
  <c r="K21" i="32"/>
  <c r="O21" i="32"/>
  <c r="D24" i="32"/>
  <c r="H24" i="32"/>
  <c r="L24" i="32"/>
  <c r="G92" i="32"/>
  <c r="K92" i="32"/>
  <c r="O92" i="32"/>
  <c r="G97" i="32"/>
  <c r="K97" i="32"/>
  <c r="O97" i="32"/>
  <c r="F7" i="32"/>
  <c r="J7" i="32"/>
  <c r="N7" i="32"/>
  <c r="D18" i="32"/>
  <c r="H18" i="32"/>
  <c r="L18" i="32"/>
  <c r="D21" i="32"/>
  <c r="H21" i="32"/>
  <c r="L21" i="32"/>
  <c r="E24" i="32"/>
  <c r="I24" i="32"/>
  <c r="M24" i="32"/>
  <c r="D92" i="32"/>
  <c r="H92" i="32"/>
  <c r="L92" i="32"/>
  <c r="E18" i="32"/>
  <c r="I18" i="32"/>
  <c r="M18" i="32"/>
  <c r="E21" i="32"/>
  <c r="I21" i="32"/>
  <c r="M21" i="32"/>
  <c r="E92" i="32"/>
  <c r="I92" i="32"/>
  <c r="M92" i="32"/>
  <c r="E80" i="32" l="1"/>
  <c r="I80" i="32"/>
  <c r="G80" i="32"/>
  <c r="N77" i="32"/>
  <c r="M77" i="32"/>
  <c r="I77" i="32"/>
  <c r="O77" i="32"/>
  <c r="J77" i="32"/>
  <c r="E77" i="32"/>
  <c r="K77" i="32"/>
  <c r="F77" i="32"/>
  <c r="H77" i="32"/>
  <c r="L77" i="32"/>
  <c r="G77" i="32"/>
  <c r="K23" i="32"/>
  <c r="J23" i="32"/>
  <c r="N23" i="32"/>
  <c r="F23" i="32"/>
  <c r="E23" i="32"/>
  <c r="D77" i="32"/>
  <c r="H23" i="32"/>
  <c r="O23" i="32"/>
  <c r="L23" i="32"/>
  <c r="D23" i="32"/>
  <c r="I23" i="32"/>
  <c r="G23" i="32"/>
  <c r="M23" i="32"/>
  <c r="L79" i="32" l="1"/>
  <c r="L94" i="32" s="1"/>
  <c r="O79" i="32"/>
  <c r="O94" i="32" s="1"/>
  <c r="F79" i="32"/>
  <c r="F108" i="32" s="1"/>
  <c r="E79" i="32"/>
  <c r="E94" i="32" s="1"/>
  <c r="M79" i="32"/>
  <c r="M94" i="32" s="1"/>
  <c r="G79" i="32"/>
  <c r="G94" i="32" s="1"/>
  <c r="H79" i="32"/>
  <c r="H94" i="32" s="1"/>
  <c r="K79" i="32"/>
  <c r="K94" i="32" s="1"/>
  <c r="J79" i="32"/>
  <c r="J94" i="32" s="1"/>
  <c r="I79" i="32"/>
  <c r="I94" i="32" s="1"/>
  <c r="N79" i="32"/>
  <c r="N94" i="32" s="1"/>
  <c r="F105" i="32"/>
  <c r="I105" i="32"/>
  <c r="H105" i="32"/>
  <c r="G105" i="32"/>
  <c r="N105" i="32"/>
  <c r="E105" i="32"/>
  <c r="M105" i="32"/>
  <c r="J105" i="32"/>
  <c r="D79" i="32"/>
  <c r="D108" i="32" s="1"/>
  <c r="D105" i="32"/>
  <c r="K105" i="32"/>
  <c r="O105" i="32"/>
  <c r="L105" i="32"/>
  <c r="F94" i="32" l="1"/>
  <c r="O108" i="32"/>
  <c r="D94" i="32"/>
  <c r="M108" i="32"/>
  <c r="N108" i="32"/>
  <c r="H108" i="32"/>
  <c r="L108" i="32"/>
  <c r="K108" i="32"/>
  <c r="J108" i="32"/>
  <c r="E108" i="32"/>
  <c r="G108" i="32"/>
  <c r="I108" i="32"/>
  <c r="J46" i="1" l="1"/>
  <c r="L35" i="1"/>
  <c r="K35" i="1"/>
  <c r="J35" i="1"/>
  <c r="I35" i="1"/>
  <c r="H35" i="1"/>
  <c r="G35" i="1"/>
  <c r="F35" i="1"/>
  <c r="E35" i="1"/>
  <c r="D35" i="1"/>
  <c r="C35" i="1"/>
  <c r="B35" i="1"/>
  <c r="M24" i="1"/>
  <c r="L24" i="1"/>
  <c r="K24" i="1"/>
  <c r="J24" i="1"/>
  <c r="I24" i="1"/>
  <c r="H24" i="1"/>
  <c r="G24" i="1"/>
  <c r="F24" i="1"/>
  <c r="E24" i="1"/>
  <c r="D24" i="1"/>
  <c r="C24" i="1"/>
  <c r="B24" i="1"/>
  <c r="B21" i="1"/>
  <c r="M16" i="1"/>
  <c r="L16" i="1"/>
  <c r="K16" i="1"/>
  <c r="J16" i="1"/>
  <c r="I16" i="1"/>
  <c r="H16" i="1"/>
  <c r="G16" i="1"/>
  <c r="G38" i="1" s="1"/>
  <c r="F16" i="1"/>
  <c r="F38" i="1" s="1"/>
  <c r="E16" i="1"/>
  <c r="E38" i="1" s="1"/>
  <c r="D16" i="1"/>
  <c r="D38" i="1" s="1"/>
  <c r="C16" i="1"/>
  <c r="C38" i="1" s="1"/>
  <c r="B16" i="1"/>
  <c r="B38" i="1" s="1"/>
  <c r="M15" i="1"/>
  <c r="M23" i="1" s="1"/>
  <c r="L15" i="1"/>
  <c r="L23" i="1" s="1"/>
  <c r="K15" i="1"/>
  <c r="K23" i="1" s="1"/>
  <c r="J15" i="1"/>
  <c r="J23" i="1" s="1"/>
  <c r="I15" i="1"/>
  <c r="I23" i="1" s="1"/>
  <c r="H15" i="1"/>
  <c r="H23" i="1" s="1"/>
  <c r="G15" i="1"/>
  <c r="G39" i="1" s="1"/>
  <c r="F15" i="1"/>
  <c r="F39" i="1" s="1"/>
  <c r="E15" i="1"/>
  <c r="E23" i="1" s="1"/>
  <c r="D15" i="1"/>
  <c r="D39" i="1" s="1"/>
  <c r="C15" i="1"/>
  <c r="C39" i="1" s="1"/>
  <c r="B15" i="1"/>
  <c r="B39" i="1" s="1"/>
  <c r="M14" i="1"/>
  <c r="M25" i="1" s="1"/>
  <c r="L14" i="1"/>
  <c r="L25" i="1" s="1"/>
  <c r="K14" i="1"/>
  <c r="K25" i="1" s="1"/>
  <c r="J14" i="1"/>
  <c r="J25" i="1" s="1"/>
  <c r="I14" i="1"/>
  <c r="I25" i="1" s="1"/>
  <c r="H14" i="1"/>
  <c r="H25" i="1" s="1"/>
  <c r="G14" i="1"/>
  <c r="G25" i="1" s="1"/>
  <c r="F14" i="1"/>
  <c r="F25" i="1" s="1"/>
  <c r="E14" i="1"/>
  <c r="E25" i="1" s="1"/>
  <c r="D14" i="1"/>
  <c r="D25" i="1" s="1"/>
  <c r="C14" i="1"/>
  <c r="C25" i="1" s="1"/>
  <c r="B14" i="1"/>
  <c r="M13" i="1"/>
  <c r="M22" i="1" s="1"/>
  <c r="L13" i="1"/>
  <c r="L22" i="1" s="1"/>
  <c r="K13" i="1"/>
  <c r="K22" i="1" s="1"/>
  <c r="J13" i="1"/>
  <c r="J22" i="1" s="1"/>
  <c r="I13" i="1"/>
  <c r="I22" i="1" s="1"/>
  <c r="H13" i="1"/>
  <c r="H22" i="1" s="1"/>
  <c r="G13" i="1"/>
  <c r="G37" i="1" s="1"/>
  <c r="F13" i="1"/>
  <c r="F37" i="1" s="1"/>
  <c r="E13" i="1"/>
  <c r="E37" i="1" s="1"/>
  <c r="D13" i="1"/>
  <c r="D37" i="1" s="1"/>
  <c r="C13" i="1"/>
  <c r="C37" i="1" s="1"/>
  <c r="B13" i="1"/>
  <c r="B22" i="1" s="1"/>
  <c r="M9" i="1"/>
  <c r="M20" i="1" s="1"/>
  <c r="L9" i="1"/>
  <c r="K9" i="1"/>
  <c r="J9" i="1"/>
  <c r="I9" i="1"/>
  <c r="H9" i="1"/>
  <c r="H20" i="1" s="1"/>
  <c r="G9" i="1"/>
  <c r="F9" i="1"/>
  <c r="F20" i="1" s="1"/>
  <c r="E9" i="1"/>
  <c r="E20" i="1" s="1"/>
  <c r="D9" i="1"/>
  <c r="C9" i="1"/>
  <c r="B9" i="1"/>
  <c r="L7" i="1"/>
  <c r="K7" i="1"/>
  <c r="J7" i="1"/>
  <c r="I7" i="1"/>
  <c r="H7" i="1"/>
  <c r="H18" i="1" s="1"/>
  <c r="G7" i="1"/>
  <c r="G18" i="1" s="1"/>
  <c r="F7" i="1"/>
  <c r="F18" i="1" s="1"/>
  <c r="E7" i="1"/>
  <c r="E18" i="1" s="1"/>
  <c r="D7" i="1"/>
  <c r="D18" i="1" s="1"/>
  <c r="C7" i="1"/>
  <c r="C18" i="1" s="1"/>
  <c r="B7" i="1"/>
  <c r="B18" i="1" s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F10" i="1" l="1"/>
  <c r="K10" i="1"/>
  <c r="G4" i="1"/>
  <c r="H4" i="1"/>
  <c r="I26" i="1"/>
  <c r="I4" i="1"/>
  <c r="B4" i="1"/>
  <c r="J4" i="1"/>
  <c r="M10" i="1"/>
  <c r="C4" i="1"/>
  <c r="K4" i="1"/>
  <c r="D4" i="1"/>
  <c r="L4" i="1"/>
  <c r="E10" i="1"/>
  <c r="M4" i="1"/>
  <c r="F23" i="1"/>
  <c r="F4" i="1"/>
  <c r="G10" i="1"/>
  <c r="H19" i="1"/>
  <c r="H10" i="1"/>
  <c r="H26" i="1"/>
  <c r="I10" i="1"/>
  <c r="G20" i="1"/>
  <c r="G19" i="1" s="1"/>
  <c r="B10" i="1"/>
  <c r="J10" i="1"/>
  <c r="J26" i="1"/>
  <c r="C10" i="1"/>
  <c r="D10" i="1"/>
  <c r="L10" i="1"/>
  <c r="M19" i="1"/>
  <c r="E39" i="1"/>
  <c r="E4" i="1"/>
  <c r="B25" i="1"/>
  <c r="K26" i="1"/>
  <c r="L26" i="1"/>
  <c r="E40" i="1"/>
  <c r="E19" i="1"/>
  <c r="M26" i="1"/>
  <c r="F40" i="1"/>
  <c r="F19" i="1"/>
  <c r="C22" i="1"/>
  <c r="G23" i="1"/>
  <c r="B37" i="1"/>
  <c r="I20" i="1"/>
  <c r="I19" i="1" s="1"/>
  <c r="D22" i="1"/>
  <c r="B20" i="1"/>
  <c r="J20" i="1"/>
  <c r="J19" i="1" s="1"/>
  <c r="E22" i="1"/>
  <c r="E26" i="1" s="1"/>
  <c r="C20" i="1"/>
  <c r="K20" i="1"/>
  <c r="K19" i="1" s="1"/>
  <c r="F22" i="1"/>
  <c r="B23" i="1"/>
  <c r="L20" i="1"/>
  <c r="L19" i="1" s="1"/>
  <c r="G22" i="1"/>
  <c r="C23" i="1"/>
  <c r="D23" i="1"/>
  <c r="F26" i="1" l="1"/>
  <c r="F27" i="1" s="1"/>
  <c r="I27" i="1"/>
  <c r="M27" i="1"/>
  <c r="K27" i="1"/>
  <c r="G40" i="1"/>
  <c r="H27" i="1"/>
  <c r="C26" i="1"/>
  <c r="J27" i="1"/>
  <c r="B26" i="1"/>
  <c r="E27" i="1"/>
  <c r="E36" i="1"/>
  <c r="E41" i="1" s="1"/>
  <c r="C40" i="1"/>
  <c r="C19" i="1"/>
  <c r="G26" i="1"/>
  <c r="G36" i="1" s="1"/>
  <c r="B19" i="1"/>
  <c r="D20" i="1"/>
  <c r="B40" i="1"/>
  <c r="L27" i="1"/>
  <c r="D26" i="1"/>
  <c r="F36" i="1" l="1"/>
  <c r="F41" i="1" s="1"/>
  <c r="G41" i="1"/>
  <c r="C27" i="1"/>
  <c r="C36" i="1"/>
  <c r="C41" i="1" s="1"/>
  <c r="B27" i="1"/>
  <c r="B36" i="1"/>
  <c r="B41" i="1" s="1"/>
  <c r="G27" i="1"/>
  <c r="D40" i="1"/>
  <c r="D19" i="1"/>
  <c r="D27" i="1" l="1"/>
  <c r="D36" i="1"/>
  <c r="D41" i="1" s="1"/>
</calcChain>
</file>

<file path=xl/comments1.xml><?xml version="1.0" encoding="utf-8"?>
<comments xmlns="http://schemas.openxmlformats.org/spreadsheetml/2006/main">
  <authors>
    <author>Quantumuser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rev0 = 5.4
rev1 = 3.96
</t>
        </r>
      </text>
    </comment>
  </commentList>
</comments>
</file>

<file path=xl/sharedStrings.xml><?xml version="1.0" encoding="utf-8"?>
<sst xmlns="http://schemas.openxmlformats.org/spreadsheetml/2006/main" count="579" uniqueCount="160">
  <si>
    <t>Demand (KT)</t>
  </si>
  <si>
    <t>AS of 14/11/61</t>
  </si>
  <si>
    <t>ทางรถ</t>
  </si>
  <si>
    <r>
      <t>แผนการรับ</t>
    </r>
    <r>
      <rPr>
        <b/>
        <u/>
        <sz val="9"/>
        <color rgb="FF000000"/>
        <rFont val="Tahoma"/>
        <family val="2"/>
      </rPr>
      <t xml:space="preserve"> LPG </t>
    </r>
    <r>
      <rPr>
        <b/>
        <u/>
        <sz val="9"/>
        <color rgb="FF000000"/>
        <rFont val="Browallia New"/>
        <family val="2"/>
      </rPr>
      <t>จาก</t>
    </r>
    <r>
      <rPr>
        <b/>
        <u/>
        <sz val="9"/>
        <color rgb="FF000000"/>
        <rFont val="Tahoma"/>
        <family val="2"/>
      </rPr>
      <t xml:space="preserve"> </t>
    </r>
    <r>
      <rPr>
        <b/>
        <u/>
        <sz val="9"/>
        <color rgb="FF000000"/>
        <rFont val="Browallia New"/>
        <family val="2"/>
      </rPr>
      <t>ปตท</t>
    </r>
    <r>
      <rPr>
        <b/>
        <u/>
        <sz val="9"/>
        <color rgb="FF000000"/>
        <rFont val="Tahoma"/>
        <family val="2"/>
      </rPr>
      <t>.</t>
    </r>
  </si>
  <si>
    <t>หน่วย : กก.</t>
  </si>
  <si>
    <t>ทางเรือ</t>
  </si>
  <si>
    <t>เดือน</t>
  </si>
  <si>
    <t>ทางบก</t>
  </si>
  <si>
    <t>รวม</t>
  </si>
  <si>
    <t>Total (KT)</t>
  </si>
  <si>
    <r>
      <t>(M</t>
    </r>
    <r>
      <rPr>
        <b/>
        <vertAlign val="subscript"/>
        <sz val="9"/>
        <color rgb="FF000000"/>
        <rFont val="Tahoma"/>
        <family val="2"/>
      </rPr>
      <t>1-12</t>
    </r>
    <r>
      <rPr>
        <b/>
        <sz val="9"/>
        <color rgb="FF000000"/>
        <rFont val="Tahoma"/>
        <family val="2"/>
      </rPr>
      <t>)</t>
    </r>
  </si>
  <si>
    <t>คก.บป. + ปตท.สผ.</t>
  </si>
  <si>
    <t>PTT Tank</t>
  </si>
  <si>
    <t>คก.ขบ. + GSP#4 + PTT Tank + Refinery</t>
  </si>
  <si>
    <t>(บก+เรือ)</t>
  </si>
  <si>
    <t>PTTEP</t>
  </si>
  <si>
    <t xml:space="preserve">BRP </t>
  </si>
  <si>
    <t>GSP4</t>
  </si>
  <si>
    <t>PTTTANK - PTTGC Vol.</t>
  </si>
  <si>
    <t xml:space="preserve">SPRC </t>
  </si>
  <si>
    <t>PTTGC's Jetty</t>
  </si>
  <si>
    <t>Supply Allocation (KT)</t>
  </si>
  <si>
    <t>BRP</t>
  </si>
  <si>
    <t>PTTTANK ทางรถ</t>
  </si>
  <si>
    <t>KHM</t>
  </si>
  <si>
    <t>SPRC</t>
  </si>
  <si>
    <t>LPG from PTTGC's jetty</t>
  </si>
  <si>
    <t>LPG from PTTGC @PTTTANK</t>
  </si>
  <si>
    <t>MT</t>
  </si>
  <si>
    <t>หมายเหตุ:</t>
  </si>
  <si>
    <t xml:space="preserve">1. ปริมาณ Demand ของ PTTOR ข้างต้นไม่รวมปริมาณ Import ที่ ขตธ. ใช้ส่งออก และปริมาณ Propane </t>
  </si>
  <si>
    <t xml:space="preserve">2. ปริมาณจาก PTTGC ออกที่ PTTTANK สมมติฐานให้ PTTOR รับทั้งหมดก่อน </t>
  </si>
  <si>
    <t>Suply (KT)</t>
  </si>
  <si>
    <t>LPG from GSP RY (KT)</t>
  </si>
  <si>
    <t>LPG from GSP KHM (KT)</t>
  </si>
  <si>
    <t>LPG from PTTGC (KT)</t>
  </si>
  <si>
    <t>LPG from SPRC (KT)</t>
  </si>
  <si>
    <t>LPG from PTTEP (KT)</t>
  </si>
  <si>
    <t xml:space="preserve">       69.86 </t>
  </si>
  <si>
    <t xml:space="preserve">       69.11 </t>
  </si>
  <si>
    <t xml:space="preserve">       64.38 </t>
  </si>
  <si>
    <t xml:space="preserve">       68.81 </t>
  </si>
  <si>
    <t xml:space="preserve">       62.60 </t>
  </si>
  <si>
    <t>(+0.5 KT)</t>
  </si>
  <si>
    <t xml:space="preserve">         6.20 </t>
  </si>
  <si>
    <t xml:space="preserve">         6.50 </t>
  </si>
  <si>
    <t xml:space="preserve">             -   </t>
  </si>
  <si>
    <t xml:space="preserve">       17.30 </t>
  </si>
  <si>
    <t xml:space="preserve">       16.46 </t>
  </si>
  <si>
    <t xml:space="preserve">       14.87 </t>
  </si>
  <si>
    <t xml:space="preserve">       15.93 </t>
  </si>
  <si>
    <t xml:space="preserve">         6.00 </t>
  </si>
  <si>
    <t xml:space="preserve">                 -   </t>
  </si>
  <si>
    <t xml:space="preserve">       24.00 </t>
  </si>
  <si>
    <t xml:space="preserve">       21.00 </t>
  </si>
  <si>
    <t xml:space="preserve">       17.00 </t>
  </si>
  <si>
    <t xml:space="preserve">       19.00 </t>
  </si>
  <si>
    <t xml:space="preserve">       57.74 </t>
  </si>
  <si>
    <t xml:space="preserve">       61.57 </t>
  </si>
  <si>
    <t xml:space="preserve">       60.23 </t>
  </si>
  <si>
    <t xml:space="preserve">       63.18 </t>
  </si>
  <si>
    <t xml:space="preserve">       55.99 </t>
  </si>
  <si>
    <t>(+8KT)</t>
  </si>
  <si>
    <t xml:space="preserve">          180.50 </t>
  </si>
  <si>
    <t xml:space="preserve">     181.10 </t>
  </si>
  <si>
    <t xml:space="preserve">     180.34 </t>
  </si>
  <si>
    <t xml:space="preserve">     168.98 </t>
  </si>
  <si>
    <t xml:space="preserve">     179.95 </t>
  </si>
  <si>
    <t xml:space="preserve">     166.02 </t>
  </si>
  <si>
    <t>GSP KHM</t>
  </si>
  <si>
    <t>Check balance Demand PTTOR (KT)</t>
  </si>
  <si>
    <t>PTTOR Total Demand (KT)</t>
  </si>
  <si>
    <t>Check balance Demand GC (KT)</t>
  </si>
  <si>
    <t>PTTEP/LKB</t>
  </si>
  <si>
    <t>Propane</t>
  </si>
  <si>
    <t>Import for Export</t>
  </si>
  <si>
    <t>GC</t>
  </si>
  <si>
    <t>PTTOR</t>
  </si>
  <si>
    <t>SGP</t>
  </si>
  <si>
    <t>UGP</t>
  </si>
  <si>
    <t>IRPC</t>
  </si>
  <si>
    <t>ESSO</t>
  </si>
  <si>
    <t>BCP</t>
  </si>
  <si>
    <t>PTT TANK</t>
  </si>
  <si>
    <t>WP</t>
  </si>
  <si>
    <t>PAP</t>
  </si>
  <si>
    <t>Import</t>
  </si>
  <si>
    <t>IRPC (Dom Only)</t>
  </si>
  <si>
    <t>GSP RY</t>
  </si>
  <si>
    <t>PTTOR (C3)</t>
  </si>
  <si>
    <t>Source</t>
  </si>
  <si>
    <t>Demand</t>
  </si>
  <si>
    <t>Delivery Point</t>
  </si>
  <si>
    <t>Big gas</t>
  </si>
  <si>
    <t>UNO</t>
  </si>
  <si>
    <t>PTT TANK (Truck)</t>
  </si>
  <si>
    <t>PTTEP (LKB)</t>
  </si>
  <si>
    <t>PTTEP/LKB (Truck)</t>
  </si>
  <si>
    <t>สีน้ำแดง ยังไม่ confirm</t>
  </si>
  <si>
    <t>Checking</t>
  </si>
  <si>
    <t>แผนการรับ LPG จาก ปตท.</t>
  </si>
  <si>
    <r>
      <t>(M</t>
    </r>
    <r>
      <rPr>
        <b/>
        <vertAlign val="subscript"/>
        <sz val="9"/>
        <color rgb="FF000000"/>
        <rFont val="Calibri Light"/>
        <family val="2"/>
        <scheme val="major"/>
      </rPr>
      <t>1-12</t>
    </r>
    <r>
      <rPr>
        <b/>
        <sz val="9"/>
        <color rgb="FF000000"/>
        <rFont val="Calibri Light"/>
        <family val="2"/>
        <scheme val="major"/>
      </rPr>
      <t>)</t>
    </r>
  </si>
  <si>
    <t>GSP RY (Truck)</t>
  </si>
  <si>
    <t>Demand (PTTOR + Other M.7) @MT+BRP</t>
  </si>
  <si>
    <t>PTTOR (Spot Odorless LPG)</t>
  </si>
  <si>
    <t>Orchid</t>
  </si>
  <si>
    <t>BRP (Truck)</t>
  </si>
  <si>
    <t>MT (Vessel)</t>
  </si>
  <si>
    <t xml:space="preserve">LPG Re-export </t>
  </si>
  <si>
    <t>TBU</t>
  </si>
  <si>
    <t>Rev0</t>
  </si>
  <si>
    <t>Total</t>
  </si>
  <si>
    <t>LPG Availability (KT)</t>
  </si>
  <si>
    <t>** IRPC ยังอยู่ระหว่างรอการ Confirm ซื้อ-ขาย จะแจ้งผู้เกี่ยวข้องให้ทราบหากมีการยืนยันรับต่อไป</t>
  </si>
  <si>
    <t>* ราคาอยู่ระหว่างเจรจา</t>
  </si>
  <si>
    <r>
      <t xml:space="preserve">หมายเหตุ </t>
    </r>
    <r>
      <rPr>
        <sz val="9"/>
        <rFont val="Tahoma"/>
        <family val="2"/>
      </rPr>
      <t xml:space="preserve">: </t>
    </r>
  </si>
  <si>
    <t>Demand (PTTOR + Other M.7) @PTT TANK</t>
  </si>
  <si>
    <t>PTTOR*</t>
  </si>
  <si>
    <t xml:space="preserve">PTTOR </t>
  </si>
  <si>
    <t>Total Domestic (KT)</t>
  </si>
  <si>
    <t>Other M.7 Total Demand (KT)</t>
  </si>
  <si>
    <t>SGP+UGP Total Demand @MT (KT)</t>
  </si>
  <si>
    <t>PAP Total Demand (KT)</t>
  </si>
  <si>
    <t>WP Total Demand (KT)</t>
  </si>
  <si>
    <t>เดือนที่ไม่มี GC supply เช่น ธ.ค. 63 เป็นต้นไป : PTTOR @PTT TANK min 14 KT</t>
  </si>
  <si>
    <t>Chevron</t>
  </si>
  <si>
    <t>Chevron Total Demand (KT)</t>
  </si>
  <si>
    <t>Updated on</t>
  </si>
  <si>
    <t>Atlas</t>
  </si>
  <si>
    <t>BCP Total Demand (KT)</t>
  </si>
  <si>
    <t>Big Gas Total Demand (KT)</t>
  </si>
  <si>
    <t>Atlas Total Demand (KT)</t>
  </si>
  <si>
    <t>Ton/day</t>
  </si>
  <si>
    <t>Vessel @ PTT TANK</t>
  </si>
  <si>
    <t>Ton/month</t>
  </si>
  <si>
    <t>Demand (PTTOR + Other M.7) @PTT TANK (Truck)</t>
  </si>
  <si>
    <t>Truck @ PTT TANK</t>
  </si>
  <si>
    <t>KT/month</t>
  </si>
  <si>
    <t>Case</t>
  </si>
  <si>
    <t>Case1</t>
  </si>
  <si>
    <t>Case2</t>
  </si>
  <si>
    <t>Case3</t>
  </si>
  <si>
    <t>Detail</t>
  </si>
  <si>
    <t xml:space="preserve">Most likely case </t>
  </si>
  <si>
    <t>หากลูกค้ารับได้ตาม Evenly volume</t>
  </si>
  <si>
    <t>หากลูกค้ารับตาม Evenly volume และเรือไม่ดีเลย์/ Ideal case</t>
  </si>
  <si>
    <t>28 วัน</t>
  </si>
  <si>
    <t>30 KT</t>
  </si>
  <si>
    <t>33 KT</t>
  </si>
  <si>
    <t>39 KT</t>
  </si>
  <si>
    <t>30 วัน</t>
  </si>
  <si>
    <t>32 KT</t>
  </si>
  <si>
    <t>35 KT</t>
  </si>
  <si>
    <t>42 KT</t>
  </si>
  <si>
    <t>31 วัน</t>
  </si>
  <si>
    <t>36 KT</t>
  </si>
  <si>
    <t>43 KT</t>
  </si>
  <si>
    <t>All Import</t>
  </si>
  <si>
    <t>Rev1</t>
  </si>
  <si>
    <t>AS of 14/5/64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</si>
</sst>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-* #,##0.0000_-;\-* #,##0.0000_-;_-* &quot;-&quot;??_-;_-@_-"/>
    <numFmt numFmtId="166" formatCode="_-* #,##0.000_-;\-* #,##0.000_-;_-* &quot;-&quot;??_-;_-@_-"/>
    <numFmt numFmtId="167" formatCode="0.0"/>
    <numFmt numFmtId="168" formatCode="B1d\-mmm\-yy"/>
    <numFmt numFmtId="169" formatCode="_(* #,##0_);_(* \(#,##0\);_(* &quot;-&quot;??_);_(@_)"/>
  </numFmts>
  <fonts count="49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4"/>
      <color theme="1"/>
      <name val="Cordia New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u/>
      <sz val="9"/>
      <color rgb="FF000000"/>
      <name val="Browallia New"/>
      <family val="2"/>
    </font>
    <font>
      <b/>
      <u/>
      <sz val="9"/>
      <color rgb="FF000000"/>
      <name val="Tahoma"/>
      <family val="2"/>
    </font>
    <font>
      <sz val="10"/>
      <name val="Times New Roman"/>
      <family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b/>
      <vertAlign val="subscript"/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4"/>
      <name val="Cordia New"/>
      <family val="2"/>
    </font>
    <font>
      <b/>
      <sz val="14"/>
      <color rgb="FFFF0000"/>
      <name val="Cordia New"/>
      <family val="2"/>
    </font>
    <font>
      <sz val="14"/>
      <color rgb="FFFF0000"/>
      <name val="Cordia New"/>
      <family val="2"/>
    </font>
    <font>
      <sz val="14"/>
      <color theme="1"/>
      <name val="Cordia New"/>
      <family val="2"/>
    </font>
    <font>
      <b/>
      <sz val="14"/>
      <name val="Cordia New"/>
      <family val="2"/>
    </font>
    <font>
      <sz val="14"/>
      <name val="AngsanaUPC"/>
      <family val="1"/>
      <charset val="222"/>
    </font>
    <font>
      <b/>
      <u/>
      <sz val="9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b/>
      <sz val="9"/>
      <color rgb="FFFFFFFF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rgb="FF0000FF"/>
      <name val="Calibri Light"/>
      <family val="2"/>
      <scheme val="major"/>
    </font>
    <font>
      <sz val="9"/>
      <color theme="5" tint="-0.249977111117893"/>
      <name val="Calibri Light"/>
      <family val="2"/>
      <scheme val="major"/>
    </font>
    <font>
      <sz val="9"/>
      <color rgb="FF7030A0"/>
      <name val="Calibri Light"/>
      <family val="2"/>
      <scheme val="major"/>
    </font>
    <font>
      <sz val="9"/>
      <color rgb="FF00B05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FF"/>
      <name val="Tahoma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sz val="9"/>
      <color rgb="FF0000FF"/>
      <name val="Tahoma"/>
      <family val="2"/>
    </font>
    <font>
      <sz val="9"/>
      <color rgb="FF00B050"/>
      <name val="Tahoma"/>
      <family val="2"/>
    </font>
    <font>
      <b/>
      <sz val="12"/>
      <color theme="1"/>
      <name val="Calibri Light"/>
      <family val="2"/>
      <scheme val="major"/>
    </font>
    <font>
      <sz val="9"/>
      <color rgb="FFC00000"/>
      <name val="Calibri Light"/>
      <family val="2"/>
      <scheme val="major"/>
    </font>
    <font>
      <b/>
      <sz val="8"/>
      <name val="Tahoma"/>
      <family val="2"/>
    </font>
    <font>
      <sz val="9"/>
      <color theme="1"/>
      <name val="Tahoma"/>
      <family val="2"/>
    </font>
    <font>
      <b/>
      <sz val="9"/>
      <color rgb="FF0000FF"/>
      <name val="Calibri Light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E599"/>
        <bgColor indexed="64"/>
      </patternFill>
    </fill>
  </fills>
  <borders count="30">
    <border>
      <left/>
      <right/>
      <top/>
      <bottom/>
      <diagonal/>
    </border>
    <border>
      <left style="medium">
        <color rgb="FFFFD966"/>
      </left>
      <right style="medium">
        <color rgb="FFFFD966"/>
      </right>
      <top/>
      <bottom style="medium">
        <color rgb="FFFFD966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rgb="FFFFD966"/>
      </left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C000"/>
      </bottom>
      <diagonal/>
    </border>
    <border>
      <left style="medium">
        <color rgb="FFFFD966"/>
      </left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 style="medium">
        <color rgb="FFFFD966"/>
      </right>
      <top style="medium">
        <color rgb="FFFFC000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4" fillId="0" borderId="1" xfId="1" applyFont="1" applyBorder="1" applyAlignment="1">
      <alignment horizontal="center" vertical="center"/>
    </xf>
    <xf numFmtId="17" fontId="5" fillId="2" borderId="2" xfId="1" applyNumberFormat="1" applyFont="1" applyFill="1" applyBorder="1" applyAlignment="1">
      <alignment horizontal="center" vertical="center"/>
    </xf>
    <xf numFmtId="0" fontId="2" fillId="0" borderId="0" xfId="1"/>
    <xf numFmtId="0" fontId="2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 vertical="center"/>
    </xf>
    <xf numFmtId="0" fontId="11" fillId="3" borderId="5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166" fontId="2" fillId="0" borderId="0" xfId="1" applyNumberFormat="1"/>
    <xf numFmtId="17" fontId="10" fillId="9" borderId="13" xfId="0" applyNumberFormat="1" applyFont="1" applyFill="1" applyBorder="1" applyAlignment="1">
      <alignment horizontal="center" vertical="center"/>
    </xf>
    <xf numFmtId="4" fontId="10" fillId="7" borderId="14" xfId="0" applyNumberFormat="1" applyFont="1" applyFill="1" applyBorder="1" applyAlignment="1">
      <alignment horizontal="center" vertical="center"/>
    </xf>
    <xf numFmtId="4" fontId="10" fillId="8" borderId="14" xfId="0" applyNumberFormat="1" applyFont="1" applyFill="1" applyBorder="1" applyAlignment="1">
      <alignment horizontal="center" vertical="center"/>
    </xf>
    <xf numFmtId="4" fontId="10" fillId="9" borderId="14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4" fillId="0" borderId="0" xfId="1" applyFont="1"/>
    <xf numFmtId="0" fontId="5" fillId="0" borderId="15" xfId="1" applyFont="1" applyBorder="1" applyAlignment="1">
      <alignment horizontal="center" vertical="center"/>
    </xf>
    <xf numFmtId="164" fontId="6" fillId="0" borderId="16" xfId="2" applyNumberFormat="1" applyFont="1" applyBorder="1" applyAlignment="1">
      <alignment horizontal="center" vertical="center"/>
    </xf>
    <xf numFmtId="164" fontId="15" fillId="0" borderId="16" xfId="2" applyNumberFormat="1" applyFont="1" applyBorder="1" applyAlignment="1">
      <alignment horizontal="center" vertical="center"/>
    </xf>
    <xf numFmtId="164" fontId="15" fillId="0" borderId="3" xfId="2" applyNumberFormat="1" applyFont="1" applyBorder="1" applyAlignment="1">
      <alignment horizontal="center" vertical="center"/>
    </xf>
    <xf numFmtId="164" fontId="15" fillId="0" borderId="3" xfId="2" applyNumberFormat="1" applyFont="1" applyFill="1" applyBorder="1" applyAlignment="1">
      <alignment horizontal="center" vertical="center"/>
    </xf>
    <xf numFmtId="17" fontId="10" fillId="9" borderId="10" xfId="0" applyNumberFormat="1" applyFont="1" applyFill="1" applyBorder="1" applyAlignment="1">
      <alignment horizontal="center" vertical="center"/>
    </xf>
    <xf numFmtId="4" fontId="10" fillId="7" borderId="12" xfId="0" applyNumberFormat="1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4" fontId="10" fillId="8" borderId="12" xfId="0" applyNumberFormat="1" applyFont="1" applyFill="1" applyBorder="1" applyAlignment="1">
      <alignment horizontal="center" vertical="center"/>
    </xf>
    <xf numFmtId="4" fontId="10" fillId="9" borderId="12" xfId="0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64" fontId="6" fillId="0" borderId="0" xfId="2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7" fontId="5" fillId="2" borderId="17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right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3" fillId="0" borderId="0" xfId="1" applyFont="1" applyFill="1"/>
    <xf numFmtId="0" fontId="2" fillId="0" borderId="0" xfId="1" applyFill="1"/>
    <xf numFmtId="0" fontId="2" fillId="11" borderId="0" xfId="1" applyFill="1"/>
    <xf numFmtId="164" fontId="6" fillId="6" borderId="3" xfId="2" applyFont="1" applyFill="1" applyBorder="1" applyAlignment="1">
      <alignment horizontal="center" vertical="center"/>
    </xf>
    <xf numFmtId="164" fontId="6" fillId="6" borderId="0" xfId="2" applyFont="1" applyFill="1" applyBorder="1" applyAlignment="1">
      <alignment horizontal="center" vertical="center"/>
    </xf>
    <xf numFmtId="164" fontId="6" fillId="0" borderId="3" xfId="2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164" fontId="18" fillId="6" borderId="3" xfId="2" applyFont="1" applyFill="1" applyBorder="1" applyAlignment="1">
      <alignment horizontal="center" vertical="center"/>
    </xf>
    <xf numFmtId="164" fontId="18" fillId="6" borderId="0" xfId="2" applyFont="1" applyFill="1" applyBorder="1" applyAlignment="1">
      <alignment horizontal="center" vertical="center"/>
    </xf>
    <xf numFmtId="164" fontId="18" fillId="0" borderId="3" xfId="2" applyFont="1" applyBorder="1" applyAlignment="1">
      <alignment horizontal="center" vertical="center"/>
    </xf>
    <xf numFmtId="164" fontId="18" fillId="0" borderId="0" xfId="2" applyFont="1" applyBorder="1" applyAlignment="1">
      <alignment horizontal="center" vertical="center"/>
    </xf>
    <xf numFmtId="0" fontId="2" fillId="12" borderId="0" xfId="1" applyFill="1"/>
    <xf numFmtId="4" fontId="2" fillId="12" borderId="0" xfId="1" applyNumberFormat="1" applyFill="1"/>
    <xf numFmtId="0" fontId="6" fillId="0" borderId="19" xfId="0" applyFont="1" applyBorder="1" applyAlignment="1">
      <alignment horizontal="center" vertical="center"/>
    </xf>
    <xf numFmtId="2" fontId="2" fillId="0" borderId="0" xfId="1" applyNumberFormat="1"/>
    <xf numFmtId="0" fontId="17" fillId="0" borderId="3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167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167" fontId="15" fillId="0" borderId="19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3" fillId="3" borderId="9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8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top"/>
    </xf>
    <xf numFmtId="164" fontId="23" fillId="6" borderId="1" xfId="3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vertical="center"/>
    </xf>
    <xf numFmtId="164" fontId="28" fillId="0" borderId="0" xfId="3" applyFont="1"/>
    <xf numFmtId="17" fontId="23" fillId="19" borderId="25" xfId="0" applyNumberFormat="1" applyFont="1" applyFill="1" applyBorder="1" applyAlignment="1">
      <alignment horizontal="center" vertical="center"/>
    </xf>
    <xf numFmtId="0" fontId="31" fillId="17" borderId="25" xfId="0" applyFont="1" applyFill="1" applyBorder="1" applyAlignment="1">
      <alignment horizontal="center" vertical="center"/>
    </xf>
    <xf numFmtId="0" fontId="28" fillId="16" borderId="25" xfId="0" applyFont="1" applyFill="1" applyBorder="1" applyAlignment="1">
      <alignment horizontal="center" vertical="center"/>
    </xf>
    <xf numFmtId="0" fontId="28" fillId="13" borderId="25" xfId="0" applyFont="1" applyFill="1" applyBorder="1" applyAlignment="1">
      <alignment horizontal="center" vertical="center"/>
    </xf>
    <xf numFmtId="164" fontId="29" fillId="0" borderId="25" xfId="3" applyFont="1" applyFill="1" applyBorder="1" applyAlignment="1">
      <alignment horizontal="center" vertical="center"/>
    </xf>
    <xf numFmtId="164" fontId="31" fillId="0" borderId="25" xfId="3" applyFont="1" applyFill="1" applyBorder="1" applyAlignment="1">
      <alignment horizontal="center" vertical="center"/>
    </xf>
    <xf numFmtId="0" fontId="28" fillId="14" borderId="25" xfId="0" applyFont="1" applyFill="1" applyBorder="1" applyAlignment="1">
      <alignment horizontal="center" vertical="center"/>
    </xf>
    <xf numFmtId="0" fontId="28" fillId="18" borderId="25" xfId="0" applyFont="1" applyFill="1" applyBorder="1" applyAlignment="1">
      <alignment horizontal="center" vertical="center"/>
    </xf>
    <xf numFmtId="0" fontId="28" fillId="17" borderId="25" xfId="0" applyFont="1" applyFill="1" applyBorder="1" applyAlignment="1">
      <alignment horizontal="center" vertical="center"/>
    </xf>
    <xf numFmtId="164" fontId="26" fillId="0" borderId="25" xfId="3" applyFont="1" applyFill="1" applyBorder="1" applyAlignment="1">
      <alignment horizontal="center" vertical="center"/>
    </xf>
    <xf numFmtId="0" fontId="32" fillId="17" borderId="25" xfId="0" applyFont="1" applyFill="1" applyBorder="1" applyAlignment="1">
      <alignment horizontal="center" vertical="center"/>
    </xf>
    <xf numFmtId="0" fontId="33" fillId="17" borderId="25" xfId="0" applyFont="1" applyFill="1" applyBorder="1" applyAlignment="1">
      <alignment horizontal="center" vertical="center"/>
    </xf>
    <xf numFmtId="0" fontId="26" fillId="17" borderId="25" xfId="0" applyFont="1" applyFill="1" applyBorder="1" applyAlignment="1">
      <alignment horizontal="center" vertical="center"/>
    </xf>
    <xf numFmtId="0" fontId="34" fillId="17" borderId="25" xfId="0" applyFont="1" applyFill="1" applyBorder="1" applyAlignment="1">
      <alignment horizontal="center" vertical="center"/>
    </xf>
    <xf numFmtId="0" fontId="29" fillId="17" borderId="25" xfId="0" applyFont="1" applyFill="1" applyBorder="1" applyAlignment="1">
      <alignment horizontal="center" vertical="center"/>
    </xf>
    <xf numFmtId="164" fontId="31" fillId="0" borderId="25" xfId="3" applyFont="1" applyFill="1" applyBorder="1" applyAlignment="1">
      <alignment horizontal="right" vertical="center"/>
    </xf>
    <xf numFmtId="0" fontId="34" fillId="0" borderId="25" xfId="0" applyFont="1" applyFill="1" applyBorder="1" applyAlignment="1">
      <alignment horizontal="center" vertical="center"/>
    </xf>
    <xf numFmtId="0" fontId="28" fillId="0" borderId="25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164" fontId="23" fillId="6" borderId="25" xfId="3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3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164" fontId="29" fillId="0" borderId="0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30" fillId="19" borderId="25" xfId="0" applyFont="1" applyFill="1" applyBorder="1" applyAlignment="1">
      <alignment horizontal="center" vertical="center"/>
    </xf>
    <xf numFmtId="164" fontId="28" fillId="0" borderId="25" xfId="3" applyFont="1" applyFill="1" applyBorder="1" applyAlignment="1">
      <alignment vertical="center"/>
    </xf>
    <xf numFmtId="164" fontId="28" fillId="0" borderId="25" xfId="3" applyFont="1" applyBorder="1" applyAlignment="1">
      <alignment vertical="center"/>
    </xf>
    <xf numFmtId="0" fontId="29" fillId="0" borderId="25" xfId="0" applyFont="1" applyBorder="1" applyAlignment="1">
      <alignment horizontal="center" vertical="center"/>
    </xf>
    <xf numFmtId="164" fontId="28" fillId="0" borderId="0" xfId="3" applyFont="1" applyAlignment="1">
      <alignment vertical="center"/>
    </xf>
    <xf numFmtId="0" fontId="27" fillId="0" borderId="1" xfId="4" applyFont="1" applyBorder="1" applyAlignment="1">
      <alignment horizontal="center" vertical="center"/>
    </xf>
    <xf numFmtId="17" fontId="23" fillId="2" borderId="2" xfId="4" applyNumberFormat="1" applyFont="1" applyFill="1" applyBorder="1" applyAlignment="1">
      <alignment horizontal="center" vertical="center"/>
    </xf>
    <xf numFmtId="0" fontId="28" fillId="0" borderId="0" xfId="4" applyFont="1"/>
    <xf numFmtId="0" fontId="28" fillId="0" borderId="0" xfId="4" applyFont="1" applyAlignment="1">
      <alignment horizontal="center"/>
    </xf>
    <xf numFmtId="0" fontId="23" fillId="0" borderId="1" xfId="4" applyFont="1" applyBorder="1" applyAlignment="1">
      <alignment horizontal="center" vertical="center"/>
    </xf>
    <xf numFmtId="0" fontId="28" fillId="15" borderId="24" xfId="4" applyFont="1" applyFill="1" applyBorder="1"/>
    <xf numFmtId="0" fontId="28" fillId="15" borderId="9" xfId="4" applyFont="1" applyFill="1" applyBorder="1"/>
    <xf numFmtId="0" fontId="23" fillId="6" borderId="1" xfId="4" applyFont="1" applyFill="1" applyBorder="1" applyAlignment="1">
      <alignment horizontal="center" vertical="center"/>
    </xf>
    <xf numFmtId="166" fontId="28" fillId="0" borderId="0" xfId="4" applyNumberFormat="1" applyFont="1"/>
    <xf numFmtId="0" fontId="27" fillId="0" borderId="0" xfId="4" applyFont="1"/>
    <xf numFmtId="0" fontId="23" fillId="0" borderId="15" xfId="4" applyFont="1" applyBorder="1" applyAlignment="1">
      <alignment horizontal="center" vertical="center"/>
    </xf>
    <xf numFmtId="164" fontId="26" fillId="0" borderId="16" xfId="5" applyNumberFormat="1" applyFont="1" applyBorder="1" applyAlignment="1">
      <alignment horizontal="center" vertical="center"/>
    </xf>
    <xf numFmtId="164" fontId="26" fillId="0" borderId="3" xfId="5" applyNumberFormat="1" applyFont="1" applyBorder="1" applyAlignment="1">
      <alignment horizontal="center" vertical="center"/>
    </xf>
    <xf numFmtId="164" fontId="26" fillId="0" borderId="3" xfId="5" applyNumberFormat="1" applyFont="1" applyFill="1" applyBorder="1" applyAlignment="1">
      <alignment horizontal="center" vertical="center"/>
    </xf>
    <xf numFmtId="0" fontId="23" fillId="0" borderId="0" xfId="4" applyFont="1" applyBorder="1" applyAlignment="1">
      <alignment horizontal="center" vertical="center"/>
    </xf>
    <xf numFmtId="164" fontId="26" fillId="0" borderId="0" xfId="5" applyNumberFormat="1" applyFont="1" applyFill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31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4" fontId="28" fillId="0" borderId="0" xfId="4" applyNumberFormat="1" applyFont="1" applyAlignment="1">
      <alignment vertical="center"/>
    </xf>
    <xf numFmtId="0" fontId="28" fillId="0" borderId="0" xfId="4" applyFont="1" applyFill="1" applyAlignment="1">
      <alignment vertical="center"/>
    </xf>
    <xf numFmtId="0" fontId="28" fillId="0" borderId="0" xfId="4" applyFont="1" applyFill="1" applyBorder="1" applyAlignment="1">
      <alignment vertical="center"/>
    </xf>
    <xf numFmtId="0" fontId="38" fillId="0" borderId="0" xfId="0" applyFont="1" applyAlignment="1">
      <alignment horizontal="left" vertical="center" indent="5"/>
    </xf>
    <xf numFmtId="0" fontId="40" fillId="0" borderId="0" xfId="0" applyFont="1" applyAlignment="1">
      <alignment horizontal="left" vertical="center" indent="5"/>
    </xf>
    <xf numFmtId="0" fontId="39" fillId="0" borderId="0" xfId="0" applyFont="1" applyAlignment="1">
      <alignment horizontal="left" vertical="center" indent="5"/>
    </xf>
    <xf numFmtId="0" fontId="41" fillId="0" borderId="0" xfId="0" applyFont="1" applyAlignment="1">
      <alignment horizontal="left" vertical="center" indent="5"/>
    </xf>
    <xf numFmtId="17" fontId="40" fillId="9" borderId="13" xfId="0" applyNumberFormat="1" applyFont="1" applyFill="1" applyBorder="1" applyAlignment="1">
      <alignment horizontal="center" vertical="center"/>
    </xf>
    <xf numFmtId="4" fontId="40" fillId="7" borderId="14" xfId="0" applyNumberFormat="1" applyFont="1" applyFill="1" applyBorder="1" applyAlignment="1">
      <alignment horizontal="center" vertical="center"/>
    </xf>
    <xf numFmtId="4" fontId="40" fillId="8" borderId="5" xfId="0" applyNumberFormat="1" applyFont="1" applyFill="1" applyBorder="1" applyAlignment="1">
      <alignment horizontal="center" vertical="center"/>
    </xf>
    <xf numFmtId="4" fontId="40" fillId="9" borderId="14" xfId="0" applyNumberFormat="1" applyFont="1" applyFill="1" applyBorder="1" applyAlignment="1">
      <alignment horizontal="center" vertical="center"/>
    </xf>
    <xf numFmtId="4" fontId="40" fillId="0" borderId="12" xfId="0" applyNumberFormat="1" applyFont="1" applyBorder="1" applyAlignment="1">
      <alignment horizontal="right" vertical="center"/>
    </xf>
    <xf numFmtId="4" fontId="40" fillId="7" borderId="12" xfId="0" applyNumberFormat="1" applyFont="1" applyFill="1" applyBorder="1" applyAlignment="1">
      <alignment horizontal="center" vertical="center"/>
    </xf>
    <xf numFmtId="4" fontId="40" fillId="8" borderId="10" xfId="0" applyNumberFormat="1" applyFont="1" applyFill="1" applyBorder="1" applyAlignment="1">
      <alignment horizontal="center" vertical="center"/>
    </xf>
    <xf numFmtId="4" fontId="40" fillId="9" borderId="12" xfId="0" applyNumberFormat="1" applyFont="1" applyFill="1" applyBorder="1" applyAlignment="1">
      <alignment horizontal="center" vertical="center"/>
    </xf>
    <xf numFmtId="164" fontId="29" fillId="20" borderId="25" xfId="3" applyFont="1" applyFill="1" applyBorder="1" applyAlignment="1">
      <alignment horizontal="center" vertical="center"/>
    </xf>
    <xf numFmtId="0" fontId="41" fillId="21" borderId="29" xfId="0" applyFont="1" applyFill="1" applyBorder="1" applyAlignment="1">
      <alignment horizontal="center" vertical="center"/>
    </xf>
    <xf numFmtId="0" fontId="41" fillId="21" borderId="11" xfId="0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0" fontId="42" fillId="22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23" borderId="12" xfId="0" applyFont="1" applyFill="1" applyBorder="1" applyAlignment="1">
      <alignment horizontal="center" vertical="center"/>
    </xf>
    <xf numFmtId="164" fontId="39" fillId="0" borderId="12" xfId="3" applyFont="1" applyBorder="1" applyAlignment="1">
      <alignment horizontal="center" vertical="center"/>
    </xf>
    <xf numFmtId="164" fontId="29" fillId="16" borderId="25" xfId="3" applyFont="1" applyFill="1" applyBorder="1" applyAlignment="1">
      <alignment horizontal="center" vertical="center"/>
    </xf>
    <xf numFmtId="164" fontId="28" fillId="0" borderId="0" xfId="4" applyNumberFormat="1" applyFont="1"/>
    <xf numFmtId="0" fontId="38" fillId="0" borderId="0" xfId="0" applyFont="1" applyAlignment="1">
      <alignment vertical="center"/>
    </xf>
    <xf numFmtId="164" fontId="26" fillId="20" borderId="25" xfId="3" applyFont="1" applyFill="1" applyBorder="1" applyAlignment="1">
      <alignment horizontal="center" vertical="center"/>
    </xf>
    <xf numFmtId="164" fontId="28" fillId="0" borderId="0" xfId="4" applyNumberFormat="1" applyFont="1" applyAlignment="1">
      <alignment vertical="center"/>
    </xf>
    <xf numFmtId="17" fontId="41" fillId="2" borderId="2" xfId="1" applyNumberFormat="1" applyFont="1" applyFill="1" applyBorder="1" applyAlignment="1">
      <alignment horizontal="center" vertical="center"/>
    </xf>
    <xf numFmtId="0" fontId="39" fillId="0" borderId="0" xfId="0" applyFont="1"/>
    <xf numFmtId="0" fontId="41" fillId="6" borderId="1" xfId="0" applyFont="1" applyFill="1" applyBorder="1" applyAlignment="1">
      <alignment horizontal="center" vertical="center"/>
    </xf>
    <xf numFmtId="164" fontId="39" fillId="6" borderId="3" xfId="3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64" fontId="39" fillId="0" borderId="3" xfId="3" applyFont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 wrapText="1"/>
    </xf>
    <xf numFmtId="164" fontId="39" fillId="6" borderId="3" xfId="3" applyFont="1" applyFill="1" applyBorder="1" applyAlignment="1">
      <alignment horizontal="center" vertical="center" wrapText="1"/>
    </xf>
    <xf numFmtId="164" fontId="41" fillId="6" borderId="3" xfId="3" applyFont="1" applyFill="1" applyBorder="1" applyAlignment="1">
      <alignment horizontal="center" vertical="center" wrapText="1"/>
    </xf>
    <xf numFmtId="0" fontId="40" fillId="0" borderId="0" xfId="0" applyFont="1"/>
    <xf numFmtId="0" fontId="41" fillId="17" borderId="1" xfId="0" applyFont="1" applyFill="1" applyBorder="1" applyAlignment="1">
      <alignment horizontal="center" vertical="center"/>
    </xf>
    <xf numFmtId="0" fontId="39" fillId="17" borderId="3" xfId="0" applyFont="1" applyFill="1" applyBorder="1" applyAlignment="1">
      <alignment horizontal="center" vertical="center" wrapText="1"/>
    </xf>
    <xf numFmtId="164" fontId="39" fillId="17" borderId="3" xfId="3" applyFont="1" applyFill="1" applyBorder="1" applyAlignment="1">
      <alignment horizontal="center" vertical="center" wrapText="1"/>
    </xf>
    <xf numFmtId="164" fontId="40" fillId="17" borderId="3" xfId="3" applyFont="1" applyFill="1" applyBorder="1" applyAlignment="1">
      <alignment horizontal="center" vertical="center" wrapText="1"/>
    </xf>
    <xf numFmtId="0" fontId="39" fillId="0" borderId="25" xfId="0" applyFont="1" applyBorder="1"/>
    <xf numFmtId="17" fontId="11" fillId="19" borderId="25" xfId="0" applyNumberFormat="1" applyFont="1" applyFill="1" applyBorder="1" applyAlignment="1">
      <alignment horizontal="center" vertical="center"/>
    </xf>
    <xf numFmtId="164" fontId="39" fillId="15" borderId="0" xfId="0" applyNumberFormat="1" applyFont="1" applyFill="1"/>
    <xf numFmtId="0" fontId="39" fillId="0" borderId="0" xfId="0" applyFont="1" applyAlignment="1">
      <alignment horizontal="center"/>
    </xf>
    <xf numFmtId="164" fontId="39" fillId="0" borderId="0" xfId="3" applyFont="1"/>
    <xf numFmtId="0" fontId="39" fillId="0" borderId="0" xfId="0" applyFont="1" applyFill="1"/>
    <xf numFmtId="4" fontId="40" fillId="7" borderId="21" xfId="0" applyNumberFormat="1" applyFont="1" applyFill="1" applyBorder="1" applyAlignment="1">
      <alignment horizontal="center" vertical="center"/>
    </xf>
    <xf numFmtId="4" fontId="40" fillId="7" borderId="4" xfId="0" applyNumberFormat="1" applyFont="1" applyFill="1" applyBorder="1" applyAlignment="1">
      <alignment horizontal="center" vertical="center"/>
    </xf>
    <xf numFmtId="3" fontId="28" fillId="0" borderId="0" xfId="4" applyNumberFormat="1" applyFont="1" applyAlignment="1">
      <alignment vertical="center"/>
    </xf>
    <xf numFmtId="164" fontId="29" fillId="0" borderId="25" xfId="3" applyFont="1" applyFill="1" applyBorder="1" applyAlignment="1">
      <alignment horizontal="right" vertical="center"/>
    </xf>
    <xf numFmtId="164" fontId="39" fillId="0" borderId="0" xfId="0" applyNumberFormat="1" applyFont="1"/>
    <xf numFmtId="164" fontId="39" fillId="0" borderId="0" xfId="0" applyNumberFormat="1" applyFont="1"/>
    <xf numFmtId="164" fontId="26" fillId="0" borderId="25" xfId="3" applyFont="1" applyBorder="1" applyAlignment="1">
      <alignment horizontal="center"/>
    </xf>
    <xf numFmtId="0" fontId="29" fillId="0" borderId="0" xfId="4" applyFont="1" applyAlignment="1">
      <alignment vertical="center"/>
    </xf>
    <xf numFmtId="0" fontId="41" fillId="16" borderId="1" xfId="0" applyFont="1" applyFill="1" applyBorder="1" applyAlignment="1">
      <alignment horizontal="center" vertical="center"/>
    </xf>
    <xf numFmtId="0" fontId="39" fillId="16" borderId="3" xfId="0" applyFont="1" applyFill="1" applyBorder="1" applyAlignment="1">
      <alignment horizontal="center" vertical="center" wrapText="1"/>
    </xf>
    <xf numFmtId="164" fontId="39" fillId="16" borderId="3" xfId="3" applyFont="1" applyFill="1" applyBorder="1" applyAlignment="1">
      <alignment horizontal="center" vertical="center" wrapText="1"/>
    </xf>
    <xf numFmtId="164" fontId="40" fillId="16" borderId="3" xfId="3" applyFont="1" applyFill="1" applyBorder="1" applyAlignment="1">
      <alignment horizontal="center" vertical="center" wrapText="1"/>
    </xf>
    <xf numFmtId="168" fontId="39" fillId="0" borderId="0" xfId="0" applyNumberFormat="1" applyFont="1"/>
    <xf numFmtId="164" fontId="43" fillId="17" borderId="3" xfId="3" applyFont="1" applyFill="1" applyBorder="1" applyAlignment="1">
      <alignment horizontal="center" vertical="center" wrapText="1"/>
    </xf>
    <xf numFmtId="164" fontId="31" fillId="0" borderId="25" xfId="5" applyNumberFormat="1" applyFont="1" applyFill="1" applyBorder="1" applyAlignment="1">
      <alignment horizontal="center" vertical="center"/>
    </xf>
    <xf numFmtId="0" fontId="44" fillId="15" borderId="0" xfId="4" applyFont="1" applyFill="1" applyAlignment="1">
      <alignment vertical="center"/>
    </xf>
    <xf numFmtId="169" fontId="44" fillId="15" borderId="0" xfId="3" applyNumberFormat="1" applyFont="1" applyFill="1" applyAlignment="1">
      <alignment vertical="center"/>
    </xf>
    <xf numFmtId="169" fontId="28" fillId="0" borderId="0" xfId="4" applyNumberFormat="1" applyFont="1" applyAlignment="1">
      <alignment vertical="center"/>
    </xf>
    <xf numFmtId="164" fontId="29" fillId="0" borderId="25" xfId="3" applyFont="1" applyFill="1" applyBorder="1" applyAlignment="1">
      <alignment vertical="center"/>
    </xf>
    <xf numFmtId="0" fontId="39" fillId="0" borderId="25" xfId="0" applyFont="1" applyBorder="1" applyAlignment="1">
      <alignment horizontal="center" vertical="center"/>
    </xf>
    <xf numFmtId="164" fontId="45" fillId="0" borderId="25" xfId="3" applyFont="1" applyFill="1" applyBorder="1" applyAlignment="1">
      <alignment horizontal="center" vertical="center"/>
    </xf>
    <xf numFmtId="164" fontId="28" fillId="0" borderId="0" xfId="4" applyNumberFormat="1" applyFont="1" applyAlignment="1">
      <alignment vertical="center"/>
    </xf>
    <xf numFmtId="164" fontId="39" fillId="0" borderId="0" xfId="0" applyNumberFormat="1" applyFont="1"/>
    <xf numFmtId="0" fontId="41" fillId="23" borderId="29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horizontal="center" vertical="center"/>
    </xf>
    <xf numFmtId="0" fontId="41" fillId="23" borderId="10" xfId="0" applyFont="1" applyFill="1" applyBorder="1" applyAlignment="1">
      <alignment horizontal="center" vertical="center"/>
    </xf>
    <xf numFmtId="0" fontId="41" fillId="24" borderId="10" xfId="0" applyFont="1" applyFill="1" applyBorder="1" applyAlignment="1">
      <alignment horizontal="center" vertical="center"/>
    </xf>
    <xf numFmtId="0" fontId="39" fillId="25" borderId="12" xfId="0" applyFont="1" applyFill="1" applyBorder="1" applyAlignment="1">
      <alignment horizontal="center" vertical="center"/>
    </xf>
    <xf numFmtId="0" fontId="39" fillId="6" borderId="12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46" fillId="23" borderId="12" xfId="0" applyFont="1" applyFill="1" applyBorder="1" applyAlignment="1">
      <alignment horizontal="center" vertical="center"/>
    </xf>
    <xf numFmtId="17" fontId="30" fillId="19" borderId="25" xfId="0" applyNumberFormat="1" applyFont="1" applyFill="1" applyBorder="1" applyAlignment="1">
      <alignment horizontal="center" vertical="center"/>
    </xf>
    <xf numFmtId="164" fontId="30" fillId="6" borderId="25" xfId="3" applyFont="1" applyFill="1" applyBorder="1" applyAlignment="1">
      <alignment horizontal="center" vertical="center"/>
    </xf>
    <xf numFmtId="164" fontId="30" fillId="0" borderId="0" xfId="3" applyFont="1" applyFill="1" applyBorder="1" applyAlignment="1">
      <alignment horizontal="center" vertical="center"/>
    </xf>
    <xf numFmtId="164" fontId="47" fillId="0" borderId="3" xfId="3" applyFont="1" applyBorder="1" applyAlignment="1">
      <alignment horizontal="center" vertical="center"/>
    </xf>
    <xf numFmtId="164" fontId="39" fillId="0" borderId="0" xfId="0" applyNumberFormat="1" applyFont="1"/>
    <xf numFmtId="164" fontId="29" fillId="0" borderId="25" xfId="3" applyNumberFormat="1" applyFont="1" applyFill="1" applyBorder="1" applyAlignment="1">
      <alignment horizontal="center" vertical="center"/>
    </xf>
    <xf numFmtId="164" fontId="47" fillId="16" borderId="3" xfId="3" applyFont="1" applyFill="1" applyBorder="1" applyAlignment="1">
      <alignment horizontal="center" vertical="center" wrapText="1"/>
    </xf>
    <xf numFmtId="164" fontId="47" fillId="17" borderId="3" xfId="3" applyFont="1" applyFill="1" applyBorder="1" applyAlignment="1">
      <alignment horizontal="center" vertical="center" wrapText="1"/>
    </xf>
    <xf numFmtId="164" fontId="28" fillId="0" borderId="0" xfId="4" applyNumberFormat="1" applyFont="1" applyAlignment="1">
      <alignment vertical="center"/>
    </xf>
    <xf numFmtId="164" fontId="26" fillId="0" borderId="0" xfId="3" applyFont="1" applyAlignment="1">
      <alignment vertical="center"/>
    </xf>
    <xf numFmtId="4" fontId="26" fillId="0" borderId="0" xfId="4" applyNumberFormat="1" applyFont="1" applyAlignment="1">
      <alignment vertical="center"/>
    </xf>
    <xf numFmtId="164" fontId="31" fillId="0" borderId="3" xfId="3" applyFont="1" applyBorder="1" applyAlignment="1">
      <alignment horizontal="center" vertical="center"/>
    </xf>
    <xf numFmtId="164" fontId="31" fillId="0" borderId="3" xfId="5" applyNumberFormat="1" applyFont="1" applyBorder="1" applyAlignment="1">
      <alignment horizontal="center" vertical="center"/>
    </xf>
    <xf numFmtId="164" fontId="26" fillId="16" borderId="25" xfId="3" applyFont="1" applyFill="1" applyBorder="1" applyAlignment="1">
      <alignment horizontal="center" vertical="center"/>
    </xf>
    <xf numFmtId="164" fontId="26" fillId="0" borderId="25" xfId="3" applyNumberFormat="1" applyFont="1" applyFill="1" applyBorder="1" applyAlignment="1">
      <alignment horizontal="center" vertical="center"/>
    </xf>
    <xf numFmtId="164" fontId="48" fillId="13" borderId="25" xfId="3" applyFont="1" applyFill="1" applyBorder="1" applyAlignment="1">
      <alignment horizontal="center" vertical="center"/>
    </xf>
    <xf numFmtId="164" fontId="29" fillId="0" borderId="25" xfId="3" applyFont="1" applyBorder="1" applyAlignment="1">
      <alignment vertical="center"/>
    </xf>
    <xf numFmtId="164" fontId="35" fillId="6" borderId="25" xfId="3" applyFont="1" applyFill="1" applyBorder="1" applyAlignment="1">
      <alignment horizontal="center" vertical="center"/>
    </xf>
    <xf numFmtId="164" fontId="39" fillId="0" borderId="0" xfId="0" applyNumberFormat="1" applyFont="1"/>
    <xf numFmtId="3" fontId="39" fillId="0" borderId="0" xfId="0" applyNumberFormat="1" applyFont="1"/>
    <xf numFmtId="0" fontId="23" fillId="6" borderId="25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4" fillId="4" borderId="22" xfId="0" applyFont="1" applyFill="1" applyBorder="1" applyAlignment="1">
      <alignment horizontal="center" vertical="center"/>
    </xf>
    <xf numFmtId="0" fontId="24" fillId="4" borderId="23" xfId="0" applyFont="1" applyFill="1" applyBorder="1" applyAlignment="1">
      <alignment horizontal="center" vertical="center"/>
    </xf>
    <xf numFmtId="0" fontId="23" fillId="13" borderId="25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27" fillId="19" borderId="25" xfId="4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6">
    <cellStyle name="Comma" xfId="3" builtinId="3"/>
    <cellStyle name="Comma 191" xfId="2"/>
    <cellStyle name="Comma 191 2" xfId="5"/>
    <cellStyle name="Normal" xfId="0" builtinId="0"/>
    <cellStyle name="Normal 399" xfId="1"/>
    <cellStyle name="Normal 399 2" xfId="4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124228</xdr:colOff>
      <xdr:row>0</xdr:row>
      <xdr:rowOff>131389</xdr:rowOff>
    </xdr:from>
    <xdr:to>
      <xdr:col>69</xdr:col>
      <xdr:colOff>16193</xdr:colOff>
      <xdr:row>30</xdr:row>
      <xdr:rowOff>14664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4483" y="131389"/>
          <a:ext cx="10421419" cy="41733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90869\Logistic%20Planning\01_PTT_File\File%20&#3649;&#3612;&#3609;&#3592;&#3633;&#3604;&#3626;&#3656;&#3591;&#3611;&#3636;&#3650;&#3605;&#3619;&#3648;&#3621;&#3637;&#3618;&#3617;\Logistic%20Planning\Excel%20Files\Monthly%20Plan%20Year%202008-2012\Monthly%20Plan%20Program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asdata2\PTT\COOD\COOD-DATA\&#3610;&#3592;&#3611;\Distribution%20Plan\Monthly%20Plan\2011\Monthly%20Plan\Dec%2011\Monthly%20Plan%20Program_Dec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PTT\ODOP\ODOP-DATA\02_&#3611;&#3627;%20New\02_LPG\02_LPG-SS\1.%20LPG%20SS\1.%20LPG%20SS%20Daily\2.%20Daily%202013\9.%20Sep%202013\Real%20Plan%20&amp;%20Actual%20LPG%20SS%20Sep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500132\AppData\Local\Microsoft\Windows\Temporary%20Internet%20Files\Content.Outlook\5NDX2XR6\LPG%20PLAN%202011_S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80570\d$\Moving%20Folder%20460016\1&#3650;&#3629;&#3609;&#3588;&#3621;&#3633;&#3591;&#3648;&#3627;&#3609;&#3639;&#3629;\North460016\&#3650;&#3629;&#3609;&#3588;&#3621;&#3633;&#3591;&#3629;&#3637;&#3626;&#3634;&#3609;\WINDOWS\Desktop\Oh%20PTT's%20Work\Northeast\&#3616;&#3634;&#3588;&#3629;&#3637;&#3626;&#3634;&#3609;JUL-OCT4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PTT\ODOP\ODOP-DATA\02_&#3611;&#3627;\&#3611;&#3627;.SS\1.%20LPG%20SS%20Daily\2012\6.%20Jun%202012\Plan%20&amp;%20Actual%20LPG%20SS%2013%20Jun%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SCO%20Database\3.%20Supply%20&amp;%20Logistics%20Planning\1.%20Supply%20Plan\2018\4.LPG\12%20Dec%2018\02_12mth_Dec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ameters II"/>
      <sheetName val="Trans N_NE"/>
      <sheetName val="Trans_S"/>
      <sheetName val="Train Rate"/>
      <sheetName val="Barge rate"/>
      <sheetName val="Truck rate AVG &amp; Jet"/>
      <sheetName val="Conclusion"/>
      <sheetName val="FO"/>
      <sheetName val="Jet"/>
      <sheetName val="Avgas-IK"/>
      <sheetName val="COST"/>
      <sheetName val="Demand 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ameters II"/>
      <sheetName val="Demand รายคลัง"/>
      <sheetName val="Truck_Pipe Rate"/>
      <sheetName val="Train Rate"/>
      <sheetName val="Barge rate"/>
      <sheetName val="TRS_Fee IRPC"/>
      <sheetName val="Truck Rate Link"/>
      <sheetName val="Berge rate Link"/>
      <sheetName val="Truck rate AVG &amp; Jet"/>
      <sheetName val="Cost Jet"/>
      <sheetName val="Cost FO"/>
      <sheetName val="Cal. COST"/>
      <sheetName val="SA No."/>
      <sheetName val="SA No.ETH_B100"/>
      <sheetName val="Map"/>
      <sheetName val="Plan By Mode"/>
      <sheetName val="ULR_HSD"/>
      <sheetName val="HSD 370"/>
      <sheetName val="Avgas-IK"/>
      <sheetName val="Jet"/>
      <sheetName val="FO"/>
      <sheetName val="COST"/>
      <sheetName val="Barge Req"/>
      <sheetName val="Truck Req"/>
      <sheetName val="Sheet1"/>
    </sheetNames>
    <sheetDataSet>
      <sheetData sheetId="0">
        <row r="2">
          <cell r="Q2">
            <v>4.7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3.5737999999999994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-6.5960392705842984E-10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16.468234000659603</v>
          </cell>
        </row>
        <row r="39">
          <cell r="C39">
            <v>4.2409999999999997</v>
          </cell>
          <cell r="D39">
            <v>1.8919999999999999</v>
          </cell>
          <cell r="E39">
            <v>3.3140000000000001</v>
          </cell>
          <cell r="F39">
            <v>2.7</v>
          </cell>
          <cell r="G39">
            <v>0</v>
          </cell>
          <cell r="H39">
            <v>3.052</v>
          </cell>
          <cell r="I39">
            <v>2.798</v>
          </cell>
          <cell r="J39">
            <v>0</v>
          </cell>
        </row>
        <row r="40">
          <cell r="C40">
            <v>10.77636</v>
          </cell>
          <cell r="D40">
            <v>5.6359219999999999</v>
          </cell>
          <cell r="E40">
            <v>10.298499999999999</v>
          </cell>
          <cell r="F40">
            <v>9.5811719999999987</v>
          </cell>
          <cell r="G40">
            <v>6.9751979999999998</v>
          </cell>
          <cell r="H40">
            <v>12.395562</v>
          </cell>
          <cell r="I40">
            <v>18.401019999999999</v>
          </cell>
          <cell r="J40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2.016</v>
          </cell>
          <cell r="J42">
            <v>0.97019999999999995</v>
          </cell>
        </row>
        <row r="43">
          <cell r="C43">
            <v>0.40924799999999995</v>
          </cell>
          <cell r="D43">
            <v>0.34103999999999995</v>
          </cell>
          <cell r="E43">
            <v>0</v>
          </cell>
          <cell r="F43">
            <v>0.95491199999999998</v>
          </cell>
          <cell r="G43">
            <v>0</v>
          </cell>
          <cell r="H43">
            <v>0</v>
          </cell>
          <cell r="I43">
            <v>0.86435999999999991</v>
          </cell>
          <cell r="J43">
            <v>0.95491199999999998</v>
          </cell>
        </row>
      </sheetData>
      <sheetData sheetId="1">
        <row r="4">
          <cell r="B4">
            <v>29.374000000000002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>
            <v>-1.6885159936958433E-11</v>
          </cell>
          <cell r="D14">
            <v>-1.33519861833831E-11</v>
          </cell>
          <cell r="E14">
            <v>0</v>
          </cell>
          <cell r="F14">
            <v>0</v>
          </cell>
          <cell r="G14">
            <v>0</v>
          </cell>
          <cell r="H14">
            <v>11.555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>
            <v>7.7207959979774934</v>
          </cell>
          <cell r="D15">
            <v>30.014938000000001</v>
          </cell>
          <cell r="E15">
            <v>-2.0177637338794472E-11</v>
          </cell>
          <cell r="F15">
            <v>0</v>
          </cell>
          <cell r="G15">
            <v>0</v>
          </cell>
          <cell r="H15">
            <v>43.667265999999991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3.3957999999999999</v>
          </cell>
          <cell r="J17">
            <v>0</v>
          </cell>
          <cell r="K17">
            <v>16.076000000000001</v>
          </cell>
          <cell r="L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C21">
            <v>0</v>
          </cell>
          <cell r="D21">
            <v>0</v>
          </cell>
          <cell r="E21">
            <v>4.7988280016397766E-12</v>
          </cell>
          <cell r="F21">
            <v>5.7061022573634546E-12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C22">
            <v>13.775162002022505</v>
          </cell>
          <cell r="D22">
            <v>0</v>
          </cell>
          <cell r="E22">
            <v>0</v>
          </cell>
          <cell r="F22">
            <v>2.3014200000000002</v>
          </cell>
          <cell r="G22">
            <v>0</v>
          </cell>
          <cell r="H22">
            <v>20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21.603560749999996</v>
          </cell>
          <cell r="J25">
            <v>0</v>
          </cell>
          <cell r="K25">
            <v>84.724469999999997</v>
          </cell>
          <cell r="L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>
            <v>7.2450000000168853</v>
          </cell>
          <cell r="D28">
            <v>5.7290000000133521</v>
          </cell>
          <cell r="E28">
            <v>2.2739999999952012</v>
          </cell>
          <cell r="F28">
            <v>2.7039999999942941</v>
          </cell>
          <cell r="G28">
            <v>5.766</v>
          </cell>
          <cell r="H28">
            <v>0</v>
          </cell>
          <cell r="I28">
            <v>3.8412000000000002</v>
          </cell>
          <cell r="J28">
            <v>0</v>
          </cell>
          <cell r="K28">
            <v>0</v>
          </cell>
          <cell r="L28">
            <v>0</v>
          </cell>
        </row>
        <row r="29">
          <cell r="C29">
            <v>7.2450000000000001</v>
          </cell>
          <cell r="D29">
            <v>5.7290000000000001</v>
          </cell>
          <cell r="E29">
            <v>8.6574460000201778</v>
          </cell>
          <cell r="F29">
            <v>2</v>
          </cell>
          <cell r="G29">
            <v>26.385299999999997</v>
          </cell>
          <cell r="H29">
            <v>0</v>
          </cell>
          <cell r="I29">
            <v>26.100049250000001</v>
          </cell>
          <cell r="J29">
            <v>0</v>
          </cell>
          <cell r="K29">
            <v>12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0.1339999999999999</v>
          </cell>
          <cell r="H32">
            <v>0</v>
          </cell>
          <cell r="I32">
            <v>0</v>
          </cell>
          <cell r="J32">
            <v>3.8660000000000001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22.153616000000003</v>
          </cell>
          <cell r="H33">
            <v>0</v>
          </cell>
          <cell r="I33">
            <v>0</v>
          </cell>
          <cell r="J33">
            <v>22.846383999999997</v>
          </cell>
          <cell r="K33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12</v>
          </cell>
        </row>
      </sheetData>
      <sheetData sheetId="2">
        <row r="6">
          <cell r="CO6">
            <v>0.15</v>
          </cell>
        </row>
      </sheetData>
      <sheetData sheetId="3">
        <row r="1">
          <cell r="E1">
            <v>29.49</v>
          </cell>
        </row>
      </sheetData>
      <sheetData sheetId="4"/>
      <sheetData sheetId="5">
        <row r="6">
          <cell r="E6">
            <v>25.32114117919075</v>
          </cell>
        </row>
      </sheetData>
      <sheetData sheetId="6">
        <row r="142">
          <cell r="I142">
            <v>21.539999999999992</v>
          </cell>
        </row>
      </sheetData>
      <sheetData sheetId="7"/>
      <sheetData sheetId="8"/>
      <sheetData sheetId="9">
        <row r="11">
          <cell r="D11">
            <v>63.2</v>
          </cell>
        </row>
      </sheetData>
      <sheetData sheetId="10">
        <row r="5">
          <cell r="B5">
            <v>0.1414</v>
          </cell>
        </row>
      </sheetData>
      <sheetData sheetId="11">
        <row r="9">
          <cell r="C9">
            <v>7.8773807167630059</v>
          </cell>
        </row>
      </sheetData>
      <sheetData sheetId="12">
        <row r="6">
          <cell r="D6">
            <v>5.9</v>
          </cell>
        </row>
      </sheetData>
      <sheetData sheetId="13">
        <row r="44">
          <cell r="M44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Monitor SS"/>
      <sheetName val="Sheet5"/>
      <sheetName val="Input ECP"/>
      <sheetName val="Input BIP"/>
    </sheetNames>
    <sheetDataSet>
      <sheetData sheetId="0" refreshError="1">
        <row r="100">
          <cell r="C100">
            <v>30</v>
          </cell>
        </row>
        <row r="101">
          <cell r="C101">
            <v>30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 Plan"/>
      <sheetName val="MT"/>
      <sheetName val="CH&amp;TANK"/>
      <sheetName val="Refinery"/>
      <sheetName val="GSP4"/>
      <sheetName val="Supply Sale"/>
    </sheetNames>
    <sheetDataSet>
      <sheetData sheetId="0"/>
      <sheetData sheetId="1"/>
      <sheetData sheetId="2"/>
      <sheetData sheetId="3"/>
      <sheetData sheetId="4"/>
      <sheetData sheetId="5">
        <row r="1">
          <cell r="J1">
            <v>31</v>
          </cell>
          <cell r="T1">
            <v>31</v>
          </cell>
          <cell r="AD1">
            <v>30</v>
          </cell>
          <cell r="AN1">
            <v>31</v>
          </cell>
          <cell r="AX1">
            <v>30</v>
          </cell>
          <cell r="BH1">
            <v>31</v>
          </cell>
        </row>
        <row r="4">
          <cell r="I4">
            <v>31</v>
          </cell>
          <cell r="S4">
            <v>31</v>
          </cell>
          <cell r="AC4">
            <v>30</v>
          </cell>
          <cell r="AM4">
            <v>27</v>
          </cell>
          <cell r="AW4">
            <v>30</v>
          </cell>
          <cell r="BG4">
            <v>14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N'44"/>
      <sheetName val="UBL'44"/>
      <sheetName val="KKN'44"/>
      <sheetName val="NSM'44"/>
      <sheetName val="UDN"/>
      <sheetName val="UBL"/>
      <sheetName val="KKN"/>
      <sheetName val="N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MTon"/>
      <sheetName val="Daily KG"/>
      <sheetName val="เปลี่ยนตั๋ว"/>
      <sheetName val="EX_Month"/>
      <sheetName val="OPS_MTD"/>
      <sheetName val="Daily"/>
      <sheetName val="Daily (Set print)"/>
      <sheetName val="Problem"/>
      <sheetName val="SC"/>
      <sheetName val="MT"/>
      <sheetName val="ARC"/>
      <sheetName val="Tank"/>
    </sheetNames>
    <sheetDataSet>
      <sheetData sheetId="0">
        <row r="6">
          <cell r="C6">
            <v>0</v>
          </cell>
        </row>
      </sheetData>
      <sheetData sheetId="1"/>
      <sheetData sheetId="2">
        <row r="15">
          <cell r="AY15">
            <v>1200.153</v>
          </cell>
        </row>
      </sheetData>
      <sheetData sheetId="3"/>
      <sheetData sheetId="4"/>
      <sheetData sheetId="5"/>
      <sheetData sheetId="6"/>
      <sheetData sheetId="7"/>
      <sheetData sheetId="8">
        <row r="187">
          <cell r="D187">
            <v>9</v>
          </cell>
        </row>
      </sheetData>
      <sheetData sheetId="9">
        <row r="14">
          <cell r="I14">
            <v>0</v>
          </cell>
        </row>
      </sheetData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Main Sheet"/>
      <sheetName val="01 demand supply balance"/>
      <sheetName val="02 PTT Case As-Is"/>
      <sheetName val="GSP room"/>
      <sheetName val="Balance from นพญ_updated"/>
      <sheetName val="Balance from นพญ"/>
      <sheetName val="For PTTOR"/>
      <sheetName val="For GSP "/>
      <sheetName val="Shutdown Plan"/>
      <sheetName val="Graph 2"/>
      <sheetName val="LPG plan 6 month (2)"/>
      <sheetName val="Raw Data"/>
      <sheetName val="03 Blending model"/>
      <sheetName val="04 Inventory_PTT"/>
      <sheetName val="GSP Stock"/>
      <sheetName val="seperate"/>
      <sheetName val="นพ211_PTT"/>
      <sheetName val="c3c4_PTT"/>
      <sheetName val="นพ211_PTTOR"/>
      <sheetName val="propane"/>
      <sheetName val="ตหน"/>
      <sheetName val="ขายอุตสาหกรรม"/>
      <sheetName val="กต."/>
      <sheetName val="ตตน"/>
      <sheetName val="ขายราชการและรัฐวิสาหกิจ"/>
      <sheetName val="supply sale"/>
      <sheetName val="SS Rolling 12 m (2)"/>
      <sheetName val="Graph "/>
      <sheetName val="01 Graph"/>
      <sheetName val="PTT Actual Data"/>
      <sheetName val="02 Graph DOEB"/>
      <sheetName val="Sheet2"/>
      <sheetName val="fuel chart"/>
      <sheetName val="petro chart"/>
      <sheetName val="03 Graph for DOEB"/>
      <sheetName val="04 SCMC_ADHOC"/>
      <sheetName val="demand-supply"/>
      <sheetName val="ปบน."/>
      <sheetName val="Tracking"/>
      <sheetName val="Balance "/>
      <sheetName val="Ref. vol"/>
      <sheetName val="Ref. vol (2)"/>
      <sheetName val="PTTGC_SPRC"/>
      <sheetName val="South depot"/>
      <sheetName val="Inventory_PTT (2)"/>
      <sheetName val="Optimize"/>
      <sheetName val="demand supply balance_PTT"/>
      <sheetName val="demand supply balance (2)"/>
      <sheetName val="Tank LR"/>
      <sheetName val="Tank LR (มี NG)"/>
      <sheetName val="Tank LR (no NG)"/>
      <sheetName val="Inventory Info"/>
      <sheetName val="Case 1 (2)"/>
      <sheetName val="Phase 3"/>
      <sheetName val="LPG_PTT(3)"/>
      <sheetName val="ขายส่วนกลาง"/>
      <sheetName val="SS Rolling 12 m"/>
      <sheetName val="annual plan"/>
      <sheetName val="BCK"/>
      <sheetName val="BRP-MT"/>
      <sheetName val="LPG plan 6 month"/>
      <sheetName val="LPG plan 6 month (new clos)"/>
      <sheetName val="operation plan"/>
      <sheetName val="country"/>
      <sheetName val="Sheet1"/>
    </sheetNames>
    <sheetDataSet>
      <sheetData sheetId="0"/>
      <sheetData sheetId="1"/>
      <sheetData sheetId="2">
        <row r="12">
          <cell r="E12">
            <v>13.95</v>
          </cell>
          <cell r="F12">
            <v>16.460999999999999</v>
          </cell>
          <cell r="G12">
            <v>14.868</v>
          </cell>
          <cell r="H12">
            <v>16.460999999999999</v>
          </cell>
          <cell r="I12">
            <v>15.93</v>
          </cell>
          <cell r="J12">
            <v>16.460999999999999</v>
          </cell>
          <cell r="K12">
            <v>15.93</v>
          </cell>
          <cell r="L12">
            <v>16.460999999999999</v>
          </cell>
          <cell r="M12">
            <v>16.460999999999999</v>
          </cell>
          <cell r="N12">
            <v>15.93</v>
          </cell>
          <cell r="O12">
            <v>16.460999999999999</v>
          </cell>
          <cell r="P12">
            <v>15.93</v>
          </cell>
        </row>
        <row r="17">
          <cell r="E17">
            <v>5.7350000000000003</v>
          </cell>
          <cell r="F17">
            <v>6.2</v>
          </cell>
          <cell r="G17">
            <v>5.6</v>
          </cell>
          <cell r="H17">
            <v>6.5</v>
          </cell>
          <cell r="I17">
            <v>6.5</v>
          </cell>
          <cell r="J17">
            <v>6.5</v>
          </cell>
          <cell r="K17">
            <v>6.5</v>
          </cell>
          <cell r="L17">
            <v>6.5</v>
          </cell>
          <cell r="M17">
            <v>6.5</v>
          </cell>
          <cell r="N17">
            <v>6.5</v>
          </cell>
          <cell r="O17">
            <v>6.5</v>
          </cell>
          <cell r="P17">
            <v>6.5</v>
          </cell>
        </row>
        <row r="100">
          <cell r="E100">
            <v>6</v>
          </cell>
          <cell r="F100">
            <v>6</v>
          </cell>
          <cell r="G100">
            <v>6</v>
          </cell>
          <cell r="H100">
            <v>6</v>
          </cell>
          <cell r="I100">
            <v>6</v>
          </cell>
          <cell r="J100">
            <v>6</v>
          </cell>
          <cell r="K100">
            <v>8</v>
          </cell>
          <cell r="L100">
            <v>8</v>
          </cell>
          <cell r="M100">
            <v>8</v>
          </cell>
          <cell r="N100">
            <v>8</v>
          </cell>
          <cell r="O100">
            <v>8</v>
          </cell>
          <cell r="P100">
            <v>8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E102">
            <v>22</v>
          </cell>
          <cell r="F102">
            <v>21</v>
          </cell>
          <cell r="G102">
            <v>17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  <cell r="P102">
            <v>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S26"/>
  <sheetViews>
    <sheetView zoomScaleNormal="100" workbookViewId="0">
      <selection activeCell="A33" sqref="A33"/>
    </sheetView>
  </sheetViews>
  <sheetFormatPr defaultColWidth="9" defaultRowHeight="11.4"/>
  <cols>
    <col min="1" max="1" width="32.875" style="163" bestFit="1" customWidth="1"/>
    <col min="2" max="2" width="9" style="163" hidden="1" customWidth="1"/>
    <col min="3" max="4" width="0" style="163" hidden="1" customWidth="1"/>
    <col min="5" max="5" width="9.5" style="163" hidden="1" customWidth="1"/>
    <col min="6" max="15" width="0" style="163" hidden="1" customWidth="1"/>
    <col min="16" max="17" width="9.375" style="163" hidden="1" customWidth="1"/>
    <col min="18" max="27" width="9.875" style="163" hidden="1" customWidth="1"/>
    <col min="28" max="28" width="9" style="163" hidden="1" customWidth="1"/>
    <col min="29" max="31" width="9.875" style="163" hidden="1" customWidth="1"/>
    <col min="32" max="43" width="9.875" style="163" bestFit="1" customWidth="1"/>
    <col min="44" max="45" width="10.875" style="163" customWidth="1"/>
    <col min="46" max="16384" width="9" style="163"/>
  </cols>
  <sheetData>
    <row r="1" spans="1:45" ht="12" thickBot="1">
      <c r="A1" s="162" t="s">
        <v>112</v>
      </c>
      <c r="B1" s="162">
        <v>22616</v>
      </c>
      <c r="C1" s="162">
        <v>22647</v>
      </c>
      <c r="D1" s="162">
        <v>22678</v>
      </c>
      <c r="E1" s="162">
        <v>22706</v>
      </c>
      <c r="F1" s="162">
        <v>22737</v>
      </c>
      <c r="G1" s="162">
        <v>22767</v>
      </c>
      <c r="H1" s="162">
        <v>22798</v>
      </c>
      <c r="I1" s="162">
        <v>22828</v>
      </c>
      <c r="J1" s="162">
        <v>22859</v>
      </c>
      <c r="K1" s="162">
        <v>22890</v>
      </c>
      <c r="L1" s="162">
        <v>22920</v>
      </c>
      <c r="M1" s="162">
        <v>22951</v>
      </c>
      <c r="N1" s="162">
        <v>22981</v>
      </c>
      <c r="O1" s="162">
        <v>23012</v>
      </c>
      <c r="P1" s="162">
        <v>23043</v>
      </c>
      <c r="Q1" s="162">
        <v>23071</v>
      </c>
      <c r="R1" s="162">
        <v>23102</v>
      </c>
      <c r="S1" s="162">
        <v>23132</v>
      </c>
      <c r="T1" s="162">
        <v>23163</v>
      </c>
      <c r="U1" s="162">
        <v>23193</v>
      </c>
      <c r="V1" s="162">
        <v>23224</v>
      </c>
      <c r="W1" s="162">
        <v>23255</v>
      </c>
      <c r="X1" s="162">
        <v>23285</v>
      </c>
      <c r="Y1" s="162">
        <v>23316</v>
      </c>
      <c r="Z1" s="162">
        <v>23346</v>
      </c>
      <c r="AA1" s="162">
        <v>23377</v>
      </c>
      <c r="AB1" s="162">
        <v>23408</v>
      </c>
      <c r="AC1" s="162">
        <v>23437</v>
      </c>
      <c r="AD1" s="162">
        <v>23468</v>
      </c>
      <c r="AE1" s="162">
        <v>23498</v>
      </c>
      <c r="AF1" s="162">
        <v>23529</v>
      </c>
      <c r="AG1" s="162">
        <v>23559</v>
      </c>
      <c r="AH1" s="162">
        <v>23590</v>
      </c>
      <c r="AI1" s="162">
        <v>23621</v>
      </c>
      <c r="AJ1" s="162">
        <v>23651</v>
      </c>
      <c r="AK1" s="162">
        <v>23682</v>
      </c>
      <c r="AL1" s="162">
        <v>23712</v>
      </c>
      <c r="AM1" s="162">
        <v>23743</v>
      </c>
      <c r="AN1" s="162">
        <v>23774</v>
      </c>
      <c r="AO1" s="162">
        <v>23802</v>
      </c>
      <c r="AP1" s="162">
        <v>23833</v>
      </c>
      <c r="AQ1" s="162">
        <v>23863</v>
      </c>
    </row>
    <row r="2" spans="1:45" ht="12" thickBot="1">
      <c r="A2" s="164" t="s">
        <v>88</v>
      </c>
      <c r="B2" s="165">
        <v>165</v>
      </c>
      <c r="C2" s="165">
        <v>133</v>
      </c>
      <c r="D2" s="165">
        <v>136.70842184</v>
      </c>
      <c r="E2" s="165" t="e">
        <f>#REF!-#REF!</f>
        <v>#REF!</v>
      </c>
      <c r="F2" s="165" t="e">
        <f>140-#REF!</f>
        <v>#REF!</v>
      </c>
      <c r="G2" s="165">
        <v>140</v>
      </c>
      <c r="H2" s="165">
        <v>140</v>
      </c>
      <c r="I2" s="165">
        <v>140</v>
      </c>
      <c r="J2" s="165">
        <v>140</v>
      </c>
      <c r="K2" s="165">
        <v>140</v>
      </c>
      <c r="L2" s="165" t="e">
        <f>140-#REF!</f>
        <v>#REF!</v>
      </c>
      <c r="M2" s="165" t="e">
        <f>140-#REF!</f>
        <v>#REF!</v>
      </c>
      <c r="N2" s="165" t="e">
        <f>140-#REF!</f>
        <v>#REF!</v>
      </c>
      <c r="O2" s="165">
        <f>155-O3</f>
        <v>140.71899999999999</v>
      </c>
      <c r="P2" s="165">
        <v>133.84099999999998</v>
      </c>
      <c r="Q2" s="165">
        <v>163.26800000000003</v>
      </c>
      <c r="R2" s="165">
        <v>120.81155380307001</v>
      </c>
      <c r="S2" s="165">
        <v>148.87437226317223</v>
      </c>
      <c r="T2" s="165">
        <f t="shared" ref="T2:Z2" si="0">T8-T3-T4-T5-T6-T7</f>
        <v>118.57003484000003</v>
      </c>
      <c r="U2" s="165">
        <f t="shared" si="0"/>
        <v>102.77236259000003</v>
      </c>
      <c r="V2" s="165">
        <f t="shared" si="0"/>
        <v>111.55740310999997</v>
      </c>
      <c r="W2" s="165">
        <f t="shared" si="0"/>
        <v>111.43989089000002</v>
      </c>
      <c r="X2" s="165">
        <f t="shared" si="0"/>
        <v>118.86252553</v>
      </c>
      <c r="Y2" s="165">
        <f t="shared" si="0"/>
        <v>122.68184313999996</v>
      </c>
      <c r="Z2" s="165">
        <f t="shared" si="0"/>
        <v>118.03</v>
      </c>
      <c r="AA2" s="165">
        <f>AA8-AA3-AA4-AA5-AA6-AA7</f>
        <v>119.72</v>
      </c>
      <c r="AB2" s="165">
        <f t="shared" ref="AB2:AL2" si="1">AB8-AB3-AB4-AB5-AB6-AB7</f>
        <v>140.60000000000002</v>
      </c>
      <c r="AC2" s="165">
        <f t="shared" si="1"/>
        <v>131.61000000000001</v>
      </c>
      <c r="AD2" s="165">
        <f t="shared" si="1"/>
        <v>132.17000000000002</v>
      </c>
      <c r="AE2" s="165">
        <f t="shared" si="1"/>
        <v>132.52000000000001</v>
      </c>
      <c r="AF2" s="165">
        <f t="shared" si="1"/>
        <v>134.07000000000002</v>
      </c>
      <c r="AG2" s="165">
        <f t="shared" si="1"/>
        <v>139.88999999999999</v>
      </c>
      <c r="AH2" s="165">
        <f t="shared" si="1"/>
        <v>133.02000000000001</v>
      </c>
      <c r="AI2" s="165">
        <f t="shared" si="1"/>
        <v>132.68</v>
      </c>
      <c r="AJ2" s="165">
        <f t="shared" si="1"/>
        <v>132.18</v>
      </c>
      <c r="AK2" s="165">
        <f t="shared" si="1"/>
        <v>132.68</v>
      </c>
      <c r="AL2" s="165">
        <f t="shared" si="1"/>
        <v>132.6</v>
      </c>
      <c r="AM2" s="165">
        <f t="shared" ref="AM2:AN2" si="2">AM8-AM3-AM4-AM5-AM6-AM7</f>
        <v>134.01</v>
      </c>
      <c r="AN2" s="165">
        <f t="shared" si="2"/>
        <v>134.88</v>
      </c>
      <c r="AO2" s="165">
        <f t="shared" ref="AO2:AP2" si="3">AO8-AO3-AO4-AO5-AO6-AO7</f>
        <v>133.38</v>
      </c>
      <c r="AP2" s="165">
        <f t="shared" si="3"/>
        <v>133.88</v>
      </c>
      <c r="AQ2" s="165">
        <f t="shared" ref="AQ2" si="4">AQ8-AQ3-AQ4-AQ5-AQ6-AQ7</f>
        <v>133.38</v>
      </c>
    </row>
    <row r="3" spans="1:45" ht="12" thickBot="1">
      <c r="A3" s="166" t="s">
        <v>69</v>
      </c>
      <c r="B3" s="167">
        <v>15.5</v>
      </c>
      <c r="C3" s="167">
        <v>15.5</v>
      </c>
      <c r="D3" s="167">
        <v>14.28</v>
      </c>
      <c r="E3" s="167">
        <v>16.027000000000001</v>
      </c>
      <c r="F3" s="167">
        <v>15.6</v>
      </c>
      <c r="G3" s="167">
        <v>16.12</v>
      </c>
      <c r="H3" s="167">
        <v>15.42</v>
      </c>
      <c r="I3" s="167">
        <v>16.027000000000001</v>
      </c>
      <c r="J3" s="167">
        <v>15.93</v>
      </c>
      <c r="K3" s="167">
        <v>15.45</v>
      </c>
      <c r="L3" s="167">
        <v>10.85</v>
      </c>
      <c r="M3" s="167">
        <v>10.5</v>
      </c>
      <c r="N3" s="167">
        <v>13.26</v>
      </c>
      <c r="O3" s="167">
        <v>14.281000000000001</v>
      </c>
      <c r="P3" s="167">
        <v>13.484999999999999</v>
      </c>
      <c r="Q3" s="167">
        <v>15.81</v>
      </c>
      <c r="R3" s="167">
        <v>15.6</v>
      </c>
      <c r="S3" s="167">
        <v>17.05</v>
      </c>
      <c r="T3" s="167"/>
      <c r="U3" s="167">
        <v>15.5</v>
      </c>
      <c r="V3" s="167">
        <v>13.04</v>
      </c>
      <c r="W3" s="167">
        <v>15.6</v>
      </c>
      <c r="X3" s="167">
        <v>16.739999999999998</v>
      </c>
      <c r="Y3" s="167">
        <v>16.2</v>
      </c>
      <c r="Z3" s="167">
        <v>16.12</v>
      </c>
      <c r="AA3" s="167">
        <v>13.12</v>
      </c>
      <c r="AB3" s="167">
        <v>6.72</v>
      </c>
      <c r="AC3" s="216">
        <v>15.56</v>
      </c>
      <c r="AD3" s="216">
        <v>15</v>
      </c>
      <c r="AE3" s="216">
        <v>15.5</v>
      </c>
      <c r="AF3" s="216">
        <v>13.95</v>
      </c>
      <c r="AG3" s="216">
        <v>8.99</v>
      </c>
      <c r="AH3" s="216">
        <v>14.66</v>
      </c>
      <c r="AI3" s="216">
        <v>15</v>
      </c>
      <c r="AJ3" s="216">
        <v>15.5</v>
      </c>
      <c r="AK3" s="216">
        <v>15</v>
      </c>
      <c r="AL3" s="216">
        <v>15.08</v>
      </c>
      <c r="AM3" s="216">
        <v>14.87</v>
      </c>
      <c r="AN3" s="216">
        <v>14</v>
      </c>
      <c r="AO3" s="216">
        <v>15.5</v>
      </c>
      <c r="AP3" s="216">
        <v>15</v>
      </c>
      <c r="AQ3" s="216">
        <v>15.5</v>
      </c>
      <c r="AR3" s="163" t="s">
        <v>127</v>
      </c>
      <c r="AS3" s="194">
        <v>44321</v>
      </c>
    </row>
    <row r="4" spans="1:45" ht="12" thickBot="1">
      <c r="A4" s="190" t="s">
        <v>76</v>
      </c>
      <c r="B4" s="191">
        <v>22</v>
      </c>
      <c r="C4" s="192">
        <v>21</v>
      </c>
      <c r="D4" s="192">
        <v>21.5</v>
      </c>
      <c r="E4" s="192">
        <v>20</v>
      </c>
      <c r="F4" s="192">
        <v>19</v>
      </c>
      <c r="G4" s="192">
        <v>17</v>
      </c>
      <c r="H4" s="192">
        <v>19</v>
      </c>
      <c r="I4" s="192">
        <v>19</v>
      </c>
      <c r="J4" s="192">
        <v>25</v>
      </c>
      <c r="K4" s="192">
        <v>25</v>
      </c>
      <c r="L4" s="192">
        <v>22</v>
      </c>
      <c r="M4" s="192">
        <v>21</v>
      </c>
      <c r="N4" s="192">
        <v>23.5</v>
      </c>
      <c r="O4" s="192">
        <v>23</v>
      </c>
      <c r="P4" s="192">
        <v>23</v>
      </c>
      <c r="Q4" s="192">
        <v>9</v>
      </c>
      <c r="R4" s="192">
        <v>7</v>
      </c>
      <c r="S4" s="192">
        <v>6</v>
      </c>
      <c r="T4" s="193">
        <v>0</v>
      </c>
      <c r="U4" s="192">
        <v>8</v>
      </c>
      <c r="V4" s="192">
        <v>0</v>
      </c>
      <c r="W4" s="192">
        <v>0</v>
      </c>
      <c r="X4" s="192">
        <v>0</v>
      </c>
      <c r="Y4" s="192">
        <v>11</v>
      </c>
      <c r="Z4" s="192">
        <v>14</v>
      </c>
      <c r="AA4" s="192">
        <v>19</v>
      </c>
      <c r="AB4" s="192">
        <v>0</v>
      </c>
      <c r="AC4" s="192">
        <v>0</v>
      </c>
      <c r="AD4" s="219">
        <v>0</v>
      </c>
      <c r="AE4" s="192">
        <v>0</v>
      </c>
      <c r="AF4" s="192">
        <v>0</v>
      </c>
      <c r="AG4" s="192">
        <v>0</v>
      </c>
      <c r="AH4" s="192">
        <v>0</v>
      </c>
      <c r="AI4" s="192">
        <v>0</v>
      </c>
      <c r="AJ4" s="192">
        <v>0</v>
      </c>
      <c r="AK4" s="192">
        <v>0</v>
      </c>
      <c r="AL4" s="192">
        <v>0</v>
      </c>
      <c r="AM4" s="192">
        <v>0</v>
      </c>
      <c r="AN4" s="192">
        <v>0</v>
      </c>
      <c r="AO4" s="192">
        <v>0</v>
      </c>
      <c r="AP4" s="192">
        <v>0</v>
      </c>
      <c r="AQ4" s="192">
        <v>0</v>
      </c>
      <c r="AR4" s="163" t="s">
        <v>127</v>
      </c>
      <c r="AS4" s="194">
        <v>44327</v>
      </c>
    </row>
    <row r="5" spans="1:45" ht="12" thickBot="1">
      <c r="A5" s="172" t="s">
        <v>25</v>
      </c>
      <c r="B5" s="173">
        <v>6</v>
      </c>
      <c r="C5" s="174">
        <v>7</v>
      </c>
      <c r="D5" s="174">
        <v>6</v>
      </c>
      <c r="E5" s="174">
        <v>6</v>
      </c>
      <c r="F5" s="174">
        <v>6.36</v>
      </c>
      <c r="G5" s="174">
        <v>7.2</v>
      </c>
      <c r="H5" s="174">
        <v>7.2</v>
      </c>
      <c r="I5" s="174">
        <v>7.2</v>
      </c>
      <c r="J5" s="174">
        <v>7.2</v>
      </c>
      <c r="K5" s="174">
        <v>6.7</v>
      </c>
      <c r="L5" s="174">
        <v>6.7</v>
      </c>
      <c r="M5" s="174">
        <v>0</v>
      </c>
      <c r="N5" s="174">
        <v>3.96</v>
      </c>
      <c r="O5" s="174">
        <v>7.2</v>
      </c>
      <c r="P5" s="174">
        <v>6.1</v>
      </c>
      <c r="Q5" s="174">
        <v>6.4799999999999995</v>
      </c>
      <c r="R5" s="174">
        <v>6.3</v>
      </c>
      <c r="S5" s="174">
        <v>4.3</v>
      </c>
      <c r="T5" s="175">
        <v>3.6</v>
      </c>
      <c r="U5" s="174">
        <v>3.6</v>
      </c>
      <c r="V5" s="174">
        <v>3</v>
      </c>
      <c r="W5" s="175">
        <v>3.6</v>
      </c>
      <c r="X5" s="174">
        <v>7.36</v>
      </c>
      <c r="Y5" s="175">
        <v>5.36</v>
      </c>
      <c r="Z5" s="174">
        <v>6.67</v>
      </c>
      <c r="AA5" s="174">
        <v>7.07</v>
      </c>
      <c r="AB5" s="174">
        <v>6.48</v>
      </c>
      <c r="AC5" s="175">
        <v>6.63</v>
      </c>
      <c r="AD5" s="220">
        <v>6.63</v>
      </c>
      <c r="AE5" s="174">
        <v>5.78</v>
      </c>
      <c r="AF5" s="174">
        <v>5.78</v>
      </c>
      <c r="AG5" s="174">
        <v>6.12</v>
      </c>
      <c r="AH5" s="174">
        <v>6.12</v>
      </c>
      <c r="AI5" s="174">
        <v>6.12</v>
      </c>
      <c r="AJ5" s="174">
        <v>6.12</v>
      </c>
      <c r="AK5" s="174">
        <v>6.12</v>
      </c>
      <c r="AL5" s="174">
        <v>6.12</v>
      </c>
      <c r="AM5" s="174">
        <v>6.12</v>
      </c>
      <c r="AN5" s="174">
        <v>6.12</v>
      </c>
      <c r="AO5" s="174">
        <v>6.12</v>
      </c>
      <c r="AP5" s="174">
        <v>6.12</v>
      </c>
      <c r="AQ5" s="174">
        <v>6.12</v>
      </c>
      <c r="AR5" s="163" t="s">
        <v>127</v>
      </c>
      <c r="AS5" s="194">
        <v>44327</v>
      </c>
    </row>
    <row r="6" spans="1:45" ht="12" thickBot="1">
      <c r="A6" s="190" t="s">
        <v>73</v>
      </c>
      <c r="B6" s="191">
        <v>5.7</v>
      </c>
      <c r="C6" s="192">
        <v>5.74</v>
      </c>
      <c r="D6" s="192">
        <v>5.74</v>
      </c>
      <c r="E6" s="192">
        <v>5.6</v>
      </c>
      <c r="F6" s="192">
        <v>5.7</v>
      </c>
      <c r="G6" s="192">
        <v>5.89</v>
      </c>
      <c r="H6" s="192">
        <v>5.7</v>
      </c>
      <c r="I6" s="192">
        <v>5.89</v>
      </c>
      <c r="J6" s="192">
        <v>6.05</v>
      </c>
      <c r="K6" s="192">
        <v>5.85</v>
      </c>
      <c r="L6" s="192">
        <v>6.05</v>
      </c>
      <c r="M6" s="192">
        <v>5.85</v>
      </c>
      <c r="N6" s="192">
        <v>6.05</v>
      </c>
      <c r="O6" s="192">
        <v>6.2</v>
      </c>
      <c r="P6" s="192">
        <v>5.66</v>
      </c>
      <c r="Q6" s="192">
        <v>6.0449999999999999</v>
      </c>
      <c r="R6" s="192">
        <v>5.85</v>
      </c>
      <c r="S6" s="192">
        <v>6.05</v>
      </c>
      <c r="T6" s="193">
        <v>5.4</v>
      </c>
      <c r="U6" s="192">
        <v>4.5599999999999996</v>
      </c>
      <c r="V6" s="193">
        <v>5.58</v>
      </c>
      <c r="W6" s="192">
        <v>5.4</v>
      </c>
      <c r="X6" s="192">
        <v>5.58</v>
      </c>
      <c r="Y6" s="192">
        <v>5.4</v>
      </c>
      <c r="Z6" s="192">
        <v>5.58</v>
      </c>
      <c r="AA6" s="192">
        <v>5.89</v>
      </c>
      <c r="AB6" s="192">
        <v>5.32</v>
      </c>
      <c r="AC6" s="192">
        <v>5.74</v>
      </c>
      <c r="AD6" s="219">
        <v>5.55</v>
      </c>
      <c r="AE6" s="192">
        <v>5.7350000000000003</v>
      </c>
      <c r="AF6" s="192">
        <v>5.55</v>
      </c>
      <c r="AG6" s="192">
        <v>5.7350000000000003</v>
      </c>
      <c r="AH6" s="192">
        <v>5.7350000000000003</v>
      </c>
      <c r="AI6" s="192">
        <v>5.55</v>
      </c>
      <c r="AJ6" s="192">
        <v>5.7350000000000003</v>
      </c>
      <c r="AK6" s="192">
        <v>5.7350000000000003</v>
      </c>
      <c r="AL6" s="192">
        <v>5.7350000000000003</v>
      </c>
      <c r="AM6" s="192">
        <v>5.7350000000000003</v>
      </c>
      <c r="AN6" s="192">
        <v>5.7350000000000003</v>
      </c>
      <c r="AO6" s="192">
        <v>5.7350000000000003</v>
      </c>
      <c r="AP6" s="192">
        <v>5.7350000000000003</v>
      </c>
      <c r="AQ6" s="192">
        <v>5.7350000000000003</v>
      </c>
      <c r="AR6" s="163" t="s">
        <v>127</v>
      </c>
      <c r="AS6" s="194">
        <v>44327</v>
      </c>
    </row>
    <row r="7" spans="1:45" ht="12" thickBot="1">
      <c r="A7" s="172" t="s">
        <v>80</v>
      </c>
      <c r="B7" s="173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>
        <v>0.6</v>
      </c>
      <c r="R7" s="174">
        <v>0.6</v>
      </c>
      <c r="S7" s="174">
        <v>0.6</v>
      </c>
      <c r="T7" s="175">
        <v>0.6</v>
      </c>
      <c r="U7" s="174">
        <v>0.6</v>
      </c>
      <c r="V7" s="174">
        <v>1.2</v>
      </c>
      <c r="W7" s="174">
        <v>0.6</v>
      </c>
      <c r="X7" s="174">
        <v>0.6</v>
      </c>
      <c r="Y7" s="195">
        <v>0.6</v>
      </c>
      <c r="Z7" s="174">
        <v>0.6</v>
      </c>
      <c r="AA7" s="174">
        <v>1.2</v>
      </c>
      <c r="AB7" s="174">
        <v>1.2</v>
      </c>
      <c r="AC7" s="174">
        <v>1.2</v>
      </c>
      <c r="AD7" s="174">
        <v>1.2</v>
      </c>
      <c r="AE7" s="174">
        <v>1.2</v>
      </c>
      <c r="AF7" s="174">
        <v>1.2</v>
      </c>
      <c r="AG7" s="174">
        <v>0</v>
      </c>
      <c r="AH7" s="174">
        <v>1.2</v>
      </c>
      <c r="AI7" s="174">
        <v>1.2</v>
      </c>
      <c r="AJ7" s="174">
        <v>1.2</v>
      </c>
      <c r="AK7" s="174">
        <v>1.2</v>
      </c>
      <c r="AL7" s="174">
        <v>1.2</v>
      </c>
      <c r="AM7" s="174">
        <v>0</v>
      </c>
      <c r="AN7" s="174">
        <v>0</v>
      </c>
      <c r="AO7" s="174">
        <v>0</v>
      </c>
      <c r="AP7" s="174">
        <v>0</v>
      </c>
      <c r="AQ7" s="174">
        <v>0</v>
      </c>
      <c r="AR7" s="163" t="s">
        <v>127</v>
      </c>
      <c r="AS7" s="194">
        <v>44327</v>
      </c>
    </row>
    <row r="8" spans="1:45" ht="12" thickBot="1">
      <c r="A8" s="164" t="s">
        <v>111</v>
      </c>
      <c r="B8" s="168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70">
        <f>P2+P3+P4+P5+P6</f>
        <v>182.08599999999996</v>
      </c>
      <c r="Q8" s="170">
        <f>SUM(Q2:Q6)</f>
        <v>200.60300000000001</v>
      </c>
      <c r="R8" s="170">
        <f>SUM(R2:R6)</f>
        <v>155.56155380307001</v>
      </c>
      <c r="S8" s="170">
        <f>SUM(S2:S6)</f>
        <v>182.27437226317227</v>
      </c>
      <c r="T8" s="170">
        <v>128.17003484000003</v>
      </c>
      <c r="U8" s="170">
        <v>135.03236259000002</v>
      </c>
      <c r="V8" s="170">
        <v>134.37740310999996</v>
      </c>
      <c r="W8" s="170">
        <v>136.63989089</v>
      </c>
      <c r="X8" s="170">
        <v>149.14252553</v>
      </c>
      <c r="Y8" s="170">
        <v>161.24184313999996</v>
      </c>
      <c r="Z8" s="170">
        <v>161</v>
      </c>
      <c r="AA8" s="170">
        <v>166</v>
      </c>
      <c r="AB8" s="170">
        <f>155+AB6</f>
        <v>160.32</v>
      </c>
      <c r="AC8" s="170">
        <f t="shared" ref="AC8:AP8" si="5">155+AC6</f>
        <v>160.74</v>
      </c>
      <c r="AD8" s="170">
        <f t="shared" si="5"/>
        <v>160.55000000000001</v>
      </c>
      <c r="AE8" s="170">
        <f t="shared" si="5"/>
        <v>160.73500000000001</v>
      </c>
      <c r="AF8" s="170">
        <f t="shared" si="5"/>
        <v>160.55000000000001</v>
      </c>
      <c r="AG8" s="170">
        <f t="shared" si="5"/>
        <v>160.73500000000001</v>
      </c>
      <c r="AH8" s="170">
        <f t="shared" si="5"/>
        <v>160.73500000000001</v>
      </c>
      <c r="AI8" s="170">
        <f t="shared" si="5"/>
        <v>160.55000000000001</v>
      </c>
      <c r="AJ8" s="170">
        <f t="shared" si="5"/>
        <v>160.73500000000001</v>
      </c>
      <c r="AK8" s="170">
        <f t="shared" si="5"/>
        <v>160.73500000000001</v>
      </c>
      <c r="AL8" s="170">
        <f t="shared" si="5"/>
        <v>160.73500000000001</v>
      </c>
      <c r="AM8" s="170">
        <f t="shared" si="5"/>
        <v>160.73500000000001</v>
      </c>
      <c r="AN8" s="170">
        <f t="shared" si="5"/>
        <v>160.73500000000001</v>
      </c>
      <c r="AO8" s="170">
        <f t="shared" si="5"/>
        <v>160.73500000000001</v>
      </c>
      <c r="AP8" s="170">
        <f t="shared" si="5"/>
        <v>160.73500000000001</v>
      </c>
      <c r="AQ8" s="170">
        <f t="shared" ref="AQ8" si="6">155+AQ6</f>
        <v>160.73500000000001</v>
      </c>
      <c r="AS8" s="171"/>
    </row>
    <row r="9" spans="1:45" ht="12" thickBot="1">
      <c r="S9" s="186"/>
      <c r="AS9" s="171"/>
    </row>
    <row r="10" spans="1:45" ht="12" thickBot="1">
      <c r="A10" s="162" t="s">
        <v>112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201"/>
      <c r="X10" s="186"/>
      <c r="Y10" s="187" t="e">
        <f>Y6-#REF!</f>
        <v>#REF!</v>
      </c>
      <c r="Z10" s="187"/>
      <c r="AA10" s="162">
        <v>23377</v>
      </c>
      <c r="AB10" s="162">
        <v>23408</v>
      </c>
      <c r="AC10" s="162">
        <v>23437</v>
      </c>
      <c r="AD10" s="162">
        <f>AD1</f>
        <v>23468</v>
      </c>
      <c r="AE10" s="162">
        <f t="shared" ref="AE10:AO10" si="7">AE1</f>
        <v>23498</v>
      </c>
      <c r="AF10" s="162">
        <f t="shared" si="7"/>
        <v>23529</v>
      </c>
      <c r="AG10" s="162">
        <f t="shared" si="7"/>
        <v>23559</v>
      </c>
      <c r="AH10" s="162">
        <f t="shared" si="7"/>
        <v>23590</v>
      </c>
      <c r="AI10" s="162">
        <f t="shared" si="7"/>
        <v>23621</v>
      </c>
      <c r="AJ10" s="162">
        <f t="shared" si="7"/>
        <v>23651</v>
      </c>
      <c r="AK10" s="162">
        <f t="shared" si="7"/>
        <v>23682</v>
      </c>
      <c r="AL10" s="162">
        <f t="shared" si="7"/>
        <v>23712</v>
      </c>
      <c r="AM10" s="162">
        <f t="shared" si="7"/>
        <v>23743</v>
      </c>
      <c r="AN10" s="162">
        <f t="shared" si="7"/>
        <v>23774</v>
      </c>
      <c r="AO10" s="162">
        <f t="shared" si="7"/>
        <v>23802</v>
      </c>
      <c r="AP10" s="162">
        <f t="shared" ref="AP10:AQ10" si="8">AP1</f>
        <v>23833</v>
      </c>
      <c r="AQ10" s="162">
        <f t="shared" si="8"/>
        <v>23863</v>
      </c>
      <c r="AS10" s="171"/>
    </row>
    <row r="11" spans="1:45" ht="12" thickBot="1">
      <c r="A11" s="166" t="s">
        <v>157</v>
      </c>
      <c r="B11" s="167">
        <v>15.5</v>
      </c>
      <c r="C11" s="167">
        <v>15.5</v>
      </c>
      <c r="D11" s="167">
        <v>14.28</v>
      </c>
      <c r="E11" s="167">
        <v>16.027000000000001</v>
      </c>
      <c r="F11" s="167">
        <v>15.6</v>
      </c>
      <c r="G11" s="167">
        <v>16.12</v>
      </c>
      <c r="H11" s="167">
        <v>15.42</v>
      </c>
      <c r="I11" s="167">
        <v>16.027000000000001</v>
      </c>
      <c r="J11" s="167">
        <v>15.93</v>
      </c>
      <c r="K11" s="167">
        <v>15.45</v>
      </c>
      <c r="L11" s="167">
        <v>10.85</v>
      </c>
      <c r="M11" s="167">
        <v>10.5</v>
      </c>
      <c r="N11" s="167">
        <v>13.26</v>
      </c>
      <c r="O11" s="167">
        <v>14.281000000000001</v>
      </c>
      <c r="P11" s="167">
        <v>13.484999999999999</v>
      </c>
      <c r="Q11" s="167">
        <v>15.81</v>
      </c>
      <c r="R11" s="167">
        <v>15.6</v>
      </c>
      <c r="S11" s="167">
        <v>17.05</v>
      </c>
      <c r="T11" s="167"/>
      <c r="U11" s="167">
        <v>15.5</v>
      </c>
      <c r="V11" s="167">
        <v>13.04</v>
      </c>
      <c r="W11" s="167">
        <v>15.6</v>
      </c>
      <c r="X11" s="167">
        <v>16.739999999999998</v>
      </c>
      <c r="Y11" s="167">
        <v>16.2</v>
      </c>
      <c r="Z11" s="167">
        <v>16.12</v>
      </c>
      <c r="AA11" s="167">
        <v>3</v>
      </c>
      <c r="AB11" s="167">
        <v>31</v>
      </c>
      <c r="AC11" s="167">
        <v>19</v>
      </c>
      <c r="AD11" s="167">
        <v>50</v>
      </c>
      <c r="AE11" s="167">
        <v>46</v>
      </c>
      <c r="AF11" s="167">
        <v>41</v>
      </c>
      <c r="AG11" s="167">
        <v>102</v>
      </c>
      <c r="AH11" s="167">
        <v>33</v>
      </c>
      <c r="AI11" s="167">
        <v>53</v>
      </c>
      <c r="AJ11" s="167">
        <v>47</v>
      </c>
      <c r="AK11" s="167">
        <v>43</v>
      </c>
      <c r="AL11" s="167">
        <v>29</v>
      </c>
      <c r="AM11" s="167">
        <v>41</v>
      </c>
      <c r="AN11" s="167">
        <v>45</v>
      </c>
      <c r="AO11" s="167">
        <v>38</v>
      </c>
      <c r="AP11" s="167">
        <v>40</v>
      </c>
      <c r="AQ11" s="167">
        <v>33</v>
      </c>
      <c r="AR11" s="163" t="s">
        <v>127</v>
      </c>
      <c r="AS11" s="194">
        <v>44327</v>
      </c>
    </row>
    <row r="12" spans="1:45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</row>
    <row r="13" spans="1:4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</row>
    <row r="14" spans="1:45"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7"/>
      <c r="AL14" s="187"/>
      <c r="AM14" s="204"/>
      <c r="AN14" s="204"/>
      <c r="AO14" s="217"/>
      <c r="AP14" s="217"/>
      <c r="AQ14" s="231"/>
    </row>
    <row r="15" spans="1:45"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</row>
    <row r="16" spans="1:45"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</row>
    <row r="17" spans="1:43"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</row>
    <row r="18" spans="1:43"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</row>
    <row r="19" spans="1:43"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</row>
    <row r="20" spans="1:43"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</row>
    <row r="21" spans="1:43">
      <c r="AC21" s="217"/>
      <c r="AD21" s="217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</row>
    <row r="23" spans="1:43">
      <c r="A23" s="171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7"/>
      <c r="AL23" s="187"/>
      <c r="AM23" s="204"/>
      <c r="AN23" s="204"/>
      <c r="AO23" s="217"/>
      <c r="AP23" s="217"/>
      <c r="AQ23" s="231"/>
    </row>
    <row r="24" spans="1:43">
      <c r="A24" s="171"/>
    </row>
    <row r="25" spans="1:43">
      <c r="AL25" s="232"/>
      <c r="AM25" s="232"/>
      <c r="AN25" s="232"/>
      <c r="AO25" s="232"/>
    </row>
    <row r="26" spans="1:43">
      <c r="AL26" s="232"/>
      <c r="AM26" s="232"/>
      <c r="AN26" s="232"/>
      <c r="AO26" s="23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9"/>
  <sheetViews>
    <sheetView showGridLines="0" topLeftCell="A57" zoomScale="115" zoomScaleNormal="115" workbookViewId="0">
      <selection activeCell="D25" sqref="D25:D76"/>
    </sheetView>
  </sheetViews>
  <sheetFormatPr defaultColWidth="8.625" defaultRowHeight="12"/>
  <cols>
    <col min="1" max="1" width="12.375" style="123" customWidth="1"/>
    <col min="2" max="2" width="24.875" style="123" bestFit="1" customWidth="1"/>
    <col min="3" max="3" width="22.5" style="116" bestFit="1" customWidth="1"/>
    <col min="4" max="4" width="11.875" style="116" bestFit="1" customWidth="1"/>
    <col min="5" max="15" width="10.875" style="116" bestFit="1" customWidth="1"/>
    <col min="16" max="16" width="30.625" style="116" customWidth="1"/>
    <col min="17" max="17" width="14.625" style="116" customWidth="1"/>
    <col min="18" max="18" width="16" style="116" bestFit="1" customWidth="1"/>
    <col min="19" max="19" width="15.625" style="116" customWidth="1"/>
    <col min="20" max="20" width="32" style="116" bestFit="1" customWidth="1"/>
    <col min="21" max="21" width="16.125" style="116" bestFit="1" customWidth="1"/>
    <col min="22" max="22" width="16.5" style="116" bestFit="1" customWidth="1"/>
    <col min="23" max="23" width="20.125" style="116" bestFit="1" customWidth="1"/>
    <col min="24" max="24" width="15.625" style="116" customWidth="1"/>
    <col min="25" max="16384" width="8.625" style="116"/>
  </cols>
  <sheetData>
    <row r="1" spans="3:26" ht="12.6" thickBot="1">
      <c r="C1" s="114" t="s">
        <v>0</v>
      </c>
      <c r="D1" s="115">
        <f>Q5</f>
        <v>44348</v>
      </c>
      <c r="E1" s="115">
        <f>Q6</f>
        <v>44378</v>
      </c>
      <c r="F1" s="115">
        <f>Q7</f>
        <v>44409</v>
      </c>
      <c r="G1" s="115">
        <f>Q8</f>
        <v>44440</v>
      </c>
      <c r="H1" s="115">
        <f>Q9</f>
        <v>44470</v>
      </c>
      <c r="I1" s="115">
        <f>Q10</f>
        <v>44501</v>
      </c>
      <c r="J1" s="115">
        <f>Q11</f>
        <v>44531</v>
      </c>
      <c r="K1" s="115">
        <f>Q12</f>
        <v>44562</v>
      </c>
      <c r="L1" s="115">
        <f>Q13</f>
        <v>44593</v>
      </c>
      <c r="M1" s="115">
        <f>Q14</f>
        <v>44621</v>
      </c>
      <c r="N1" s="115">
        <f>Q15</f>
        <v>44652</v>
      </c>
      <c r="O1" s="115">
        <f>Q16</f>
        <v>44682</v>
      </c>
      <c r="Q1" s="117" t="s">
        <v>159</v>
      </c>
      <c r="Z1" s="117"/>
    </row>
    <row r="2" spans="3:26" ht="20.100000000000001" customHeight="1" thickBot="1">
      <c r="C2" s="118" t="s">
        <v>2</v>
      </c>
      <c r="D2" s="224">
        <f>(R5+S5)/1000000</f>
        <v>59.190893920000001</v>
      </c>
      <c r="E2" s="224">
        <f>($R6+$S6)/1000000</f>
        <v>60.601872799999995</v>
      </c>
      <c r="F2" s="224">
        <f>($R7+$S7)/1000000</f>
        <v>65.824960410000003</v>
      </c>
      <c r="G2" s="224">
        <f>($R8+$S8)/1000000</f>
        <v>65.364097170000008</v>
      </c>
      <c r="H2" s="224">
        <f>($R9+$S9)/1000000</f>
        <v>67.048194119999991</v>
      </c>
      <c r="I2" s="224">
        <f>($R10+$S10)/1000000</f>
        <v>65.768127179999993</v>
      </c>
      <c r="J2" s="224">
        <f>($R11+$S11)/1000000</f>
        <v>68.371438799999993</v>
      </c>
      <c r="K2" s="224">
        <f>($R12+$S12)/1000000</f>
        <v>67.459961039999996</v>
      </c>
      <c r="L2" s="224">
        <f>($R13+$S13)/1000000</f>
        <v>63.794543909999994</v>
      </c>
      <c r="M2" s="224">
        <f>($R14+$S14)/1000000</f>
        <v>65.840406020000003</v>
      </c>
      <c r="N2" s="224">
        <f>($R15+$S15)/1000000</f>
        <v>64.398950709999994</v>
      </c>
      <c r="O2" s="224">
        <f>($R16+$S16)/1000000</f>
        <v>63.684385640000002</v>
      </c>
      <c r="Q2" s="234" t="s">
        <v>100</v>
      </c>
      <c r="R2" s="234"/>
      <c r="S2" s="79"/>
      <c r="T2" s="79"/>
      <c r="U2" s="71" t="s">
        <v>4</v>
      </c>
    </row>
    <row r="3" spans="3:26" ht="20.100000000000001" customHeight="1" thickBot="1">
      <c r="C3" s="118" t="s">
        <v>5</v>
      </c>
      <c r="D3" s="224">
        <f>T5/1000000</f>
        <v>81.214034189999992</v>
      </c>
      <c r="E3" s="224">
        <f>T6/1000000</f>
        <v>86.096688569999998</v>
      </c>
      <c r="F3" s="224">
        <f>$T7/1000000</f>
        <v>92.208695379999995</v>
      </c>
      <c r="G3" s="224">
        <f>$T8/1000000</f>
        <v>91.944028860000003</v>
      </c>
      <c r="H3" s="224">
        <f>$T9/1000000</f>
        <v>92.187959409999991</v>
      </c>
      <c r="I3" s="224">
        <f>$T10/1000000</f>
        <v>92.328257629999996</v>
      </c>
      <c r="J3" s="224">
        <f>$T11/1000000</f>
        <v>94.505829050000003</v>
      </c>
      <c r="K3" s="224">
        <f>$T12/1000000</f>
        <v>93.576875560000005</v>
      </c>
      <c r="L3" s="224">
        <f>$T13/1000000</f>
        <v>89.432644260000004</v>
      </c>
      <c r="M3" s="224">
        <f>$T14/1000000</f>
        <v>92.770865950000001</v>
      </c>
      <c r="N3" s="224">
        <f>$T15/1000000</f>
        <v>88.221904499999994</v>
      </c>
      <c r="O3" s="224">
        <f>$T16/1000000</f>
        <v>90.156336629999998</v>
      </c>
      <c r="Q3" s="72" t="s">
        <v>6</v>
      </c>
      <c r="R3" s="235" t="s">
        <v>7</v>
      </c>
      <c r="S3" s="236"/>
      <c r="T3" s="73" t="s">
        <v>5</v>
      </c>
      <c r="U3" s="74" t="s">
        <v>8</v>
      </c>
      <c r="V3" s="119"/>
      <c r="W3" s="120"/>
    </row>
    <row r="4" spans="3:26" ht="20.100000000000001" customHeight="1" thickBot="1">
      <c r="C4" s="121" t="s">
        <v>9</v>
      </c>
      <c r="D4" s="80">
        <f t="shared" ref="D4:O4" si="0">SUM(D2:D3)</f>
        <v>140.40492810999999</v>
      </c>
      <c r="E4" s="80">
        <f t="shared" si="0"/>
        <v>146.69856136999999</v>
      </c>
      <c r="F4" s="80">
        <f t="shared" si="0"/>
        <v>158.03365579000001</v>
      </c>
      <c r="G4" s="80">
        <f t="shared" si="0"/>
        <v>157.30812603000001</v>
      </c>
      <c r="H4" s="80">
        <f t="shared" si="0"/>
        <v>159.23615352999997</v>
      </c>
      <c r="I4" s="80">
        <f t="shared" si="0"/>
        <v>158.09638480999999</v>
      </c>
      <c r="J4" s="80">
        <f t="shared" si="0"/>
        <v>162.87726785000001</v>
      </c>
      <c r="K4" s="80">
        <f t="shared" si="0"/>
        <v>161.03683660000002</v>
      </c>
      <c r="L4" s="80">
        <f t="shared" si="0"/>
        <v>153.22718817000001</v>
      </c>
      <c r="M4" s="80">
        <f t="shared" si="0"/>
        <v>158.61127197000002</v>
      </c>
      <c r="N4" s="80">
        <f t="shared" si="0"/>
        <v>152.62085521</v>
      </c>
      <c r="O4" s="80">
        <f t="shared" si="0"/>
        <v>153.84072227000001</v>
      </c>
      <c r="Q4" s="75" t="s">
        <v>101</v>
      </c>
      <c r="R4" s="76" t="s">
        <v>11</v>
      </c>
      <c r="S4" s="77" t="s">
        <v>12</v>
      </c>
      <c r="T4" s="78" t="s">
        <v>13</v>
      </c>
      <c r="U4" s="75" t="s">
        <v>14</v>
      </c>
      <c r="V4" s="81" t="s">
        <v>74</v>
      </c>
      <c r="W4" s="82" t="s">
        <v>75</v>
      </c>
    </row>
    <row r="5" spans="3:26" ht="20.100000000000001" customHeight="1" thickBot="1">
      <c r="D5" s="122"/>
      <c r="Q5" s="141">
        <v>44348</v>
      </c>
      <c r="R5" s="142">
        <v>58790893.920000002</v>
      </c>
      <c r="S5" s="182">
        <v>400000</v>
      </c>
      <c r="T5" s="143">
        <v>81214034.189999998</v>
      </c>
      <c r="U5" s="144">
        <v>140404928.11000001</v>
      </c>
      <c r="V5" s="145">
        <v>500000</v>
      </c>
      <c r="W5" s="145">
        <v>600000</v>
      </c>
      <c r="X5" s="83">
        <f t="shared" ref="X5:X16" si="1">V5/10^6</f>
        <v>0.5</v>
      </c>
    </row>
    <row r="6" spans="3:26" ht="20.100000000000001" customHeight="1" thickBot="1">
      <c r="Q6" s="141">
        <v>44378</v>
      </c>
      <c r="R6" s="142">
        <v>60101872.799999997</v>
      </c>
      <c r="S6" s="182">
        <v>500000</v>
      </c>
      <c r="T6" s="143">
        <v>86096688.569999993</v>
      </c>
      <c r="U6" s="144">
        <v>146698561.37</v>
      </c>
      <c r="V6" s="145">
        <v>500000</v>
      </c>
      <c r="W6" s="145">
        <v>600000</v>
      </c>
      <c r="X6" s="83">
        <f t="shared" si="1"/>
        <v>0.5</v>
      </c>
    </row>
    <row r="7" spans="3:26" ht="20.100000000000001" customHeight="1" thickBot="1">
      <c r="C7" s="124" t="s">
        <v>0</v>
      </c>
      <c r="D7" s="115">
        <f t="shared" ref="D7:O7" si="2">D1</f>
        <v>44348</v>
      </c>
      <c r="E7" s="115">
        <f t="shared" si="2"/>
        <v>44378</v>
      </c>
      <c r="F7" s="115">
        <f t="shared" si="2"/>
        <v>44409</v>
      </c>
      <c r="G7" s="115">
        <f t="shared" si="2"/>
        <v>44440</v>
      </c>
      <c r="H7" s="115">
        <f t="shared" si="2"/>
        <v>44470</v>
      </c>
      <c r="I7" s="115">
        <f t="shared" si="2"/>
        <v>44501</v>
      </c>
      <c r="J7" s="115">
        <f t="shared" si="2"/>
        <v>44531</v>
      </c>
      <c r="K7" s="115">
        <f t="shared" si="2"/>
        <v>44562</v>
      </c>
      <c r="L7" s="115">
        <f t="shared" si="2"/>
        <v>44593</v>
      </c>
      <c r="M7" s="115">
        <f t="shared" si="2"/>
        <v>44621</v>
      </c>
      <c r="N7" s="115">
        <f t="shared" si="2"/>
        <v>44652</v>
      </c>
      <c r="O7" s="115">
        <f t="shared" si="2"/>
        <v>44682</v>
      </c>
      <c r="Q7" s="141">
        <v>44409</v>
      </c>
      <c r="R7" s="142">
        <v>65224960.409999996</v>
      </c>
      <c r="S7" s="182">
        <v>600000</v>
      </c>
      <c r="T7" s="143">
        <v>92208695.379999995</v>
      </c>
      <c r="U7" s="144">
        <v>158033655.78999999</v>
      </c>
      <c r="V7" s="145">
        <v>500000</v>
      </c>
      <c r="W7" s="145">
        <v>600000</v>
      </c>
      <c r="X7" s="83">
        <f t="shared" si="1"/>
        <v>0.5</v>
      </c>
    </row>
    <row r="8" spans="3:26" ht="20.100000000000001" customHeight="1" thickBot="1">
      <c r="C8" s="123" t="s">
        <v>2</v>
      </c>
      <c r="Q8" s="141">
        <v>44440</v>
      </c>
      <c r="R8" s="142">
        <v>64764097.170000002</v>
      </c>
      <c r="S8" s="182">
        <v>600000</v>
      </c>
      <c r="T8" s="143">
        <v>91944028.859999999</v>
      </c>
      <c r="U8" s="144">
        <v>157308126.03</v>
      </c>
      <c r="V8" s="145">
        <v>500000</v>
      </c>
      <c r="W8" s="145">
        <v>600000</v>
      </c>
      <c r="X8" s="83">
        <f t="shared" si="1"/>
        <v>0.5</v>
      </c>
    </row>
    <row r="9" spans="3:26" ht="20.100000000000001" customHeight="1" thickBot="1">
      <c r="C9" s="124" t="s">
        <v>73</v>
      </c>
      <c r="D9" s="125">
        <v>5.55</v>
      </c>
      <c r="E9" s="125">
        <v>5.7350000000000003</v>
      </c>
      <c r="F9" s="125">
        <v>5.7350000000000003</v>
      </c>
      <c r="G9" s="125">
        <v>5.55</v>
      </c>
      <c r="H9" s="125">
        <v>5.7350000000000003</v>
      </c>
      <c r="I9" s="125">
        <v>5.7350000000000003</v>
      </c>
      <c r="J9" s="125">
        <v>5.7350000000000003</v>
      </c>
      <c r="K9" s="125">
        <v>5.7350000000000003</v>
      </c>
      <c r="L9" s="125">
        <v>5.7350000000000003</v>
      </c>
      <c r="M9" s="125">
        <v>5.7350000000000003</v>
      </c>
      <c r="N9" s="125">
        <v>5.7350000000000003</v>
      </c>
      <c r="O9" s="125">
        <v>5.7350000000000003</v>
      </c>
      <c r="Q9" s="141">
        <v>44470</v>
      </c>
      <c r="R9" s="142">
        <v>66448194.119999997</v>
      </c>
      <c r="S9" s="182">
        <v>600000</v>
      </c>
      <c r="T9" s="143">
        <v>92187959.409999996</v>
      </c>
      <c r="U9" s="144">
        <v>159236153.53</v>
      </c>
      <c r="V9" s="145">
        <v>500000</v>
      </c>
      <c r="W9" s="145">
        <v>900000</v>
      </c>
      <c r="X9" s="83">
        <f t="shared" si="1"/>
        <v>0.5</v>
      </c>
    </row>
    <row r="10" spans="3:26" ht="20.100000000000001" customHeight="1" thickBot="1">
      <c r="C10" s="118" t="s">
        <v>22</v>
      </c>
      <c r="D10" s="225">
        <f>(R5/10^6)-D9</f>
        <v>53.240893920000005</v>
      </c>
      <c r="E10" s="225">
        <f>(R6/10^6)-E9</f>
        <v>54.366872799999996</v>
      </c>
      <c r="F10" s="225">
        <f>(R7/10^6)-F9</f>
        <v>59.489960409999995</v>
      </c>
      <c r="G10" s="225">
        <f>(R8/10^6)-G9</f>
        <v>59.214097170000002</v>
      </c>
      <c r="H10" s="225">
        <f>(R9/10^6)-H9</f>
        <v>60.713194119999997</v>
      </c>
      <c r="I10" s="225">
        <f>(R10/10^6)-I9</f>
        <v>59.43312718</v>
      </c>
      <c r="J10" s="225">
        <f>(R11/10^6)-J9</f>
        <v>62.036438799999999</v>
      </c>
      <c r="K10" s="225">
        <f>(R12/10^6)-K9</f>
        <v>61.124961040000002</v>
      </c>
      <c r="L10" s="225">
        <f>(R13/10^6)-L9</f>
        <v>57.459543909999994</v>
      </c>
      <c r="M10" s="225">
        <f>(R14/10^6)-M9</f>
        <v>59.505406020000009</v>
      </c>
      <c r="N10" s="225">
        <f>(R15/10^6)-N9</f>
        <v>58.06395071</v>
      </c>
      <c r="O10" s="225">
        <f>(R16/10^6)-O9</f>
        <v>57.349385640000001</v>
      </c>
      <c r="Q10" s="141">
        <v>44501</v>
      </c>
      <c r="R10" s="142">
        <v>65168127.18</v>
      </c>
      <c r="S10" s="182">
        <v>600000</v>
      </c>
      <c r="T10" s="143">
        <v>92328257.629999995</v>
      </c>
      <c r="U10" s="144">
        <v>158096384.81</v>
      </c>
      <c r="V10" s="145">
        <v>500000</v>
      </c>
      <c r="W10" s="145">
        <v>900000</v>
      </c>
      <c r="X10" s="83">
        <f t="shared" si="1"/>
        <v>0.5</v>
      </c>
    </row>
    <row r="11" spans="3:26" ht="17.850000000000001" customHeight="1" thickBot="1">
      <c r="Q11" s="141">
        <v>44531</v>
      </c>
      <c r="R11" s="142">
        <v>67771438.799999997</v>
      </c>
      <c r="S11" s="182">
        <v>600000</v>
      </c>
      <c r="T11" s="143">
        <v>94505829.049999997</v>
      </c>
      <c r="U11" s="144">
        <v>162877267.84999999</v>
      </c>
      <c r="V11" s="145">
        <v>500000</v>
      </c>
      <c r="W11" s="145">
        <v>900000</v>
      </c>
      <c r="X11" s="83">
        <f t="shared" si="1"/>
        <v>0.5</v>
      </c>
    </row>
    <row r="12" spans="3:26" ht="17.850000000000001" customHeight="1" thickBot="1">
      <c r="C12" s="123" t="s">
        <v>5</v>
      </c>
      <c r="D12" s="158"/>
      <c r="E12" s="158"/>
      <c r="Q12" s="141">
        <v>44562</v>
      </c>
      <c r="R12" s="142">
        <v>66859961.039999999</v>
      </c>
      <c r="S12" s="182">
        <v>600000</v>
      </c>
      <c r="T12" s="143">
        <v>93576875.560000002</v>
      </c>
      <c r="U12" s="144">
        <v>161036836.59</v>
      </c>
      <c r="V12" s="145">
        <v>600000</v>
      </c>
      <c r="W12" s="145">
        <v>900000</v>
      </c>
      <c r="X12" s="83">
        <f t="shared" si="1"/>
        <v>0.6</v>
      </c>
    </row>
    <row r="13" spans="3:26" ht="17.850000000000001" customHeight="1" thickBot="1">
      <c r="C13" s="124" t="s">
        <v>69</v>
      </c>
      <c r="D13" s="125">
        <v>13.95</v>
      </c>
      <c r="E13" s="125">
        <v>8.99</v>
      </c>
      <c r="F13" s="125">
        <v>14.66</v>
      </c>
      <c r="G13" s="125">
        <v>15</v>
      </c>
      <c r="H13" s="125">
        <v>15.5</v>
      </c>
      <c r="I13" s="125">
        <v>15</v>
      </c>
      <c r="J13" s="125">
        <v>15.08</v>
      </c>
      <c r="K13" s="125">
        <v>14.87</v>
      </c>
      <c r="L13" s="125">
        <v>14</v>
      </c>
      <c r="M13" s="125">
        <v>15.5</v>
      </c>
      <c r="N13" s="125">
        <v>15</v>
      </c>
      <c r="O13" s="125">
        <v>15.5</v>
      </c>
      <c r="Q13" s="141">
        <v>44593</v>
      </c>
      <c r="R13" s="142">
        <v>63194543.909999996</v>
      </c>
      <c r="S13" s="182">
        <v>600000</v>
      </c>
      <c r="T13" s="143">
        <v>89432644.260000005</v>
      </c>
      <c r="U13" s="144">
        <v>153227188.16999999</v>
      </c>
      <c r="V13" s="145">
        <v>600000</v>
      </c>
      <c r="W13" s="145">
        <v>900000</v>
      </c>
      <c r="X13" s="83">
        <f t="shared" si="1"/>
        <v>0.6</v>
      </c>
    </row>
    <row r="14" spans="3:26" ht="17.850000000000001" customHeight="1" thickBot="1">
      <c r="C14" s="118" t="s">
        <v>76</v>
      </c>
      <c r="D14" s="127">
        <v>0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Q14" s="141">
        <v>44621</v>
      </c>
      <c r="R14" s="142">
        <v>65240406.020000003</v>
      </c>
      <c r="S14" s="182">
        <v>600000</v>
      </c>
      <c r="T14" s="143">
        <v>92770865.950000003</v>
      </c>
      <c r="U14" s="144">
        <v>158611271.97</v>
      </c>
      <c r="V14" s="145">
        <v>600000</v>
      </c>
      <c r="W14" s="145">
        <v>900000</v>
      </c>
      <c r="X14" s="83">
        <f t="shared" si="1"/>
        <v>0.6</v>
      </c>
    </row>
    <row r="15" spans="3:26" ht="17.850000000000001" customHeight="1" thickBot="1">
      <c r="C15" s="118" t="s">
        <v>19</v>
      </c>
      <c r="D15" s="126">
        <v>5.78</v>
      </c>
      <c r="E15" s="126">
        <v>6.12</v>
      </c>
      <c r="F15" s="126">
        <v>6.12</v>
      </c>
      <c r="G15" s="126">
        <v>6.12</v>
      </c>
      <c r="H15" s="126">
        <v>6.12</v>
      </c>
      <c r="I15" s="126">
        <v>6.12</v>
      </c>
      <c r="J15" s="126">
        <v>6.12</v>
      </c>
      <c r="K15" s="126">
        <v>6.12</v>
      </c>
      <c r="L15" s="126">
        <v>6.12</v>
      </c>
      <c r="M15" s="126">
        <v>6.12</v>
      </c>
      <c r="N15" s="126">
        <v>6.12</v>
      </c>
      <c r="O15" s="126">
        <v>6.12</v>
      </c>
      <c r="Q15" s="141">
        <v>44652</v>
      </c>
      <c r="R15" s="142">
        <v>63798950.710000001</v>
      </c>
      <c r="S15" s="182">
        <v>600000</v>
      </c>
      <c r="T15" s="143">
        <v>88221904.5</v>
      </c>
      <c r="U15" s="144">
        <v>152620855.21000001</v>
      </c>
      <c r="V15" s="145">
        <v>600000</v>
      </c>
      <c r="W15" s="145">
        <v>900000</v>
      </c>
      <c r="X15" s="83">
        <f t="shared" si="1"/>
        <v>0.6</v>
      </c>
    </row>
    <row r="16" spans="3:26" ht="19.649999999999999" customHeight="1" thickBot="1">
      <c r="C16" s="118" t="s">
        <v>20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Q16" s="141">
        <v>44682</v>
      </c>
      <c r="R16" s="146">
        <v>63084385.640000001</v>
      </c>
      <c r="S16" s="183">
        <v>600000</v>
      </c>
      <c r="T16" s="147">
        <v>90156336.629999995</v>
      </c>
      <c r="U16" s="148">
        <v>153840722.27000001</v>
      </c>
      <c r="V16" s="145">
        <v>600000</v>
      </c>
      <c r="W16" s="145">
        <v>900000</v>
      </c>
      <c r="X16" s="83">
        <f t="shared" si="1"/>
        <v>0.6</v>
      </c>
    </row>
    <row r="17" spans="1:26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26">
      <c r="A18" s="109" t="s">
        <v>90</v>
      </c>
      <c r="B18" s="109" t="s">
        <v>91</v>
      </c>
      <c r="C18" s="109" t="s">
        <v>92</v>
      </c>
      <c r="D18" s="84">
        <f t="shared" ref="D18:O18" si="3">D1</f>
        <v>44348</v>
      </c>
      <c r="E18" s="84">
        <f t="shared" si="3"/>
        <v>44378</v>
      </c>
      <c r="F18" s="84">
        <f t="shared" si="3"/>
        <v>44409</v>
      </c>
      <c r="G18" s="84">
        <f t="shared" si="3"/>
        <v>44440</v>
      </c>
      <c r="H18" s="84">
        <f t="shared" si="3"/>
        <v>44470</v>
      </c>
      <c r="I18" s="84">
        <f t="shared" si="3"/>
        <v>44501</v>
      </c>
      <c r="J18" s="84">
        <f t="shared" si="3"/>
        <v>44531</v>
      </c>
      <c r="K18" s="84">
        <f t="shared" si="3"/>
        <v>44562</v>
      </c>
      <c r="L18" s="84">
        <f t="shared" si="3"/>
        <v>44593</v>
      </c>
      <c r="M18" s="84">
        <f t="shared" si="3"/>
        <v>44621</v>
      </c>
      <c r="N18" s="84">
        <f t="shared" si="3"/>
        <v>44652</v>
      </c>
      <c r="O18" s="84">
        <f t="shared" si="3"/>
        <v>44682</v>
      </c>
    </row>
    <row r="19" spans="1:26">
      <c r="A19" s="92" t="s">
        <v>88</v>
      </c>
      <c r="B19" s="85" t="s">
        <v>104</v>
      </c>
      <c r="C19" s="86" t="s">
        <v>102</v>
      </c>
      <c r="D19" s="93">
        <v>0.6</v>
      </c>
      <c r="E19" s="93">
        <v>0.7</v>
      </c>
      <c r="F19" s="93">
        <v>0.9</v>
      </c>
      <c r="G19" s="93">
        <v>0.9</v>
      </c>
      <c r="H19" s="93">
        <v>0.85</v>
      </c>
      <c r="I19" s="93">
        <v>0.7</v>
      </c>
      <c r="J19" s="93">
        <v>0.65</v>
      </c>
      <c r="K19" s="93">
        <v>0.4</v>
      </c>
      <c r="L19" s="93">
        <v>0.45</v>
      </c>
      <c r="M19" s="93">
        <v>0.45</v>
      </c>
      <c r="N19" s="93">
        <v>0.4</v>
      </c>
      <c r="O19" s="93">
        <v>0.6</v>
      </c>
    </row>
    <row r="20" spans="1:26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1:26" s="130" customFormat="1" ht="12.6" customHeight="1">
      <c r="A21" s="109" t="s">
        <v>90</v>
      </c>
      <c r="B21" s="109" t="s">
        <v>91</v>
      </c>
      <c r="C21" s="109" t="s">
        <v>92</v>
      </c>
      <c r="D21" s="84">
        <f t="shared" ref="D21:O21" si="4">D1</f>
        <v>44348</v>
      </c>
      <c r="E21" s="84">
        <f t="shared" si="4"/>
        <v>44378</v>
      </c>
      <c r="F21" s="84">
        <f t="shared" si="4"/>
        <v>44409</v>
      </c>
      <c r="G21" s="84">
        <f t="shared" si="4"/>
        <v>44440</v>
      </c>
      <c r="H21" s="84">
        <f t="shared" si="4"/>
        <v>44470</v>
      </c>
      <c r="I21" s="84">
        <f t="shared" si="4"/>
        <v>44501</v>
      </c>
      <c r="J21" s="84">
        <f t="shared" si="4"/>
        <v>44531</v>
      </c>
      <c r="K21" s="84">
        <f t="shared" si="4"/>
        <v>44562</v>
      </c>
      <c r="L21" s="84">
        <f t="shared" si="4"/>
        <v>44593</v>
      </c>
      <c r="M21" s="84">
        <f t="shared" si="4"/>
        <v>44621</v>
      </c>
      <c r="N21" s="84">
        <f t="shared" si="4"/>
        <v>44652</v>
      </c>
      <c r="O21" s="84">
        <f t="shared" si="4"/>
        <v>44682</v>
      </c>
      <c r="W21" s="134"/>
    </row>
    <row r="22" spans="1:26" s="130" customFormat="1" ht="12.6" customHeight="1">
      <c r="A22" s="92" t="s">
        <v>88</v>
      </c>
      <c r="B22" s="85" t="s">
        <v>89</v>
      </c>
      <c r="C22" s="86" t="s">
        <v>102</v>
      </c>
      <c r="D22" s="196">
        <f>X5</f>
        <v>0.5</v>
      </c>
      <c r="E22" s="196">
        <f>X6</f>
        <v>0.5</v>
      </c>
      <c r="F22" s="196">
        <f>X7</f>
        <v>0.5</v>
      </c>
      <c r="G22" s="196">
        <f>X8</f>
        <v>0.5</v>
      </c>
      <c r="H22" s="196">
        <f>X9</f>
        <v>0.5</v>
      </c>
      <c r="I22" s="196">
        <f>X10</f>
        <v>0.5</v>
      </c>
      <c r="J22" s="196">
        <f>X11</f>
        <v>0.5</v>
      </c>
      <c r="K22" s="196">
        <f>X12</f>
        <v>0.6</v>
      </c>
      <c r="L22" s="196">
        <f>X13</f>
        <v>0.6</v>
      </c>
      <c r="M22" s="196">
        <f>X14</f>
        <v>0.6</v>
      </c>
      <c r="N22" s="196">
        <f>X15</f>
        <v>0.6</v>
      </c>
      <c r="O22" s="196">
        <f>X16</f>
        <v>0.6</v>
      </c>
      <c r="W22" s="134"/>
    </row>
    <row r="23" spans="1:26" s="130" customFormat="1" ht="12.6" customHeight="1">
      <c r="A23" s="131"/>
      <c r="B23" s="131"/>
      <c r="D23" s="161">
        <f t="shared" ref="D23:O23" si="5">D26+D27</f>
        <v>77.104928109999989</v>
      </c>
      <c r="E23" s="161">
        <f t="shared" si="5"/>
        <v>13.473561369999999</v>
      </c>
      <c r="F23" s="161">
        <f t="shared" si="5"/>
        <v>84.838655790000004</v>
      </c>
      <c r="G23" s="161">
        <f t="shared" si="5"/>
        <v>64.958126030000017</v>
      </c>
      <c r="H23" s="161">
        <f t="shared" si="5"/>
        <v>69.201153529999985</v>
      </c>
      <c r="I23" s="161">
        <f t="shared" si="5"/>
        <v>73.561384809999993</v>
      </c>
      <c r="J23" s="161">
        <f t="shared" si="5"/>
        <v>83.262267850000001</v>
      </c>
      <c r="K23" s="161">
        <f t="shared" si="5"/>
        <v>79.831836600000003</v>
      </c>
      <c r="L23" s="161">
        <f t="shared" si="5"/>
        <v>67.892188169999997</v>
      </c>
      <c r="M23" s="161">
        <f t="shared" si="5"/>
        <v>78.77627197000001</v>
      </c>
      <c r="N23" s="161">
        <f t="shared" si="5"/>
        <v>74.285855209999994</v>
      </c>
      <c r="O23" s="161">
        <f t="shared" si="5"/>
        <v>79.005722270000007</v>
      </c>
      <c r="W23" s="134" t="s">
        <v>104</v>
      </c>
    </row>
    <row r="24" spans="1:26" s="130" customFormat="1" ht="12.6" customHeight="1">
      <c r="A24" s="109" t="s">
        <v>90</v>
      </c>
      <c r="B24" s="109" t="s">
        <v>91</v>
      </c>
      <c r="C24" s="109" t="s">
        <v>92</v>
      </c>
      <c r="D24" s="84">
        <f t="shared" ref="D24:O24" si="6">D1</f>
        <v>44348</v>
      </c>
      <c r="E24" s="84">
        <f t="shared" si="6"/>
        <v>44378</v>
      </c>
      <c r="F24" s="84">
        <f t="shared" si="6"/>
        <v>44409</v>
      </c>
      <c r="G24" s="84">
        <f t="shared" si="6"/>
        <v>44440</v>
      </c>
      <c r="H24" s="84">
        <f t="shared" si="6"/>
        <v>44470</v>
      </c>
      <c r="I24" s="84">
        <f t="shared" si="6"/>
        <v>44501</v>
      </c>
      <c r="J24" s="84">
        <f t="shared" si="6"/>
        <v>44531</v>
      </c>
      <c r="K24" s="84">
        <f t="shared" si="6"/>
        <v>44562</v>
      </c>
      <c r="L24" s="84">
        <f t="shared" si="6"/>
        <v>44593</v>
      </c>
      <c r="M24" s="84">
        <f t="shared" si="6"/>
        <v>44621</v>
      </c>
      <c r="N24" s="84">
        <f t="shared" si="6"/>
        <v>44652</v>
      </c>
      <c r="O24" s="84">
        <f t="shared" si="6"/>
        <v>44682</v>
      </c>
      <c r="T24" s="113"/>
      <c r="U24" s="113"/>
      <c r="V24" s="113"/>
      <c r="W24" s="222">
        <v>600000</v>
      </c>
      <c r="X24" s="221">
        <f>W24/10^6</f>
        <v>0.6</v>
      </c>
      <c r="Y24" s="113"/>
      <c r="Z24" s="130">
        <v>0.6</v>
      </c>
    </row>
    <row r="25" spans="1:26" s="130" customFormat="1" ht="12.6" customHeight="1">
      <c r="A25" s="92" t="s">
        <v>86</v>
      </c>
      <c r="B25" s="85" t="s">
        <v>77</v>
      </c>
      <c r="C25" s="87" t="s">
        <v>28</v>
      </c>
      <c r="D25" s="93">
        <v>26</v>
      </c>
      <c r="E25" s="93">
        <v>101</v>
      </c>
      <c r="F25" s="93">
        <v>34</v>
      </c>
      <c r="G25" s="93">
        <v>53</v>
      </c>
      <c r="H25" s="93">
        <v>50</v>
      </c>
      <c r="I25" s="93">
        <v>45</v>
      </c>
      <c r="J25" s="93">
        <v>40</v>
      </c>
      <c r="K25" s="93">
        <v>43</v>
      </c>
      <c r="L25" s="93">
        <v>48</v>
      </c>
      <c r="M25" s="93">
        <v>41</v>
      </c>
      <c r="N25" s="93">
        <v>40</v>
      </c>
      <c r="O25" s="93">
        <v>36</v>
      </c>
      <c r="P25" s="132"/>
      <c r="T25" s="113"/>
      <c r="U25" s="113"/>
      <c r="V25" s="113"/>
      <c r="W25" s="222">
        <v>700000</v>
      </c>
      <c r="X25" s="221">
        <f t="shared" ref="X25:X35" si="7">W25/10^6</f>
        <v>0.7</v>
      </c>
      <c r="Y25" s="113"/>
      <c r="Z25" s="130">
        <v>0.7</v>
      </c>
    </row>
    <row r="26" spans="1:26" s="130" customFormat="1" ht="12.6" customHeight="1">
      <c r="A26" s="92" t="s">
        <v>88</v>
      </c>
      <c r="B26" s="85" t="s">
        <v>77</v>
      </c>
      <c r="C26" s="87" t="s">
        <v>28</v>
      </c>
      <c r="D26" s="89">
        <f t="shared" ref="D26:O26" si="8">D3-D54-D55-D71-D76-D25-D28-D51</f>
        <v>23.864034189999984</v>
      </c>
      <c r="E26" s="89">
        <f t="shared" si="8"/>
        <v>-40.893311429999997</v>
      </c>
      <c r="F26" s="89">
        <f t="shared" si="8"/>
        <v>25.348695379999999</v>
      </c>
      <c r="G26" s="89">
        <f t="shared" si="8"/>
        <v>5.7440288600000029</v>
      </c>
      <c r="H26" s="89">
        <f t="shared" si="8"/>
        <v>8.4879594099999913</v>
      </c>
      <c r="I26" s="89">
        <f t="shared" si="8"/>
        <v>14.128257629999997</v>
      </c>
      <c r="J26" s="89">
        <f t="shared" si="8"/>
        <v>21.225829050000005</v>
      </c>
      <c r="K26" s="89">
        <f t="shared" si="8"/>
        <v>18.70687556</v>
      </c>
      <c r="L26" s="89">
        <f t="shared" si="8"/>
        <v>10.432644260000004</v>
      </c>
      <c r="M26" s="89">
        <f t="shared" si="8"/>
        <v>19.270865950000001</v>
      </c>
      <c r="N26" s="89">
        <f t="shared" si="8"/>
        <v>16.221904499999994</v>
      </c>
      <c r="O26" s="89">
        <f t="shared" si="8"/>
        <v>21.656336629999998</v>
      </c>
      <c r="P26" s="133" t="s">
        <v>98</v>
      </c>
      <c r="V26" s="113"/>
      <c r="W26" s="222">
        <v>900000</v>
      </c>
      <c r="X26" s="221">
        <f t="shared" si="7"/>
        <v>0.9</v>
      </c>
      <c r="Y26" s="113"/>
      <c r="Z26" s="113">
        <v>0.9</v>
      </c>
    </row>
    <row r="27" spans="1:26" s="130" customFormat="1" ht="12.6" customHeight="1">
      <c r="A27" s="92" t="s">
        <v>88</v>
      </c>
      <c r="B27" s="85" t="s">
        <v>77</v>
      </c>
      <c r="C27" s="90" t="s">
        <v>16</v>
      </c>
      <c r="D27" s="89">
        <f t="shared" ref="D27:O27" si="9">D2-D75-D56-D29</f>
        <v>53.240893920000005</v>
      </c>
      <c r="E27" s="89">
        <f t="shared" si="9"/>
        <v>54.366872799999996</v>
      </c>
      <c r="F27" s="89">
        <f t="shared" si="9"/>
        <v>59.489960410000002</v>
      </c>
      <c r="G27" s="89">
        <f t="shared" si="9"/>
        <v>59.214097170000009</v>
      </c>
      <c r="H27" s="89">
        <f t="shared" si="9"/>
        <v>60.71319411999999</v>
      </c>
      <c r="I27" s="89">
        <f t="shared" si="9"/>
        <v>59.433127179999993</v>
      </c>
      <c r="J27" s="89">
        <f t="shared" si="9"/>
        <v>62.036438799999992</v>
      </c>
      <c r="K27" s="89">
        <f t="shared" si="9"/>
        <v>61.124961039999995</v>
      </c>
      <c r="L27" s="89">
        <f t="shared" si="9"/>
        <v>57.459543909999994</v>
      </c>
      <c r="M27" s="89">
        <f t="shared" si="9"/>
        <v>59.505406020000002</v>
      </c>
      <c r="N27" s="89">
        <f t="shared" si="9"/>
        <v>58.063950709999993</v>
      </c>
      <c r="O27" s="89">
        <f t="shared" si="9"/>
        <v>57.349385640000001</v>
      </c>
      <c r="W27" s="223">
        <v>900000</v>
      </c>
      <c r="X27" s="221">
        <f t="shared" si="7"/>
        <v>0.9</v>
      </c>
      <c r="Z27" s="130">
        <v>0.9</v>
      </c>
    </row>
    <row r="28" spans="1:26" s="130" customFormat="1" ht="12.6" customHeight="1">
      <c r="A28" s="92" t="s">
        <v>88</v>
      </c>
      <c r="B28" s="85" t="s">
        <v>77</v>
      </c>
      <c r="C28" s="91" t="s">
        <v>83</v>
      </c>
      <c r="D28" s="93">
        <v>16</v>
      </c>
      <c r="E28" s="88">
        <v>15</v>
      </c>
      <c r="F28" s="88">
        <v>15</v>
      </c>
      <c r="G28" s="88">
        <v>15</v>
      </c>
      <c r="H28" s="88">
        <v>15</v>
      </c>
      <c r="I28" s="88">
        <v>15</v>
      </c>
      <c r="J28" s="88">
        <v>15</v>
      </c>
      <c r="K28" s="88">
        <v>15</v>
      </c>
      <c r="L28" s="88">
        <v>15</v>
      </c>
      <c r="M28" s="88">
        <v>15</v>
      </c>
      <c r="N28" s="88">
        <v>15</v>
      </c>
      <c r="O28" s="88">
        <v>15</v>
      </c>
      <c r="P28" s="130" t="s">
        <v>124</v>
      </c>
      <c r="W28" s="223">
        <v>850000</v>
      </c>
      <c r="X28" s="221">
        <f t="shared" si="7"/>
        <v>0.85</v>
      </c>
      <c r="Z28" s="130">
        <v>0.85</v>
      </c>
    </row>
    <row r="29" spans="1:26" s="130" customFormat="1" ht="12.6" customHeight="1">
      <c r="A29" s="92" t="s">
        <v>88</v>
      </c>
      <c r="B29" s="85" t="s">
        <v>77</v>
      </c>
      <c r="C29" s="91" t="s">
        <v>95</v>
      </c>
      <c r="D29" s="89">
        <f>S5/10^6</f>
        <v>0.4</v>
      </c>
      <c r="E29" s="89">
        <f>S6/10^6</f>
        <v>0.5</v>
      </c>
      <c r="F29" s="89">
        <f>S7/10^6</f>
        <v>0.6</v>
      </c>
      <c r="G29" s="89">
        <f>S8/10^6</f>
        <v>0.6</v>
      </c>
      <c r="H29" s="89">
        <f>S9/10^6</f>
        <v>0.6</v>
      </c>
      <c r="I29" s="89">
        <f>S10/10^6</f>
        <v>0.6</v>
      </c>
      <c r="J29" s="89">
        <f>S11/10^6</f>
        <v>0.6</v>
      </c>
      <c r="K29" s="89">
        <f>S12/10^6</f>
        <v>0.6</v>
      </c>
      <c r="L29" s="89">
        <f>S13/10^6</f>
        <v>0.6</v>
      </c>
      <c r="M29" s="89">
        <f>S14/10^6</f>
        <v>0.6</v>
      </c>
      <c r="N29" s="89">
        <f>S15/10^6</f>
        <v>0.6</v>
      </c>
      <c r="O29" s="89">
        <f>S16/10^6</f>
        <v>0.6</v>
      </c>
      <c r="W29" s="223">
        <v>700000</v>
      </c>
      <c r="X29" s="221">
        <f t="shared" si="7"/>
        <v>0.7</v>
      </c>
      <c r="Z29" s="130">
        <v>0.7</v>
      </c>
    </row>
    <row r="30" spans="1:26" s="130" customFormat="1" ht="12.6" customHeight="1">
      <c r="A30" s="92" t="s">
        <v>88</v>
      </c>
      <c r="B30" s="92" t="s">
        <v>78</v>
      </c>
      <c r="C30" s="87" t="s">
        <v>28</v>
      </c>
      <c r="D30" s="93">
        <v>14.5</v>
      </c>
      <c r="E30" s="93">
        <v>15</v>
      </c>
      <c r="F30" s="93">
        <v>15</v>
      </c>
      <c r="G30" s="93">
        <v>15</v>
      </c>
      <c r="H30" s="93">
        <v>15</v>
      </c>
      <c r="I30" s="93">
        <v>15</v>
      </c>
      <c r="J30" s="93">
        <v>15</v>
      </c>
      <c r="K30" s="93">
        <v>15</v>
      </c>
      <c r="L30" s="93">
        <v>15</v>
      </c>
      <c r="M30" s="93">
        <v>15</v>
      </c>
      <c r="N30" s="93">
        <v>15</v>
      </c>
      <c r="O30" s="93">
        <v>15</v>
      </c>
      <c r="P30" s="130">
        <v>27</v>
      </c>
      <c r="W30" s="223">
        <v>650000</v>
      </c>
      <c r="X30" s="221">
        <f t="shared" si="7"/>
        <v>0.65</v>
      </c>
      <c r="Z30" s="130">
        <v>0.65</v>
      </c>
    </row>
    <row r="31" spans="1:26" s="130" customFormat="1" ht="12.6" customHeight="1">
      <c r="A31" s="92" t="s">
        <v>88</v>
      </c>
      <c r="B31" s="92" t="s">
        <v>79</v>
      </c>
      <c r="C31" s="87" t="s">
        <v>28</v>
      </c>
      <c r="D31" s="93">
        <v>24.5</v>
      </c>
      <c r="E31" s="93">
        <v>27</v>
      </c>
      <c r="F31" s="93">
        <v>27</v>
      </c>
      <c r="G31" s="93">
        <v>26</v>
      </c>
      <c r="H31" s="93">
        <v>26.5</v>
      </c>
      <c r="I31" s="93">
        <v>27</v>
      </c>
      <c r="J31" s="93">
        <v>27</v>
      </c>
      <c r="K31" s="93">
        <v>27</v>
      </c>
      <c r="L31" s="93">
        <v>27</v>
      </c>
      <c r="M31" s="93">
        <v>27</v>
      </c>
      <c r="N31" s="93">
        <v>27</v>
      </c>
      <c r="O31" s="93">
        <v>27</v>
      </c>
      <c r="P31" s="203">
        <f>P30+J26</f>
        <v>48.225829050000002</v>
      </c>
      <c r="R31" s="184"/>
      <c r="W31" s="223">
        <v>400000</v>
      </c>
      <c r="X31" s="221">
        <f t="shared" si="7"/>
        <v>0.4</v>
      </c>
      <c r="Z31" s="130">
        <v>0.4</v>
      </c>
    </row>
    <row r="32" spans="1:26" s="130" customFormat="1" ht="12.6" customHeight="1">
      <c r="A32" s="92" t="s">
        <v>88</v>
      </c>
      <c r="B32" s="94" t="s">
        <v>82</v>
      </c>
      <c r="C32" s="87" t="s">
        <v>28</v>
      </c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R32" s="184"/>
      <c r="W32" s="223">
        <v>450000</v>
      </c>
      <c r="X32" s="221">
        <f t="shared" si="7"/>
        <v>0.45</v>
      </c>
      <c r="Z32" s="130">
        <v>0.45</v>
      </c>
    </row>
    <row r="33" spans="1:26" s="130" customFormat="1" ht="12.6" customHeight="1">
      <c r="A33" s="92" t="s">
        <v>88</v>
      </c>
      <c r="B33" s="94" t="s">
        <v>82</v>
      </c>
      <c r="C33" s="91" t="s">
        <v>83</v>
      </c>
      <c r="D33" s="202">
        <v>0</v>
      </c>
      <c r="E33" s="202">
        <v>0</v>
      </c>
      <c r="F33" s="202">
        <v>0</v>
      </c>
      <c r="G33" s="202">
        <v>0</v>
      </c>
      <c r="H33" s="202">
        <v>0</v>
      </c>
      <c r="I33" s="202">
        <v>0</v>
      </c>
      <c r="J33" s="202">
        <v>0</v>
      </c>
      <c r="K33" s="202">
        <v>0</v>
      </c>
      <c r="L33" s="202">
        <v>0</v>
      </c>
      <c r="M33" s="202">
        <v>0</v>
      </c>
      <c r="N33" s="202">
        <v>0</v>
      </c>
      <c r="O33" s="202">
        <v>0</v>
      </c>
      <c r="R33" s="184"/>
      <c r="W33" s="223">
        <v>450000</v>
      </c>
      <c r="X33" s="221">
        <f t="shared" si="7"/>
        <v>0.45</v>
      </c>
      <c r="Z33" s="130">
        <v>0.45</v>
      </c>
    </row>
    <row r="34" spans="1:26" s="130" customFormat="1" ht="12.6" customHeight="1">
      <c r="A34" s="92" t="s">
        <v>88</v>
      </c>
      <c r="B34" s="95" t="s">
        <v>93</v>
      </c>
      <c r="C34" s="87" t="s">
        <v>28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R34" s="184"/>
      <c r="W34" s="223">
        <v>400000</v>
      </c>
      <c r="X34" s="221">
        <f t="shared" si="7"/>
        <v>0.4</v>
      </c>
      <c r="Z34" s="130">
        <v>0.4</v>
      </c>
    </row>
    <row r="35" spans="1:26" s="130" customFormat="1" ht="12.6" customHeight="1">
      <c r="A35" s="92" t="s">
        <v>88</v>
      </c>
      <c r="B35" s="95" t="s">
        <v>93</v>
      </c>
      <c r="C35" s="91" t="s">
        <v>83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R35" s="184"/>
      <c r="W35" s="223">
        <v>600000</v>
      </c>
      <c r="X35" s="221">
        <f t="shared" si="7"/>
        <v>0.6</v>
      </c>
      <c r="Z35" s="130">
        <v>0.6</v>
      </c>
    </row>
    <row r="36" spans="1:26" s="130" customFormat="1" ht="12.6" customHeight="1">
      <c r="A36" s="92" t="s">
        <v>88</v>
      </c>
      <c r="B36" s="96" t="s">
        <v>85</v>
      </c>
      <c r="C36" s="87" t="s">
        <v>28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R36" s="184"/>
    </row>
    <row r="37" spans="1:26" s="130" customFormat="1" ht="12.6" customHeight="1">
      <c r="A37" s="92" t="s">
        <v>88</v>
      </c>
      <c r="B37" s="96" t="s">
        <v>85</v>
      </c>
      <c r="C37" s="91" t="s">
        <v>83</v>
      </c>
      <c r="D37" s="226">
        <v>3</v>
      </c>
      <c r="E37" s="226">
        <v>3</v>
      </c>
      <c r="F37" s="226">
        <v>3</v>
      </c>
      <c r="G37" s="226">
        <v>3</v>
      </c>
      <c r="H37" s="226">
        <v>3</v>
      </c>
      <c r="I37" s="226">
        <v>3</v>
      </c>
      <c r="J37" s="226">
        <v>3</v>
      </c>
      <c r="K37" s="226">
        <v>3</v>
      </c>
      <c r="L37" s="226">
        <v>3</v>
      </c>
      <c r="M37" s="226">
        <v>3</v>
      </c>
      <c r="N37" s="226">
        <v>3</v>
      </c>
      <c r="O37" s="226">
        <v>3</v>
      </c>
      <c r="P37" s="189"/>
      <c r="Q37" s="189"/>
      <c r="R37" s="184"/>
    </row>
    <row r="38" spans="1:26" s="130" customFormat="1" ht="12.6" customHeight="1">
      <c r="A38" s="92" t="s">
        <v>88</v>
      </c>
      <c r="B38" s="96" t="s">
        <v>85</v>
      </c>
      <c r="C38" s="91" t="s">
        <v>95</v>
      </c>
      <c r="D38" s="226">
        <v>1.2</v>
      </c>
      <c r="E38" s="226">
        <v>1.2</v>
      </c>
      <c r="F38" s="226">
        <v>1.2</v>
      </c>
      <c r="G38" s="226">
        <v>1.2</v>
      </c>
      <c r="H38" s="226">
        <v>1.2</v>
      </c>
      <c r="I38" s="226">
        <v>1.2</v>
      </c>
      <c r="J38" s="226">
        <v>1.2</v>
      </c>
      <c r="K38" s="226">
        <v>1.2</v>
      </c>
      <c r="L38" s="226">
        <v>1.2</v>
      </c>
      <c r="M38" s="226">
        <v>1.2</v>
      </c>
      <c r="N38" s="226">
        <v>1.2</v>
      </c>
      <c r="O38" s="226">
        <v>1.2</v>
      </c>
      <c r="P38" s="189"/>
      <c r="Q38" s="189"/>
      <c r="R38" s="184"/>
    </row>
    <row r="39" spans="1:26" s="130" customFormat="1" ht="12.6" customHeight="1">
      <c r="A39" s="92" t="s">
        <v>88</v>
      </c>
      <c r="B39" s="97" t="s">
        <v>84</v>
      </c>
      <c r="C39" s="87" t="s">
        <v>28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R39" s="184"/>
    </row>
    <row r="40" spans="1:26" s="130" customFormat="1" ht="12.6" customHeight="1">
      <c r="A40" s="92" t="s">
        <v>88</v>
      </c>
      <c r="B40" s="97" t="s">
        <v>84</v>
      </c>
      <c r="C40" s="91" t="s">
        <v>83</v>
      </c>
      <c r="D40" s="160">
        <v>8.2200000000000006</v>
      </c>
      <c r="E40" s="160">
        <v>8.8800000000000008</v>
      </c>
      <c r="F40" s="160">
        <v>10.88</v>
      </c>
      <c r="G40" s="160">
        <v>10.88</v>
      </c>
      <c r="H40" s="160">
        <v>10.88</v>
      </c>
      <c r="I40" s="160">
        <v>10.88</v>
      </c>
      <c r="J40" s="160">
        <v>10.88</v>
      </c>
      <c r="K40" s="160">
        <v>10.88</v>
      </c>
      <c r="L40" s="160">
        <v>10.88</v>
      </c>
      <c r="M40" s="160">
        <v>10.88</v>
      </c>
      <c r="N40" s="160">
        <v>10.88</v>
      </c>
      <c r="O40" s="160">
        <v>10.88</v>
      </c>
      <c r="R40" s="184"/>
    </row>
    <row r="41" spans="1:26" s="130" customFormat="1" ht="12.6" customHeight="1">
      <c r="A41" s="92" t="s">
        <v>88</v>
      </c>
      <c r="B41" s="95" t="s">
        <v>125</v>
      </c>
      <c r="C41" s="91" t="s">
        <v>83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R41" s="184"/>
    </row>
    <row r="42" spans="1:26" s="130" customFormat="1" ht="12.6" customHeight="1">
      <c r="A42" s="92" t="s">
        <v>88</v>
      </c>
      <c r="B42" s="98" t="s">
        <v>87</v>
      </c>
      <c r="C42" s="87" t="s">
        <v>28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R42" s="184"/>
    </row>
    <row r="43" spans="1:26" s="130" customFormat="1" ht="12.6" customHeight="1">
      <c r="A43" s="92" t="s">
        <v>88</v>
      </c>
      <c r="B43" s="98" t="s">
        <v>87</v>
      </c>
      <c r="C43" s="91" t="s">
        <v>83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R43" s="184"/>
    </row>
    <row r="44" spans="1:26" s="130" customFormat="1" ht="12.6" customHeight="1">
      <c r="A44" s="92" t="s">
        <v>88</v>
      </c>
      <c r="B44" s="98" t="s">
        <v>128</v>
      </c>
      <c r="C44" s="87" t="s">
        <v>28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S44" s="134"/>
    </row>
    <row r="45" spans="1:26" s="130" customFormat="1" ht="12.6" customHeight="1">
      <c r="A45" s="92" t="s">
        <v>88</v>
      </c>
      <c r="B45" s="98" t="s">
        <v>128</v>
      </c>
      <c r="C45" s="91" t="s">
        <v>83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S45" s="134"/>
    </row>
    <row r="46" spans="1:26" s="130" customFormat="1" ht="12.6" customHeight="1">
      <c r="A46" s="92" t="s">
        <v>88</v>
      </c>
      <c r="B46" s="98" t="s">
        <v>81</v>
      </c>
      <c r="C46" s="87" t="s">
        <v>28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161"/>
      <c r="S46" s="134"/>
    </row>
    <row r="47" spans="1:26" s="130" customFormat="1" ht="12.6" customHeight="1">
      <c r="A47" s="92" t="s">
        <v>88</v>
      </c>
      <c r="B47" s="98" t="s">
        <v>81</v>
      </c>
      <c r="C47" s="90" t="s">
        <v>16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r="48" spans="1:26" s="130" customFormat="1" ht="12.6" customHeight="1">
      <c r="A48" s="92" t="s">
        <v>88</v>
      </c>
      <c r="B48" s="98" t="s">
        <v>81</v>
      </c>
      <c r="C48" s="91" t="s">
        <v>83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r="49" spans="1:16" s="130" customFormat="1" ht="12.6" customHeight="1">
      <c r="A49" s="92" t="s">
        <v>88</v>
      </c>
      <c r="B49" s="98" t="s">
        <v>94</v>
      </c>
      <c r="C49" s="91" t="s">
        <v>83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r="50" spans="1:16" s="130" customFormat="1" ht="12.6" customHeight="1">
      <c r="A50" s="92" t="s">
        <v>88</v>
      </c>
      <c r="B50" s="98" t="s">
        <v>105</v>
      </c>
      <c r="C50" s="91" t="s">
        <v>83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</row>
    <row r="51" spans="1:16" s="130" customFormat="1" ht="12.6" customHeight="1">
      <c r="A51" s="92" t="s">
        <v>80</v>
      </c>
      <c r="B51" s="85" t="s">
        <v>77</v>
      </c>
      <c r="C51" s="92" t="s">
        <v>80</v>
      </c>
      <c r="D51" s="227"/>
      <c r="E51" s="227">
        <v>0</v>
      </c>
      <c r="F51" s="227">
        <v>1.2</v>
      </c>
      <c r="G51" s="227">
        <v>1.2</v>
      </c>
      <c r="H51" s="227">
        <v>1.2</v>
      </c>
      <c r="I51" s="227">
        <v>1.2</v>
      </c>
      <c r="J51" s="227">
        <v>1.2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</row>
    <row r="52" spans="1:16" s="130" customFormat="1" ht="12.6" customHeight="1">
      <c r="A52" s="92" t="s">
        <v>80</v>
      </c>
      <c r="B52" s="100" t="s">
        <v>84</v>
      </c>
      <c r="C52" s="92" t="s">
        <v>80</v>
      </c>
      <c r="D52" s="227">
        <v>1.2</v>
      </c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</row>
    <row r="53" spans="1:16" s="130" customFormat="1" ht="12.6" customHeight="1">
      <c r="A53" s="92" t="s">
        <v>80</v>
      </c>
      <c r="B53" s="98" t="s">
        <v>128</v>
      </c>
      <c r="C53" s="92" t="s">
        <v>80</v>
      </c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1:16" s="130" customFormat="1" ht="12.6" customHeight="1">
      <c r="A54" s="98" t="s">
        <v>76</v>
      </c>
      <c r="B54" s="85" t="s">
        <v>77</v>
      </c>
      <c r="C54" s="87" t="s">
        <v>28</v>
      </c>
      <c r="D54" s="93">
        <f>D14-D55-D56-D57-D58-D59-D60-D62-D63-D64-D65-D66-D67-D68-D69-D70-D61</f>
        <v>0</v>
      </c>
      <c r="E54" s="93">
        <f t="shared" ref="E54:O54" si="10">E14-E55-E56-E57-E58-E59-E60-E62-E63-E64-E65-E66-E67-E68-E69-E70</f>
        <v>0</v>
      </c>
      <c r="F54" s="93">
        <f t="shared" si="10"/>
        <v>0</v>
      </c>
      <c r="G54" s="93">
        <f t="shared" si="10"/>
        <v>0</v>
      </c>
      <c r="H54" s="93">
        <f t="shared" si="10"/>
        <v>0</v>
      </c>
      <c r="I54" s="93">
        <f t="shared" si="10"/>
        <v>0</v>
      </c>
      <c r="J54" s="93">
        <f t="shared" si="10"/>
        <v>0</v>
      </c>
      <c r="K54" s="93">
        <f t="shared" si="10"/>
        <v>0</v>
      </c>
      <c r="L54" s="93">
        <f t="shared" si="10"/>
        <v>0</v>
      </c>
      <c r="M54" s="93">
        <f t="shared" si="10"/>
        <v>0</v>
      </c>
      <c r="N54" s="93">
        <f t="shared" si="10"/>
        <v>0</v>
      </c>
      <c r="O54" s="93">
        <f t="shared" si="10"/>
        <v>0</v>
      </c>
    </row>
    <row r="55" spans="1:16" s="130" customFormat="1" ht="12.6" customHeight="1">
      <c r="A55" s="98" t="s">
        <v>76</v>
      </c>
      <c r="B55" s="85" t="s">
        <v>77</v>
      </c>
      <c r="C55" s="91" t="s">
        <v>83</v>
      </c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132"/>
    </row>
    <row r="56" spans="1:16" s="130" customFormat="1" ht="12.6" customHeight="1">
      <c r="A56" s="98" t="s">
        <v>76</v>
      </c>
      <c r="B56" s="85" t="s">
        <v>77</v>
      </c>
      <c r="C56" s="91" t="s">
        <v>95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1:16" s="130" customFormat="1" ht="12.6" customHeight="1">
      <c r="A57" s="98" t="s">
        <v>76</v>
      </c>
      <c r="B57" s="94" t="s">
        <v>82</v>
      </c>
      <c r="C57" s="87" t="s">
        <v>28</v>
      </c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</row>
    <row r="58" spans="1:16" s="135" customFormat="1" ht="12.6" customHeight="1">
      <c r="A58" s="98" t="s">
        <v>76</v>
      </c>
      <c r="B58" s="94" t="s">
        <v>82</v>
      </c>
      <c r="C58" s="91" t="s">
        <v>83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</row>
    <row r="59" spans="1:16" s="135" customFormat="1" ht="12.6" customHeight="1">
      <c r="A59" s="98" t="s">
        <v>76</v>
      </c>
      <c r="B59" s="96" t="s">
        <v>85</v>
      </c>
      <c r="C59" s="87" t="s">
        <v>28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16" s="135" customFormat="1" ht="12.6" customHeight="1">
      <c r="A60" s="98" t="s">
        <v>76</v>
      </c>
      <c r="B60" s="96" t="s">
        <v>85</v>
      </c>
      <c r="C60" s="91" t="s">
        <v>83</v>
      </c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1:16" s="135" customFormat="1" ht="12.6" customHeight="1">
      <c r="A61" s="98" t="s">
        <v>76</v>
      </c>
      <c r="B61" s="96" t="s">
        <v>85</v>
      </c>
      <c r="C61" s="91" t="s">
        <v>95</v>
      </c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1:16" s="135" customFormat="1" ht="12.6" customHeight="1">
      <c r="A62" s="102" t="s">
        <v>76</v>
      </c>
      <c r="B62" s="100" t="s">
        <v>84</v>
      </c>
      <c r="C62" s="87" t="s">
        <v>28</v>
      </c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r="63" spans="1:16" s="130" customFormat="1" ht="12.6" customHeight="1">
      <c r="A63" s="98" t="s">
        <v>76</v>
      </c>
      <c r="B63" s="97" t="s">
        <v>84</v>
      </c>
      <c r="C63" s="91" t="s">
        <v>83</v>
      </c>
      <c r="D63" s="149"/>
      <c r="E63" s="149"/>
      <c r="F63" s="149"/>
      <c r="G63" s="149"/>
      <c r="H63" s="149"/>
      <c r="I63" s="160"/>
      <c r="J63" s="149"/>
      <c r="K63" s="149"/>
      <c r="L63" s="149"/>
      <c r="M63" s="149"/>
      <c r="N63" s="149"/>
      <c r="O63" s="149"/>
      <c r="P63" s="161"/>
    </row>
    <row r="64" spans="1:16" s="130" customFormat="1" ht="12.6" customHeight="1">
      <c r="A64" s="98" t="s">
        <v>76</v>
      </c>
      <c r="B64" s="98" t="s">
        <v>80</v>
      </c>
      <c r="C64" s="87" t="s">
        <v>28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1:18" s="130" customFormat="1" ht="12.6" customHeight="1">
      <c r="A65" s="98" t="s">
        <v>76</v>
      </c>
      <c r="B65" s="98" t="s">
        <v>80</v>
      </c>
      <c r="C65" s="91" t="s">
        <v>83</v>
      </c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</row>
    <row r="66" spans="1:18" s="130" customFormat="1" ht="12.6" customHeight="1">
      <c r="A66" s="98" t="s">
        <v>76</v>
      </c>
      <c r="B66" s="98" t="s">
        <v>128</v>
      </c>
      <c r="C66" s="87" t="s">
        <v>28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</row>
    <row r="67" spans="1:18" s="130" customFormat="1" ht="12.6" customHeight="1">
      <c r="A67" s="98" t="s">
        <v>76</v>
      </c>
      <c r="B67" s="98" t="s">
        <v>128</v>
      </c>
      <c r="C67" s="91" t="s">
        <v>83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</row>
    <row r="68" spans="1:18" s="130" customFormat="1" ht="12.6" customHeight="1">
      <c r="A68" s="98" t="s">
        <v>76</v>
      </c>
      <c r="B68" s="98" t="s">
        <v>81</v>
      </c>
      <c r="C68" s="87" t="s">
        <v>28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</row>
    <row r="69" spans="1:18" s="130" customFormat="1" ht="12.6" customHeight="1">
      <c r="A69" s="98" t="s">
        <v>76</v>
      </c>
      <c r="B69" s="98" t="s">
        <v>81</v>
      </c>
      <c r="C69" s="91" t="s">
        <v>83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</row>
    <row r="70" spans="1:18" s="130" customFormat="1" ht="12.6" customHeight="1">
      <c r="A70" s="98" t="s">
        <v>76</v>
      </c>
      <c r="B70" s="98" t="s">
        <v>105</v>
      </c>
      <c r="C70" s="91" t="s">
        <v>83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</row>
    <row r="71" spans="1:18" s="130" customFormat="1" ht="12.6" customHeight="1">
      <c r="A71" s="98" t="s">
        <v>25</v>
      </c>
      <c r="B71" s="85" t="s">
        <v>77</v>
      </c>
      <c r="C71" s="101" t="s">
        <v>19</v>
      </c>
      <c r="D71" s="89">
        <f>D15-D72-D73-D74</f>
        <v>1.4000000000000004</v>
      </c>
      <c r="E71" s="89">
        <f t="shared" ref="E71:O71" si="11">E15-E72-E73-E74</f>
        <v>2</v>
      </c>
      <c r="F71" s="89">
        <f t="shared" si="11"/>
        <v>2</v>
      </c>
      <c r="G71" s="89">
        <f t="shared" si="11"/>
        <v>2</v>
      </c>
      <c r="H71" s="89">
        <f t="shared" si="11"/>
        <v>2</v>
      </c>
      <c r="I71" s="89">
        <f t="shared" si="11"/>
        <v>2</v>
      </c>
      <c r="J71" s="89">
        <f t="shared" si="11"/>
        <v>2</v>
      </c>
      <c r="K71" s="89">
        <f t="shared" si="11"/>
        <v>2</v>
      </c>
      <c r="L71" s="89">
        <f t="shared" si="11"/>
        <v>2</v>
      </c>
      <c r="M71" s="89">
        <f t="shared" si="11"/>
        <v>2</v>
      </c>
      <c r="N71" s="89">
        <f t="shared" si="11"/>
        <v>2</v>
      </c>
      <c r="O71" s="89">
        <f t="shared" si="11"/>
        <v>2</v>
      </c>
    </row>
    <row r="72" spans="1:18" s="130" customFormat="1" ht="12.6" customHeight="1">
      <c r="A72" s="98" t="s">
        <v>25</v>
      </c>
      <c r="B72" s="96" t="s">
        <v>85</v>
      </c>
      <c r="C72" s="102" t="s">
        <v>19</v>
      </c>
      <c r="D72" s="88">
        <v>0</v>
      </c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r="73" spans="1:18" s="130" customFormat="1" ht="12.6" customHeight="1">
      <c r="A73" s="98" t="s">
        <v>25</v>
      </c>
      <c r="B73" s="97" t="s">
        <v>84</v>
      </c>
      <c r="C73" s="102" t="s">
        <v>19</v>
      </c>
      <c r="D73" s="93">
        <f>3.78+0.6</f>
        <v>4.38</v>
      </c>
      <c r="E73" s="93">
        <v>4.12</v>
      </c>
      <c r="F73" s="93">
        <v>4.12</v>
      </c>
      <c r="G73" s="93">
        <v>4.12</v>
      </c>
      <c r="H73" s="93">
        <v>4.12</v>
      </c>
      <c r="I73" s="93">
        <v>4.12</v>
      </c>
      <c r="J73" s="93">
        <v>4.12</v>
      </c>
      <c r="K73" s="93">
        <v>4.12</v>
      </c>
      <c r="L73" s="93">
        <v>4.12</v>
      </c>
      <c r="M73" s="93">
        <v>4.12</v>
      </c>
      <c r="N73" s="93">
        <v>4.12</v>
      </c>
      <c r="O73" s="93">
        <v>4.12</v>
      </c>
    </row>
    <row r="74" spans="1:18" s="130" customFormat="1" ht="12.6" customHeight="1">
      <c r="A74" s="98" t="s">
        <v>25</v>
      </c>
      <c r="B74" s="98" t="s">
        <v>128</v>
      </c>
      <c r="C74" s="102" t="s">
        <v>19</v>
      </c>
      <c r="D74" s="88">
        <v>0</v>
      </c>
      <c r="E74" s="88">
        <v>0</v>
      </c>
      <c r="F74" s="88">
        <v>0</v>
      </c>
      <c r="G74" s="88">
        <v>0</v>
      </c>
      <c r="H74" s="88">
        <v>0</v>
      </c>
      <c r="I74" s="88">
        <v>0</v>
      </c>
      <c r="J74" s="88">
        <v>0</v>
      </c>
      <c r="K74" s="88">
        <v>0</v>
      </c>
      <c r="L74" s="88">
        <v>0</v>
      </c>
      <c r="M74" s="88">
        <v>0</v>
      </c>
      <c r="N74" s="88">
        <v>0</v>
      </c>
      <c r="O74" s="88">
        <v>0</v>
      </c>
    </row>
    <row r="75" spans="1:18" s="130" customFormat="1" ht="12.6" customHeight="1">
      <c r="A75" s="98" t="s">
        <v>96</v>
      </c>
      <c r="B75" s="85" t="s">
        <v>77</v>
      </c>
      <c r="C75" s="112" t="s">
        <v>97</v>
      </c>
      <c r="D75" s="99">
        <f t="shared" ref="D75:O75" si="12">D9</f>
        <v>5.55</v>
      </c>
      <c r="E75" s="99">
        <f t="shared" si="12"/>
        <v>5.7350000000000003</v>
      </c>
      <c r="F75" s="99">
        <f t="shared" si="12"/>
        <v>5.7350000000000003</v>
      </c>
      <c r="G75" s="99">
        <f t="shared" si="12"/>
        <v>5.55</v>
      </c>
      <c r="H75" s="99">
        <f t="shared" si="12"/>
        <v>5.7350000000000003</v>
      </c>
      <c r="I75" s="99">
        <f t="shared" si="12"/>
        <v>5.7350000000000003</v>
      </c>
      <c r="J75" s="99">
        <f t="shared" si="12"/>
        <v>5.7350000000000003</v>
      </c>
      <c r="K75" s="99">
        <f t="shared" si="12"/>
        <v>5.7350000000000003</v>
      </c>
      <c r="L75" s="99">
        <f t="shared" si="12"/>
        <v>5.7350000000000003</v>
      </c>
      <c r="M75" s="99">
        <f t="shared" si="12"/>
        <v>5.7350000000000003</v>
      </c>
      <c r="N75" s="99">
        <f t="shared" si="12"/>
        <v>5.7350000000000003</v>
      </c>
      <c r="O75" s="99">
        <f t="shared" si="12"/>
        <v>5.7350000000000003</v>
      </c>
    </row>
    <row r="76" spans="1:18" s="130" customFormat="1" ht="12.6" customHeight="1">
      <c r="A76" s="92" t="s">
        <v>69</v>
      </c>
      <c r="B76" s="85" t="s">
        <v>77</v>
      </c>
      <c r="C76" s="101" t="s">
        <v>69</v>
      </c>
      <c r="D76" s="89">
        <f t="shared" ref="D76:O76" si="13">D13</f>
        <v>13.95</v>
      </c>
      <c r="E76" s="89">
        <f t="shared" si="13"/>
        <v>8.99</v>
      </c>
      <c r="F76" s="89">
        <f t="shared" si="13"/>
        <v>14.66</v>
      </c>
      <c r="G76" s="89">
        <f t="shared" si="13"/>
        <v>15</v>
      </c>
      <c r="H76" s="89">
        <f t="shared" si="13"/>
        <v>15.5</v>
      </c>
      <c r="I76" s="89">
        <f t="shared" si="13"/>
        <v>15</v>
      </c>
      <c r="J76" s="89">
        <f t="shared" si="13"/>
        <v>15.08</v>
      </c>
      <c r="K76" s="89">
        <f t="shared" si="13"/>
        <v>14.87</v>
      </c>
      <c r="L76" s="89">
        <f t="shared" si="13"/>
        <v>14</v>
      </c>
      <c r="M76" s="89">
        <f t="shared" si="13"/>
        <v>15.5</v>
      </c>
      <c r="N76" s="89">
        <f t="shared" si="13"/>
        <v>15</v>
      </c>
      <c r="O76" s="89">
        <f t="shared" si="13"/>
        <v>15.5</v>
      </c>
    </row>
    <row r="77" spans="1:18" s="130" customFormat="1" ht="12.6" customHeight="1">
      <c r="A77" s="233" t="s">
        <v>119</v>
      </c>
      <c r="B77" s="233"/>
      <c r="C77" s="233"/>
      <c r="D77" s="103">
        <f>SUM(D25:D76)</f>
        <v>197.40492810999996</v>
      </c>
      <c r="E77" s="103">
        <f t="shared" ref="E77:O77" si="14">SUM(E25:E76)</f>
        <v>205.89856137000001</v>
      </c>
      <c r="F77" s="103">
        <f t="shared" si="14"/>
        <v>219.23365578999997</v>
      </c>
      <c r="G77" s="103">
        <f t="shared" si="14"/>
        <v>217.50812603</v>
      </c>
      <c r="H77" s="103">
        <f t="shared" si="14"/>
        <v>219.93615352999996</v>
      </c>
      <c r="I77" s="103">
        <f t="shared" si="14"/>
        <v>219.29638480999998</v>
      </c>
      <c r="J77" s="103">
        <f t="shared" si="14"/>
        <v>224.07726785</v>
      </c>
      <c r="K77" s="103">
        <f t="shared" si="14"/>
        <v>222.2368366</v>
      </c>
      <c r="L77" s="103">
        <f t="shared" si="14"/>
        <v>214.42718816999999</v>
      </c>
      <c r="M77" s="103">
        <f t="shared" si="14"/>
        <v>219.81127197000001</v>
      </c>
      <c r="N77" s="103">
        <f t="shared" si="14"/>
        <v>213.82085520999999</v>
      </c>
      <c r="O77" s="103">
        <f t="shared" si="14"/>
        <v>215.04072227</v>
      </c>
    </row>
    <row r="78" spans="1:18" s="130" customFormat="1" ht="12.6" customHeight="1">
      <c r="A78" s="233" t="s">
        <v>120</v>
      </c>
      <c r="B78" s="233"/>
      <c r="C78" s="233"/>
      <c r="D78" s="103">
        <f t="shared" ref="D78:O78" si="15">D30+D31+D32+D33+D34+D35+D36+D37+D39+D40+D41+D42+D43+D44+D45+D46+D47+D48+D49+D50+D52+D57+D58+D59+D60+D61+D62+D63+D64+D65+D66+D67+D68+D69+D73+D70+D72+D74+D38+D53</f>
        <v>57.000000000000007</v>
      </c>
      <c r="E78" s="103">
        <f t="shared" si="15"/>
        <v>59.2</v>
      </c>
      <c r="F78" s="103">
        <f t="shared" si="15"/>
        <v>61.2</v>
      </c>
      <c r="G78" s="103">
        <f t="shared" si="15"/>
        <v>60.2</v>
      </c>
      <c r="H78" s="103">
        <f t="shared" si="15"/>
        <v>60.7</v>
      </c>
      <c r="I78" s="103">
        <f t="shared" si="15"/>
        <v>61.2</v>
      </c>
      <c r="J78" s="103">
        <f t="shared" si="15"/>
        <v>61.2</v>
      </c>
      <c r="K78" s="103">
        <f t="shared" si="15"/>
        <v>61.2</v>
      </c>
      <c r="L78" s="103">
        <f t="shared" si="15"/>
        <v>61.2</v>
      </c>
      <c r="M78" s="103">
        <f t="shared" si="15"/>
        <v>61.2</v>
      </c>
      <c r="N78" s="103">
        <f t="shared" si="15"/>
        <v>61.2</v>
      </c>
      <c r="O78" s="103">
        <f t="shared" si="15"/>
        <v>61.2</v>
      </c>
      <c r="P78" s="130">
        <v>28</v>
      </c>
      <c r="Q78" s="199">
        <f>Q81*P78</f>
        <v>39200</v>
      </c>
      <c r="R78" s="130" t="s">
        <v>134</v>
      </c>
    </row>
    <row r="79" spans="1:18" s="130" customFormat="1" ht="12.6" customHeight="1">
      <c r="A79" s="233" t="s">
        <v>71</v>
      </c>
      <c r="B79" s="233"/>
      <c r="C79" s="233"/>
      <c r="D79" s="103">
        <f>D77-D78</f>
        <v>140.40492810999996</v>
      </c>
      <c r="E79" s="103">
        <f t="shared" ref="E79:O79" si="16">E77-E78</f>
        <v>146.69856136999999</v>
      </c>
      <c r="F79" s="103">
        <f t="shared" si="16"/>
        <v>158.03365578999995</v>
      </c>
      <c r="G79" s="103">
        <f t="shared" si="16"/>
        <v>157.30812602999998</v>
      </c>
      <c r="H79" s="103">
        <f t="shared" si="16"/>
        <v>159.23615352999997</v>
      </c>
      <c r="I79" s="103">
        <f t="shared" si="16"/>
        <v>158.09638480999996</v>
      </c>
      <c r="J79" s="103">
        <f t="shared" si="16"/>
        <v>162.87726785000001</v>
      </c>
      <c r="K79" s="103">
        <f t="shared" si="16"/>
        <v>161.03683660000002</v>
      </c>
      <c r="L79" s="103">
        <f t="shared" si="16"/>
        <v>153.22718816999998</v>
      </c>
      <c r="M79" s="103">
        <f t="shared" si="16"/>
        <v>158.61127197000002</v>
      </c>
      <c r="N79" s="103">
        <f t="shared" si="16"/>
        <v>152.62085521</v>
      </c>
      <c r="O79" s="103">
        <f t="shared" si="16"/>
        <v>153.84072227000001</v>
      </c>
      <c r="P79" s="130">
        <v>30</v>
      </c>
      <c r="Q79" s="199">
        <f>Q81*P79</f>
        <v>42000</v>
      </c>
      <c r="R79" s="130" t="s">
        <v>134</v>
      </c>
    </row>
    <row r="80" spans="1:18" s="130" customFormat="1" ht="12.6" customHeight="1">
      <c r="A80" s="233" t="s">
        <v>103</v>
      </c>
      <c r="B80" s="233"/>
      <c r="C80" s="233"/>
      <c r="D80" s="103">
        <f>D26+D27+D30+D31+D32+D34+D36+D39+D42+D44+D46+D47+D54+D57+D59+D62+D64+D66+D68+D25</f>
        <v>142.10492811</v>
      </c>
      <c r="E80" s="103">
        <f t="shared" ref="E80:O80" si="17">E26+E27+E30+E31+E32+E34+E36+E39+E42+E44+E46+E47+E54+E57+E59+E62+E64+E66+E68+E25</f>
        <v>156.47356137</v>
      </c>
      <c r="F80" s="103">
        <f t="shared" si="17"/>
        <v>160.83865579000002</v>
      </c>
      <c r="G80" s="103">
        <f t="shared" si="17"/>
        <v>158.95812603000002</v>
      </c>
      <c r="H80" s="103">
        <f t="shared" si="17"/>
        <v>160.70115353</v>
      </c>
      <c r="I80" s="103">
        <f t="shared" si="17"/>
        <v>160.56138480999999</v>
      </c>
      <c r="J80" s="103">
        <f t="shared" si="17"/>
        <v>165.26226785</v>
      </c>
      <c r="K80" s="103">
        <f t="shared" si="17"/>
        <v>164.8318366</v>
      </c>
      <c r="L80" s="103">
        <f t="shared" si="17"/>
        <v>157.89218817</v>
      </c>
      <c r="M80" s="103">
        <f t="shared" si="17"/>
        <v>161.77627197000001</v>
      </c>
      <c r="N80" s="103">
        <f t="shared" si="17"/>
        <v>156.28585520999999</v>
      </c>
      <c r="O80" s="103">
        <f t="shared" si="17"/>
        <v>157.00572227000001</v>
      </c>
      <c r="P80" s="130">
        <v>31</v>
      </c>
      <c r="Q80" s="199">
        <f>Q81*P80</f>
        <v>43400</v>
      </c>
      <c r="R80" s="130" t="s">
        <v>134</v>
      </c>
    </row>
    <row r="81" spans="1:19" s="130" customFormat="1" ht="12.6" customHeight="1">
      <c r="A81" s="238" t="s">
        <v>116</v>
      </c>
      <c r="B81" s="239"/>
      <c r="C81" s="240"/>
      <c r="D81" s="103">
        <f>D28+D33+D35+D37+D40+D41+D43+D45+D48+D49+D50+D55+D58+D60+D63+D65+D67+D69+D70+D61+D56+D38+D29</f>
        <v>28.819999999999997</v>
      </c>
      <c r="E81" s="103">
        <f t="shared" ref="E81:O81" si="18">E28+E33+E35+E37+E40+E41+E43+E45+E48+E49+E50+E55+E58+E60+E63+E65+E67+E69+E70+E61+E56+E38+E29</f>
        <v>28.580000000000002</v>
      </c>
      <c r="F81" s="103">
        <f t="shared" si="18"/>
        <v>30.680000000000003</v>
      </c>
      <c r="G81" s="103">
        <f t="shared" si="18"/>
        <v>30.680000000000003</v>
      </c>
      <c r="H81" s="103">
        <f t="shared" si="18"/>
        <v>30.680000000000003</v>
      </c>
      <c r="I81" s="103">
        <f t="shared" si="18"/>
        <v>30.680000000000003</v>
      </c>
      <c r="J81" s="103">
        <f t="shared" si="18"/>
        <v>30.680000000000003</v>
      </c>
      <c r="K81" s="103">
        <f t="shared" si="18"/>
        <v>30.680000000000003</v>
      </c>
      <c r="L81" s="103">
        <f t="shared" si="18"/>
        <v>30.680000000000003</v>
      </c>
      <c r="M81" s="103">
        <f t="shared" si="18"/>
        <v>30.680000000000003</v>
      </c>
      <c r="N81" s="103">
        <f t="shared" si="18"/>
        <v>30.680000000000003</v>
      </c>
      <c r="O81" s="103">
        <f t="shared" si="18"/>
        <v>30.680000000000003</v>
      </c>
      <c r="P81" s="197" t="s">
        <v>133</v>
      </c>
      <c r="Q81" s="198">
        <f>42000/30</f>
        <v>1400</v>
      </c>
      <c r="R81" s="197" t="s">
        <v>132</v>
      </c>
    </row>
    <row r="82" spans="1:19" s="130" customFormat="1" ht="12.6" customHeight="1">
      <c r="A82" s="238" t="s">
        <v>135</v>
      </c>
      <c r="B82" s="239"/>
      <c r="C82" s="240"/>
      <c r="D82" s="103">
        <f>D29+D38+D56+D61</f>
        <v>1.6</v>
      </c>
      <c r="E82" s="103">
        <f t="shared" ref="E82:O82" si="19">E29+E38+E56+E61</f>
        <v>1.7</v>
      </c>
      <c r="F82" s="103">
        <f t="shared" si="19"/>
        <v>1.7999999999999998</v>
      </c>
      <c r="G82" s="103">
        <f t="shared" si="19"/>
        <v>1.7999999999999998</v>
      </c>
      <c r="H82" s="103">
        <f t="shared" si="19"/>
        <v>1.7999999999999998</v>
      </c>
      <c r="I82" s="103">
        <f t="shared" si="19"/>
        <v>1.7999999999999998</v>
      </c>
      <c r="J82" s="103">
        <f t="shared" si="19"/>
        <v>1.7999999999999998</v>
      </c>
      <c r="K82" s="103">
        <f t="shared" si="19"/>
        <v>1.7999999999999998</v>
      </c>
      <c r="L82" s="103">
        <f t="shared" si="19"/>
        <v>1.7999999999999998</v>
      </c>
      <c r="M82" s="103">
        <f t="shared" si="19"/>
        <v>1.7999999999999998</v>
      </c>
      <c r="N82" s="103">
        <f t="shared" si="19"/>
        <v>1.7999999999999998</v>
      </c>
      <c r="O82" s="103">
        <f t="shared" si="19"/>
        <v>1.7999999999999998</v>
      </c>
      <c r="P82" s="197" t="s">
        <v>136</v>
      </c>
      <c r="Q82" s="198">
        <v>3</v>
      </c>
      <c r="R82" s="197" t="s">
        <v>137</v>
      </c>
    </row>
    <row r="83" spans="1:19" s="130" customFormat="1" ht="12.6" customHeight="1" thickBot="1">
      <c r="A83" s="238" t="s">
        <v>121</v>
      </c>
      <c r="B83" s="239"/>
      <c r="C83" s="240"/>
      <c r="D83" s="103">
        <f>D30+D31</f>
        <v>39</v>
      </c>
      <c r="E83" s="103">
        <f t="shared" ref="E83:O83" si="20">E30+E31</f>
        <v>42</v>
      </c>
      <c r="F83" s="103">
        <f t="shared" si="20"/>
        <v>42</v>
      </c>
      <c r="G83" s="103">
        <f t="shared" si="20"/>
        <v>41</v>
      </c>
      <c r="H83" s="103">
        <f t="shared" si="20"/>
        <v>41.5</v>
      </c>
      <c r="I83" s="103">
        <f t="shared" si="20"/>
        <v>42</v>
      </c>
      <c r="J83" s="103">
        <f t="shared" si="20"/>
        <v>42</v>
      </c>
      <c r="K83" s="103">
        <f t="shared" si="20"/>
        <v>42</v>
      </c>
      <c r="L83" s="103">
        <f t="shared" si="20"/>
        <v>42</v>
      </c>
      <c r="M83" s="103">
        <f t="shared" si="20"/>
        <v>42</v>
      </c>
      <c r="N83" s="103">
        <f t="shared" si="20"/>
        <v>42</v>
      </c>
      <c r="O83" s="103">
        <f t="shared" si="20"/>
        <v>42</v>
      </c>
    </row>
    <row r="84" spans="1:19" s="130" customFormat="1" ht="12.6" customHeight="1" thickBot="1">
      <c r="A84" s="238" t="s">
        <v>122</v>
      </c>
      <c r="B84" s="239"/>
      <c r="C84" s="240"/>
      <c r="D84" s="103">
        <f>D36+D37+D59+D60+D72+D38+D61</f>
        <v>4.2</v>
      </c>
      <c r="E84" s="103">
        <f t="shared" ref="E84:O84" si="21">E36+E37+E59+E60+E72+E38+E61</f>
        <v>4.2</v>
      </c>
      <c r="F84" s="103">
        <f t="shared" si="21"/>
        <v>4.2</v>
      </c>
      <c r="G84" s="103">
        <f t="shared" si="21"/>
        <v>4.2</v>
      </c>
      <c r="H84" s="103">
        <f t="shared" si="21"/>
        <v>4.2</v>
      </c>
      <c r="I84" s="103">
        <f t="shared" si="21"/>
        <v>4.2</v>
      </c>
      <c r="J84" s="103">
        <f t="shared" si="21"/>
        <v>4.2</v>
      </c>
      <c r="K84" s="103">
        <f t="shared" si="21"/>
        <v>4.2</v>
      </c>
      <c r="L84" s="103">
        <f t="shared" si="21"/>
        <v>4.2</v>
      </c>
      <c r="M84" s="103">
        <f t="shared" si="21"/>
        <v>4.2</v>
      </c>
      <c r="N84" s="103">
        <f t="shared" si="21"/>
        <v>4.2</v>
      </c>
      <c r="O84" s="103">
        <f t="shared" si="21"/>
        <v>4.2</v>
      </c>
      <c r="P84" s="205" t="s">
        <v>138</v>
      </c>
      <c r="Q84" s="206" t="s">
        <v>139</v>
      </c>
      <c r="R84" s="206" t="s">
        <v>140</v>
      </c>
      <c r="S84" s="206" t="s">
        <v>141</v>
      </c>
    </row>
    <row r="85" spans="1:19" s="130" customFormat="1" ht="12.6" customHeight="1" thickBot="1">
      <c r="A85" s="238" t="s">
        <v>123</v>
      </c>
      <c r="B85" s="239"/>
      <c r="C85" s="240"/>
      <c r="D85" s="103">
        <f>D39+D40+D52+D62+D63+D73</f>
        <v>13.8</v>
      </c>
      <c r="E85" s="103">
        <f t="shared" ref="E85:N85" si="22">E39+E40+E52+E62+E63+E73</f>
        <v>13</v>
      </c>
      <c r="F85" s="103">
        <f t="shared" si="22"/>
        <v>15</v>
      </c>
      <c r="G85" s="103">
        <f t="shared" si="22"/>
        <v>15</v>
      </c>
      <c r="H85" s="103">
        <f t="shared" si="22"/>
        <v>15</v>
      </c>
      <c r="I85" s="103">
        <f t="shared" si="22"/>
        <v>15</v>
      </c>
      <c r="J85" s="103">
        <f t="shared" si="22"/>
        <v>15</v>
      </c>
      <c r="K85" s="103">
        <f t="shared" si="22"/>
        <v>15</v>
      </c>
      <c r="L85" s="103">
        <f t="shared" si="22"/>
        <v>15</v>
      </c>
      <c r="M85" s="103">
        <f t="shared" si="22"/>
        <v>15</v>
      </c>
      <c r="N85" s="103">
        <f t="shared" si="22"/>
        <v>15</v>
      </c>
      <c r="O85" s="103">
        <f>O39+O40+O52+O62+O63+O73</f>
        <v>15</v>
      </c>
      <c r="P85" s="207" t="s">
        <v>142</v>
      </c>
      <c r="Q85" s="212" t="s">
        <v>143</v>
      </c>
      <c r="R85" s="212" t="s">
        <v>144</v>
      </c>
      <c r="S85" s="212" t="s">
        <v>145</v>
      </c>
    </row>
    <row r="86" spans="1:19" s="130" customFormat="1" ht="12.6" customHeight="1" thickBot="1">
      <c r="A86" s="238" t="s">
        <v>126</v>
      </c>
      <c r="B86" s="239"/>
      <c r="C86" s="240"/>
      <c r="D86" s="103">
        <f>D41</f>
        <v>0</v>
      </c>
      <c r="E86" s="103">
        <f t="shared" ref="E86:O86" si="23">E41</f>
        <v>0</v>
      </c>
      <c r="F86" s="103">
        <f t="shared" si="23"/>
        <v>0</v>
      </c>
      <c r="G86" s="103">
        <f t="shared" si="23"/>
        <v>0</v>
      </c>
      <c r="H86" s="103">
        <f t="shared" si="23"/>
        <v>0</v>
      </c>
      <c r="I86" s="103">
        <f t="shared" si="23"/>
        <v>0</v>
      </c>
      <c r="J86" s="103">
        <f t="shared" si="23"/>
        <v>0</v>
      </c>
      <c r="K86" s="103">
        <f t="shared" si="23"/>
        <v>0</v>
      </c>
      <c r="L86" s="103">
        <f t="shared" si="23"/>
        <v>0</v>
      </c>
      <c r="M86" s="103">
        <f t="shared" si="23"/>
        <v>0</v>
      </c>
      <c r="N86" s="103">
        <f t="shared" si="23"/>
        <v>0</v>
      </c>
      <c r="O86" s="103">
        <f t="shared" si="23"/>
        <v>0</v>
      </c>
      <c r="P86" s="208" t="s">
        <v>146</v>
      </c>
      <c r="Q86" s="209" t="s">
        <v>147</v>
      </c>
      <c r="R86" s="210" t="s">
        <v>148</v>
      </c>
      <c r="S86" s="211" t="s">
        <v>149</v>
      </c>
    </row>
    <row r="87" spans="1:19" s="130" customFormat="1" ht="12.6" customHeight="1" thickBot="1">
      <c r="A87" s="238" t="s">
        <v>129</v>
      </c>
      <c r="B87" s="239"/>
      <c r="C87" s="240"/>
      <c r="D87" s="103">
        <f>D32+D33+D57+D58</f>
        <v>0</v>
      </c>
      <c r="E87" s="103">
        <f t="shared" ref="E87:O87" si="24">E32+E33+E57+E58</f>
        <v>0</v>
      </c>
      <c r="F87" s="103">
        <f t="shared" si="24"/>
        <v>0</v>
      </c>
      <c r="G87" s="103">
        <f t="shared" si="24"/>
        <v>0</v>
      </c>
      <c r="H87" s="103">
        <f t="shared" si="24"/>
        <v>0</v>
      </c>
      <c r="I87" s="103">
        <f t="shared" si="24"/>
        <v>0</v>
      </c>
      <c r="J87" s="103">
        <f t="shared" si="24"/>
        <v>0</v>
      </c>
      <c r="K87" s="103">
        <f t="shared" si="24"/>
        <v>0</v>
      </c>
      <c r="L87" s="103">
        <f t="shared" si="24"/>
        <v>0</v>
      </c>
      <c r="M87" s="103">
        <f t="shared" si="24"/>
        <v>0</v>
      </c>
      <c r="N87" s="103">
        <f t="shared" si="24"/>
        <v>0</v>
      </c>
      <c r="O87" s="103">
        <f t="shared" si="24"/>
        <v>0</v>
      </c>
      <c r="P87" s="208" t="s">
        <v>150</v>
      </c>
      <c r="Q87" s="209" t="s">
        <v>151</v>
      </c>
      <c r="R87" s="210" t="s">
        <v>152</v>
      </c>
      <c r="S87" s="211" t="s">
        <v>153</v>
      </c>
    </row>
    <row r="88" spans="1:19" s="130" customFormat="1" ht="12.6" customHeight="1" thickBot="1">
      <c r="A88" s="238" t="s">
        <v>130</v>
      </c>
      <c r="B88" s="239"/>
      <c r="C88" s="240"/>
      <c r="D88" s="103">
        <f>D34+D35</f>
        <v>0</v>
      </c>
      <c r="E88" s="103">
        <f t="shared" ref="E88:O88" si="25">E34+E35</f>
        <v>0</v>
      </c>
      <c r="F88" s="103">
        <f t="shared" si="25"/>
        <v>0</v>
      </c>
      <c r="G88" s="103">
        <f t="shared" si="25"/>
        <v>0</v>
      </c>
      <c r="H88" s="103">
        <f t="shared" si="25"/>
        <v>0</v>
      </c>
      <c r="I88" s="103">
        <f t="shared" si="25"/>
        <v>0</v>
      </c>
      <c r="J88" s="103">
        <f t="shared" si="25"/>
        <v>0</v>
      </c>
      <c r="K88" s="103">
        <f t="shared" si="25"/>
        <v>0</v>
      </c>
      <c r="L88" s="103">
        <f t="shared" si="25"/>
        <v>0</v>
      </c>
      <c r="M88" s="103">
        <f t="shared" si="25"/>
        <v>0</v>
      </c>
      <c r="N88" s="103">
        <f t="shared" si="25"/>
        <v>0</v>
      </c>
      <c r="O88" s="103">
        <f t="shared" si="25"/>
        <v>0</v>
      </c>
      <c r="P88" s="208" t="s">
        <v>154</v>
      </c>
      <c r="Q88" s="209" t="s">
        <v>148</v>
      </c>
      <c r="R88" s="210" t="s">
        <v>155</v>
      </c>
      <c r="S88" s="211" t="s">
        <v>156</v>
      </c>
    </row>
    <row r="89" spans="1:19" s="130" customFormat="1" ht="12.6" customHeight="1">
      <c r="A89" s="238" t="s">
        <v>131</v>
      </c>
      <c r="B89" s="239"/>
      <c r="C89" s="240"/>
      <c r="D89" s="103">
        <f>D44+D45+D66+D67+D74</f>
        <v>0</v>
      </c>
      <c r="E89" s="103">
        <f t="shared" ref="E89:O89" si="26">E44+E45+E66+E67+E74</f>
        <v>0</v>
      </c>
      <c r="F89" s="103">
        <f t="shared" si="26"/>
        <v>0</v>
      </c>
      <c r="G89" s="103">
        <f t="shared" si="26"/>
        <v>0</v>
      </c>
      <c r="H89" s="103">
        <f t="shared" si="26"/>
        <v>0</v>
      </c>
      <c r="I89" s="103">
        <f t="shared" si="26"/>
        <v>0</v>
      </c>
      <c r="J89" s="103">
        <f t="shared" si="26"/>
        <v>0</v>
      </c>
      <c r="K89" s="103">
        <f t="shared" si="26"/>
        <v>0</v>
      </c>
      <c r="L89" s="103">
        <f t="shared" si="26"/>
        <v>0</v>
      </c>
      <c r="M89" s="103">
        <f t="shared" si="26"/>
        <v>0</v>
      </c>
      <c r="N89" s="103">
        <f t="shared" si="26"/>
        <v>0</v>
      </c>
      <c r="O89" s="103">
        <f t="shared" si="26"/>
        <v>0</v>
      </c>
    </row>
    <row r="90" spans="1:19" s="130" customFormat="1" ht="12.6" customHeight="1">
      <c r="A90" s="104"/>
      <c r="B90" s="104"/>
      <c r="C90" s="104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</row>
    <row r="91" spans="1:19" s="136" customFormat="1" ht="12.6" customHeight="1">
      <c r="A91" s="104"/>
      <c r="B91" s="104"/>
      <c r="C91" s="104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19" s="130" customFormat="1" ht="12.6" customHeight="1">
      <c r="A92" s="241" t="s">
        <v>99</v>
      </c>
      <c r="B92" s="241"/>
      <c r="C92" s="241"/>
      <c r="D92" s="84">
        <f t="shared" ref="D92:O92" si="27">D1</f>
        <v>44348</v>
      </c>
      <c r="E92" s="84">
        <f t="shared" si="27"/>
        <v>44378</v>
      </c>
      <c r="F92" s="84">
        <f t="shared" si="27"/>
        <v>44409</v>
      </c>
      <c r="G92" s="84">
        <f t="shared" si="27"/>
        <v>44440</v>
      </c>
      <c r="H92" s="84">
        <f t="shared" si="27"/>
        <v>44470</v>
      </c>
      <c r="I92" s="84">
        <f t="shared" si="27"/>
        <v>44501</v>
      </c>
      <c r="J92" s="84">
        <f t="shared" si="27"/>
        <v>44531</v>
      </c>
      <c r="K92" s="84">
        <f t="shared" si="27"/>
        <v>44562</v>
      </c>
      <c r="L92" s="84">
        <f t="shared" si="27"/>
        <v>44593</v>
      </c>
      <c r="M92" s="84">
        <f t="shared" si="27"/>
        <v>44621</v>
      </c>
      <c r="N92" s="84">
        <f t="shared" si="27"/>
        <v>44652</v>
      </c>
      <c r="O92" s="84">
        <f t="shared" si="27"/>
        <v>44682</v>
      </c>
    </row>
    <row r="93" spans="1:19" s="130" customFormat="1" ht="12.6" customHeight="1">
      <c r="A93" s="237" t="s">
        <v>72</v>
      </c>
      <c r="B93" s="237"/>
      <c r="C93" s="237"/>
      <c r="D93" s="228">
        <f>D14-D54-D56-D55-D57-D60-D63-D62-D61</f>
        <v>0</v>
      </c>
      <c r="E93" s="228">
        <f t="shared" ref="E93:O93" si="28">E14-E54-E56-E55-E57-E60-E63-E62-E61</f>
        <v>0</v>
      </c>
      <c r="F93" s="228">
        <f t="shared" si="28"/>
        <v>0</v>
      </c>
      <c r="G93" s="228">
        <f t="shared" si="28"/>
        <v>0</v>
      </c>
      <c r="H93" s="228">
        <f t="shared" si="28"/>
        <v>0</v>
      </c>
      <c r="I93" s="228">
        <f t="shared" si="28"/>
        <v>0</v>
      </c>
      <c r="J93" s="228">
        <f t="shared" si="28"/>
        <v>0</v>
      </c>
      <c r="K93" s="228">
        <f t="shared" si="28"/>
        <v>0</v>
      </c>
      <c r="L93" s="228">
        <f t="shared" si="28"/>
        <v>0</v>
      </c>
      <c r="M93" s="228">
        <f t="shared" si="28"/>
        <v>0</v>
      </c>
      <c r="N93" s="228">
        <f t="shared" si="28"/>
        <v>0</v>
      </c>
      <c r="O93" s="228">
        <f t="shared" si="28"/>
        <v>0</v>
      </c>
    </row>
    <row r="94" spans="1:19" s="130" customFormat="1" ht="12.6" customHeight="1">
      <c r="A94" s="237" t="s">
        <v>70</v>
      </c>
      <c r="B94" s="237"/>
      <c r="C94" s="237"/>
      <c r="D94" s="228">
        <f>D79-(U5/10^6)</f>
        <v>0</v>
      </c>
      <c r="E94" s="228">
        <f>E79-(U6/10^6)</f>
        <v>0</v>
      </c>
      <c r="F94" s="228">
        <f>F79-(U7/10^6)</f>
        <v>0</v>
      </c>
      <c r="G94" s="228">
        <f>G79-(U8/10^6)</f>
        <v>0</v>
      </c>
      <c r="H94" s="228">
        <f>H79-(U9/10^6)</f>
        <v>0</v>
      </c>
      <c r="I94" s="228">
        <f>I79-(U10/10^6)</f>
        <v>0</v>
      </c>
      <c r="J94" s="228">
        <f>J79-(U11/10^6)</f>
        <v>0</v>
      </c>
      <c r="K94" s="228">
        <f>K79-(U12/10^6)</f>
        <v>1.0000007932831068E-8</v>
      </c>
      <c r="L94" s="228">
        <f>L79-(U13/10^6)</f>
        <v>0</v>
      </c>
      <c r="M94" s="228">
        <f>M79-(U14/10^6)</f>
        <v>0</v>
      </c>
      <c r="N94" s="228">
        <f>N79-(U15/10^6)</f>
        <v>0</v>
      </c>
      <c r="O94" s="228">
        <f>O79-(U16/10^6)</f>
        <v>0</v>
      </c>
    </row>
    <row r="95" spans="1:19">
      <c r="B95" s="116"/>
      <c r="C95" s="106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</row>
    <row r="96" spans="1:19">
      <c r="A96" s="137" t="s">
        <v>108</v>
      </c>
      <c r="B96" s="116"/>
      <c r="C96" s="106"/>
    </row>
    <row r="97" spans="1:15">
      <c r="A97" s="109" t="s">
        <v>90</v>
      </c>
      <c r="B97" s="109" t="s">
        <v>91</v>
      </c>
      <c r="C97" s="109" t="s">
        <v>92</v>
      </c>
      <c r="D97" s="84">
        <f t="shared" ref="D97:O97" si="29">D1</f>
        <v>44348</v>
      </c>
      <c r="E97" s="84">
        <f t="shared" si="29"/>
        <v>44378</v>
      </c>
      <c r="F97" s="84">
        <f t="shared" si="29"/>
        <v>44409</v>
      </c>
      <c r="G97" s="84">
        <f t="shared" si="29"/>
        <v>44440</v>
      </c>
      <c r="H97" s="84">
        <f t="shared" si="29"/>
        <v>44470</v>
      </c>
      <c r="I97" s="84">
        <f t="shared" si="29"/>
        <v>44501</v>
      </c>
      <c r="J97" s="84">
        <f t="shared" si="29"/>
        <v>44531</v>
      </c>
      <c r="K97" s="84">
        <f t="shared" si="29"/>
        <v>44562</v>
      </c>
      <c r="L97" s="84">
        <f t="shared" si="29"/>
        <v>44593</v>
      </c>
      <c r="M97" s="84">
        <f t="shared" si="29"/>
        <v>44621</v>
      </c>
      <c r="N97" s="84">
        <f t="shared" si="29"/>
        <v>44652</v>
      </c>
      <c r="O97" s="84">
        <f t="shared" si="29"/>
        <v>44682</v>
      </c>
    </row>
    <row r="98" spans="1:15">
      <c r="A98" s="92" t="s">
        <v>86</v>
      </c>
      <c r="B98" s="85" t="s">
        <v>117</v>
      </c>
      <c r="C98" s="90" t="s">
        <v>106</v>
      </c>
      <c r="D98" s="89">
        <f>W5/10^6</f>
        <v>0.6</v>
      </c>
      <c r="E98" s="89">
        <f>W6/10^6</f>
        <v>0.6</v>
      </c>
      <c r="F98" s="89">
        <f>W7/10^6</f>
        <v>0.6</v>
      </c>
      <c r="G98" s="89">
        <f>W8/10^6</f>
        <v>0.6</v>
      </c>
      <c r="H98" s="89">
        <f>W9/10^6</f>
        <v>0.9</v>
      </c>
      <c r="I98" s="89">
        <f>W10/10^6</f>
        <v>0.9</v>
      </c>
      <c r="J98" s="89">
        <f>W11/10^6</f>
        <v>0.9</v>
      </c>
      <c r="K98" s="89">
        <f>W12/10^6</f>
        <v>0.9</v>
      </c>
      <c r="L98" s="89">
        <f>W13/10^6</f>
        <v>0.9</v>
      </c>
      <c r="M98" s="89">
        <f>W14/10^6</f>
        <v>0.9</v>
      </c>
      <c r="N98" s="89">
        <f>W15/10^6</f>
        <v>0.9</v>
      </c>
      <c r="O98" s="89">
        <f>W16/10^6</f>
        <v>0.9</v>
      </c>
    </row>
    <row r="99" spans="1:15">
      <c r="A99" s="92" t="s">
        <v>86</v>
      </c>
      <c r="B99" s="85" t="s">
        <v>109</v>
      </c>
      <c r="C99" s="87" t="s">
        <v>107</v>
      </c>
      <c r="D99" s="188">
        <v>2</v>
      </c>
      <c r="E99" s="188">
        <v>1.5</v>
      </c>
      <c r="F99" s="188">
        <v>1.5</v>
      </c>
      <c r="G99" s="188">
        <v>1.5</v>
      </c>
      <c r="H99" s="188">
        <v>1.5</v>
      </c>
      <c r="I99" s="188">
        <v>1.5</v>
      </c>
      <c r="J99" s="188">
        <v>1.5</v>
      </c>
      <c r="K99" s="188">
        <v>1.5</v>
      </c>
      <c r="L99" s="188">
        <v>1.5</v>
      </c>
      <c r="M99" s="188">
        <v>1.5</v>
      </c>
      <c r="N99" s="188">
        <v>1.5</v>
      </c>
      <c r="O99" s="188">
        <v>1.5</v>
      </c>
    </row>
    <row r="100" spans="1:15">
      <c r="B100" s="140" t="s">
        <v>115</v>
      </c>
    </row>
    <row r="101" spans="1:15">
      <c r="B101" s="139" t="s">
        <v>114</v>
      </c>
    </row>
    <row r="102" spans="1:15">
      <c r="B102" s="138" t="s">
        <v>113</v>
      </c>
    </row>
    <row r="104" spans="1:15">
      <c r="D104" s="83">
        <v>210.53577640000009</v>
      </c>
      <c r="E104" s="83">
        <v>215.92259741000007</v>
      </c>
      <c r="F104" s="83">
        <v>218.50864505000013</v>
      </c>
      <c r="G104" s="83">
        <v>216.87345454000004</v>
      </c>
      <c r="H104" s="83">
        <v>217.52817172000007</v>
      </c>
      <c r="I104" s="83">
        <v>216.77678417000001</v>
      </c>
      <c r="J104" s="83">
        <v>219.67178731000004</v>
      </c>
      <c r="K104" s="83">
        <v>220.23011479000002</v>
      </c>
      <c r="L104" s="83">
        <v>211.00287546000007</v>
      </c>
      <c r="M104" s="83">
        <v>217.98742969000003</v>
      </c>
      <c r="N104" s="83">
        <v>212.21540288000008</v>
      </c>
      <c r="O104" s="83">
        <v>212.71540288000008</v>
      </c>
    </row>
    <row r="105" spans="1:15">
      <c r="D105" s="83">
        <f t="shared" ref="D105:O105" si="30">D77-D104</f>
        <v>-13.130848290000131</v>
      </c>
      <c r="E105" s="83">
        <f t="shared" si="30"/>
        <v>-10.024036040000055</v>
      </c>
      <c r="F105" s="83">
        <f t="shared" si="30"/>
        <v>0.72501073999984555</v>
      </c>
      <c r="G105" s="83">
        <f t="shared" si="30"/>
        <v>0.6346714899999597</v>
      </c>
      <c r="H105" s="83">
        <f t="shared" si="30"/>
        <v>2.4079818099998818</v>
      </c>
      <c r="I105" s="83">
        <f t="shared" si="30"/>
        <v>2.5196006399999646</v>
      </c>
      <c r="J105" s="83">
        <f t="shared" si="30"/>
        <v>4.4054805399999566</v>
      </c>
      <c r="K105" s="83">
        <f t="shared" si="30"/>
        <v>2.0067218099999877</v>
      </c>
      <c r="L105" s="83">
        <f t="shared" si="30"/>
        <v>3.4243127099999242</v>
      </c>
      <c r="M105" s="83">
        <f t="shared" si="30"/>
        <v>1.8238422799999796</v>
      </c>
      <c r="N105" s="83">
        <f t="shared" si="30"/>
        <v>1.6054523299999062</v>
      </c>
      <c r="O105" s="83">
        <f t="shared" si="30"/>
        <v>2.3253193899999189</v>
      </c>
    </row>
    <row r="106" spans="1:15"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</row>
    <row r="107" spans="1:15">
      <c r="A107" s="233" t="s">
        <v>71</v>
      </c>
      <c r="B107" s="233"/>
      <c r="C107" s="233"/>
      <c r="D107" s="83">
        <v>149.33577639999999</v>
      </c>
      <c r="E107" s="83">
        <v>154.72259740999999</v>
      </c>
      <c r="F107" s="83">
        <v>157.30864505000002</v>
      </c>
      <c r="G107" s="83">
        <v>155.67345453999999</v>
      </c>
      <c r="H107" s="83">
        <v>156.32817172</v>
      </c>
      <c r="I107" s="83">
        <v>155.57678417</v>
      </c>
      <c r="J107" s="83">
        <v>158.47178731</v>
      </c>
      <c r="K107" s="83">
        <v>159.03011479000003</v>
      </c>
      <c r="L107" s="83">
        <v>149.80287546</v>
      </c>
      <c r="M107" s="83">
        <v>156.78742969000001</v>
      </c>
      <c r="N107" s="83">
        <v>151.01540288000004</v>
      </c>
      <c r="O107" s="83">
        <v>151.51540288000004</v>
      </c>
    </row>
    <row r="108" spans="1:15">
      <c r="D108" s="83">
        <f t="shared" ref="D108:O108" si="31">D79-D107</f>
        <v>-8.9308482900000286</v>
      </c>
      <c r="E108" s="83">
        <f t="shared" si="31"/>
        <v>-8.0240360399999986</v>
      </c>
      <c r="F108" s="83">
        <f t="shared" si="31"/>
        <v>0.72501073999993082</v>
      </c>
      <c r="G108" s="83">
        <f t="shared" si="31"/>
        <v>1.6346714899999881</v>
      </c>
      <c r="H108" s="83">
        <f t="shared" si="31"/>
        <v>2.907981809999967</v>
      </c>
      <c r="I108" s="83">
        <f t="shared" si="31"/>
        <v>2.5196006399999646</v>
      </c>
      <c r="J108" s="83">
        <f t="shared" si="31"/>
        <v>4.4054805400000134</v>
      </c>
      <c r="K108" s="83">
        <f t="shared" si="31"/>
        <v>2.0067218099999877</v>
      </c>
      <c r="L108" s="83">
        <f t="shared" si="31"/>
        <v>3.4243127099999811</v>
      </c>
      <c r="M108" s="83">
        <f t="shared" si="31"/>
        <v>1.823842280000008</v>
      </c>
      <c r="N108" s="83">
        <f t="shared" si="31"/>
        <v>1.605452329999963</v>
      </c>
      <c r="O108" s="83">
        <f t="shared" si="31"/>
        <v>2.3253193899999758</v>
      </c>
    </row>
    <row r="109" spans="1:15"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</sheetData>
  <mergeCells count="19">
    <mergeCell ref="A107:C107"/>
    <mergeCell ref="A94:C94"/>
    <mergeCell ref="A81:C81"/>
    <mergeCell ref="A83:C83"/>
    <mergeCell ref="A84:C84"/>
    <mergeCell ref="A85:C85"/>
    <mergeCell ref="A92:C92"/>
    <mergeCell ref="A93:C93"/>
    <mergeCell ref="A86:C86"/>
    <mergeCell ref="A87:C87"/>
    <mergeCell ref="A88:C88"/>
    <mergeCell ref="A89:C89"/>
    <mergeCell ref="A82:C82"/>
    <mergeCell ref="A80:C80"/>
    <mergeCell ref="Q2:R2"/>
    <mergeCell ref="R3:S3"/>
    <mergeCell ref="A77:C77"/>
    <mergeCell ref="A78:C78"/>
    <mergeCell ref="A79:C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80"/>
  <sheetViews>
    <sheetView tabSelected="1" zoomScaleNormal="100" workbookViewId="0">
      <selection activeCell="I54" sqref="I54"/>
    </sheetView>
  </sheetViews>
  <sheetFormatPr defaultColWidth="8.875" defaultRowHeight="11.4"/>
  <cols>
    <col min="1" max="1" width="13.5" style="163" customWidth="1"/>
    <col min="2" max="2" width="16.5" style="163" bestFit="1" customWidth="1"/>
    <col min="3" max="3" width="18.375" style="163" bestFit="1" customWidth="1"/>
    <col min="4" max="5" width="11" style="163" bestFit="1" customWidth="1"/>
    <col min="6" max="16384" width="8.875" style="163"/>
  </cols>
  <sheetData>
    <row r="1" spans="1:6">
      <c r="A1" s="177">
        <v>44317</v>
      </c>
      <c r="D1" s="179"/>
      <c r="E1" s="179"/>
    </row>
    <row r="2" spans="1:6" ht="12">
      <c r="A2" s="109" t="s">
        <v>90</v>
      </c>
      <c r="B2" s="109" t="s">
        <v>91</v>
      </c>
      <c r="C2" s="109" t="s">
        <v>92</v>
      </c>
      <c r="D2" s="213" t="s">
        <v>110</v>
      </c>
      <c r="E2" s="213" t="s">
        <v>158</v>
      </c>
    </row>
    <row r="3" spans="1:6" ht="12">
      <c r="A3" s="92" t="s">
        <v>86</v>
      </c>
      <c r="B3" s="85" t="s">
        <v>77</v>
      </c>
      <c r="C3" s="87" t="s">
        <v>28</v>
      </c>
      <c r="D3" s="88">
        <v>26</v>
      </c>
      <c r="E3" s="93">
        <v>26</v>
      </c>
    </row>
    <row r="4" spans="1:6" ht="12">
      <c r="A4" s="92" t="s">
        <v>88</v>
      </c>
      <c r="B4" s="85" t="s">
        <v>77</v>
      </c>
      <c r="C4" s="87" t="s">
        <v>28</v>
      </c>
      <c r="D4" s="88">
        <f>52.23-D3</f>
        <v>26.229999999999997</v>
      </c>
      <c r="E4" s="93">
        <f>52.23-E3</f>
        <v>26.229999999999997</v>
      </c>
    </row>
    <row r="5" spans="1:6" ht="12">
      <c r="A5" s="92" t="s">
        <v>88</v>
      </c>
      <c r="B5" s="85" t="s">
        <v>77</v>
      </c>
      <c r="C5" s="90" t="s">
        <v>16</v>
      </c>
      <c r="D5" s="88">
        <v>53.240893920000005</v>
      </c>
      <c r="E5" s="93">
        <v>55.66</v>
      </c>
    </row>
    <row r="6" spans="1:6" ht="12">
      <c r="A6" s="92" t="s">
        <v>88</v>
      </c>
      <c r="B6" s="85" t="s">
        <v>77</v>
      </c>
      <c r="C6" s="91" t="s">
        <v>83</v>
      </c>
      <c r="D6" s="88">
        <v>16</v>
      </c>
      <c r="E6" s="88">
        <v>16</v>
      </c>
    </row>
    <row r="7" spans="1:6" ht="12">
      <c r="A7" s="92" t="s">
        <v>88</v>
      </c>
      <c r="B7" s="85" t="s">
        <v>77</v>
      </c>
      <c r="C7" s="91" t="s">
        <v>95</v>
      </c>
      <c r="D7" s="88">
        <v>0.4</v>
      </c>
      <c r="E7" s="88">
        <v>0.4</v>
      </c>
    </row>
    <row r="8" spans="1:6" ht="12">
      <c r="A8" s="92" t="s">
        <v>88</v>
      </c>
      <c r="B8" s="92" t="s">
        <v>78</v>
      </c>
      <c r="C8" s="87" t="s">
        <v>28</v>
      </c>
      <c r="D8" s="88">
        <v>14.5</v>
      </c>
      <c r="E8" s="93">
        <v>13</v>
      </c>
      <c r="F8" s="231">
        <f>D8-E8</f>
        <v>1.5</v>
      </c>
    </row>
    <row r="9" spans="1:6" ht="12">
      <c r="A9" s="92" t="s">
        <v>88</v>
      </c>
      <c r="B9" s="92" t="s">
        <v>79</v>
      </c>
      <c r="C9" s="87" t="s">
        <v>28</v>
      </c>
      <c r="D9" s="88">
        <v>24.5</v>
      </c>
      <c r="E9" s="93">
        <v>23</v>
      </c>
      <c r="F9" s="231">
        <f>D9-E9</f>
        <v>1.5</v>
      </c>
    </row>
    <row r="10" spans="1:6" ht="12" hidden="1" customHeight="1">
      <c r="A10" s="92" t="s">
        <v>88</v>
      </c>
      <c r="B10" s="94" t="s">
        <v>82</v>
      </c>
      <c r="C10" s="87" t="s">
        <v>28</v>
      </c>
      <c r="D10" s="88"/>
      <c r="E10" s="88"/>
    </row>
    <row r="11" spans="1:6" ht="12" hidden="1" customHeight="1">
      <c r="A11" s="92" t="s">
        <v>88</v>
      </c>
      <c r="B11" s="94" t="s">
        <v>82</v>
      </c>
      <c r="C11" s="91" t="s">
        <v>83</v>
      </c>
      <c r="D11" s="88">
        <v>0</v>
      </c>
      <c r="E11" s="88">
        <v>0</v>
      </c>
    </row>
    <row r="12" spans="1:6" ht="12" hidden="1" customHeight="1">
      <c r="A12" s="92" t="s">
        <v>88</v>
      </c>
      <c r="B12" s="95" t="s">
        <v>93</v>
      </c>
      <c r="C12" s="87" t="s">
        <v>28</v>
      </c>
      <c r="D12" s="88"/>
      <c r="E12" s="88"/>
    </row>
    <row r="13" spans="1:6" ht="12" hidden="1" customHeight="1">
      <c r="A13" s="92" t="s">
        <v>88</v>
      </c>
      <c r="B13" s="95" t="s">
        <v>93</v>
      </c>
      <c r="C13" s="91" t="s">
        <v>83</v>
      </c>
      <c r="D13" s="88"/>
      <c r="E13" s="88"/>
    </row>
    <row r="14" spans="1:6" ht="12" hidden="1" customHeight="1">
      <c r="A14" s="92" t="s">
        <v>88</v>
      </c>
      <c r="B14" s="96" t="s">
        <v>85</v>
      </c>
      <c r="C14" s="87" t="s">
        <v>28</v>
      </c>
      <c r="D14" s="88"/>
      <c r="E14" s="88"/>
    </row>
    <row r="15" spans="1:6" ht="12">
      <c r="A15" s="92" t="s">
        <v>88</v>
      </c>
      <c r="B15" s="96" t="s">
        <v>85</v>
      </c>
      <c r="C15" s="91" t="s">
        <v>83</v>
      </c>
      <c r="D15" s="88">
        <v>3</v>
      </c>
      <c r="E15" s="88">
        <v>3</v>
      </c>
    </row>
    <row r="16" spans="1:6" ht="12">
      <c r="A16" s="92" t="s">
        <v>88</v>
      </c>
      <c r="B16" s="96" t="s">
        <v>85</v>
      </c>
      <c r="C16" s="91" t="s">
        <v>95</v>
      </c>
      <c r="D16" s="88">
        <v>1.2</v>
      </c>
      <c r="E16" s="88">
        <v>1.2</v>
      </c>
    </row>
    <row r="17" spans="1:5" ht="12" hidden="1" customHeight="1">
      <c r="A17" s="92" t="s">
        <v>88</v>
      </c>
      <c r="B17" s="97" t="s">
        <v>84</v>
      </c>
      <c r="C17" s="87" t="s">
        <v>28</v>
      </c>
      <c r="D17" s="88"/>
      <c r="E17" s="88"/>
    </row>
    <row r="18" spans="1:5" ht="12">
      <c r="A18" s="92" t="s">
        <v>88</v>
      </c>
      <c r="B18" s="97" t="s">
        <v>84</v>
      </c>
      <c r="C18" s="91" t="s">
        <v>83</v>
      </c>
      <c r="D18" s="88">
        <v>8.2200000000000006</v>
      </c>
      <c r="E18" s="93">
        <v>6.42</v>
      </c>
    </row>
    <row r="19" spans="1:5" ht="12" hidden="1" customHeight="1">
      <c r="A19" s="92" t="s">
        <v>88</v>
      </c>
      <c r="B19" s="95" t="s">
        <v>125</v>
      </c>
      <c r="C19" s="91" t="s">
        <v>83</v>
      </c>
      <c r="D19" s="88"/>
      <c r="E19" s="88"/>
    </row>
    <row r="20" spans="1:5" ht="12" hidden="1" customHeight="1">
      <c r="A20" s="92" t="s">
        <v>88</v>
      </c>
      <c r="B20" s="98" t="s">
        <v>87</v>
      </c>
      <c r="C20" s="87" t="s">
        <v>28</v>
      </c>
      <c r="D20" s="88"/>
      <c r="E20" s="88"/>
    </row>
    <row r="21" spans="1:5" ht="12" hidden="1" customHeight="1">
      <c r="A21" s="92" t="s">
        <v>88</v>
      </c>
      <c r="B21" s="98" t="s">
        <v>87</v>
      </c>
      <c r="C21" s="91" t="s">
        <v>83</v>
      </c>
      <c r="D21" s="88"/>
      <c r="E21" s="88"/>
    </row>
    <row r="22" spans="1:5" ht="12" hidden="1" customHeight="1">
      <c r="A22" s="92" t="s">
        <v>88</v>
      </c>
      <c r="B22" s="98" t="s">
        <v>128</v>
      </c>
      <c r="C22" s="87" t="s">
        <v>28</v>
      </c>
      <c r="D22" s="88"/>
      <c r="E22" s="88"/>
    </row>
    <row r="23" spans="1:5" ht="12" hidden="1" customHeight="1">
      <c r="A23" s="92" t="s">
        <v>88</v>
      </c>
      <c r="B23" s="98" t="s">
        <v>128</v>
      </c>
      <c r="C23" s="91" t="s">
        <v>83</v>
      </c>
      <c r="D23" s="88"/>
      <c r="E23" s="88"/>
    </row>
    <row r="24" spans="1:5" ht="12" hidden="1" customHeight="1">
      <c r="A24" s="92" t="s">
        <v>88</v>
      </c>
      <c r="B24" s="98" t="s">
        <v>81</v>
      </c>
      <c r="C24" s="87" t="s">
        <v>28</v>
      </c>
      <c r="D24" s="88"/>
      <c r="E24" s="88"/>
    </row>
    <row r="25" spans="1:5" ht="12" hidden="1" customHeight="1">
      <c r="A25" s="92" t="s">
        <v>88</v>
      </c>
      <c r="B25" s="98" t="s">
        <v>81</v>
      </c>
      <c r="C25" s="90" t="s">
        <v>16</v>
      </c>
      <c r="D25" s="88"/>
      <c r="E25" s="88"/>
    </row>
    <row r="26" spans="1:5" ht="12" hidden="1" customHeight="1">
      <c r="A26" s="92" t="s">
        <v>88</v>
      </c>
      <c r="B26" s="98" t="s">
        <v>81</v>
      </c>
      <c r="C26" s="91" t="s">
        <v>83</v>
      </c>
      <c r="D26" s="88"/>
      <c r="E26" s="88"/>
    </row>
    <row r="27" spans="1:5" ht="12" hidden="1" customHeight="1">
      <c r="A27" s="92" t="s">
        <v>88</v>
      </c>
      <c r="B27" s="98" t="s">
        <v>94</v>
      </c>
      <c r="C27" s="91" t="s">
        <v>83</v>
      </c>
      <c r="D27" s="88"/>
      <c r="E27" s="88"/>
    </row>
    <row r="28" spans="1:5" ht="12" hidden="1" customHeight="1">
      <c r="A28" s="92" t="s">
        <v>88</v>
      </c>
      <c r="B28" s="98" t="s">
        <v>105</v>
      </c>
      <c r="C28" s="91" t="s">
        <v>83</v>
      </c>
      <c r="D28" s="88"/>
      <c r="E28" s="88"/>
    </row>
    <row r="29" spans="1:5" ht="12" hidden="1">
      <c r="A29" s="92" t="s">
        <v>80</v>
      </c>
      <c r="B29" s="85" t="s">
        <v>77</v>
      </c>
      <c r="C29" s="92" t="s">
        <v>80</v>
      </c>
      <c r="D29" s="218"/>
      <c r="E29" s="218"/>
    </row>
    <row r="30" spans="1:5" ht="12">
      <c r="A30" s="92" t="s">
        <v>80</v>
      </c>
      <c r="B30" s="100" t="s">
        <v>84</v>
      </c>
      <c r="C30" s="92" t="s">
        <v>80</v>
      </c>
      <c r="D30" s="218">
        <v>1.2</v>
      </c>
      <c r="E30" s="218">
        <v>1.2</v>
      </c>
    </row>
    <row r="31" spans="1:5" ht="12" hidden="1">
      <c r="A31" s="92" t="s">
        <v>80</v>
      </c>
      <c r="B31" s="98" t="s">
        <v>128</v>
      </c>
      <c r="C31" s="92" t="s">
        <v>80</v>
      </c>
      <c r="D31" s="88"/>
      <c r="E31" s="88"/>
    </row>
    <row r="32" spans="1:5" ht="12" hidden="1" customHeight="1">
      <c r="A32" s="98" t="s">
        <v>76</v>
      </c>
      <c r="B32" s="85" t="s">
        <v>77</v>
      </c>
      <c r="C32" s="87" t="s">
        <v>28</v>
      </c>
      <c r="D32" s="88">
        <v>0</v>
      </c>
      <c r="E32" s="88">
        <v>0</v>
      </c>
    </row>
    <row r="33" spans="1:6" ht="12" hidden="1" customHeight="1">
      <c r="A33" s="98" t="s">
        <v>76</v>
      </c>
      <c r="B33" s="85" t="s">
        <v>77</v>
      </c>
      <c r="C33" s="91" t="s">
        <v>83</v>
      </c>
      <c r="D33" s="88"/>
      <c r="E33" s="88"/>
      <c r="F33" s="178">
        <f>SUM(D32:D48)</f>
        <v>0</v>
      </c>
    </row>
    <row r="34" spans="1:6" ht="12" hidden="1" customHeight="1">
      <c r="A34" s="98" t="s">
        <v>76</v>
      </c>
      <c r="B34" s="85" t="s">
        <v>77</v>
      </c>
      <c r="C34" s="91" t="s">
        <v>95</v>
      </c>
      <c r="D34" s="185"/>
      <c r="E34" s="185"/>
    </row>
    <row r="35" spans="1:6" ht="12" hidden="1" customHeight="1">
      <c r="A35" s="98" t="s">
        <v>76</v>
      </c>
      <c r="B35" s="94" t="s">
        <v>82</v>
      </c>
      <c r="C35" s="87" t="s">
        <v>28</v>
      </c>
      <c r="D35" s="88"/>
      <c r="E35" s="88"/>
    </row>
    <row r="36" spans="1:6" ht="12" hidden="1" customHeight="1">
      <c r="A36" s="98" t="s">
        <v>76</v>
      </c>
      <c r="B36" s="94" t="s">
        <v>82</v>
      </c>
      <c r="C36" s="91" t="s">
        <v>83</v>
      </c>
      <c r="D36" s="200"/>
      <c r="E36" s="200"/>
    </row>
    <row r="37" spans="1:6" ht="12" hidden="1" customHeight="1">
      <c r="A37" s="98" t="s">
        <v>76</v>
      </c>
      <c r="B37" s="96" t="s">
        <v>85</v>
      </c>
      <c r="C37" s="87" t="s">
        <v>28</v>
      </c>
      <c r="D37" s="200"/>
      <c r="E37" s="200"/>
    </row>
    <row r="38" spans="1:6" ht="12" hidden="1" customHeight="1">
      <c r="A38" s="98" t="s">
        <v>76</v>
      </c>
      <c r="B38" s="96" t="s">
        <v>85</v>
      </c>
      <c r="C38" s="91" t="s">
        <v>83</v>
      </c>
      <c r="D38" s="157"/>
      <c r="E38" s="157"/>
    </row>
    <row r="39" spans="1:6" ht="12" hidden="1" customHeight="1">
      <c r="A39" s="98" t="s">
        <v>76</v>
      </c>
      <c r="B39" s="96" t="s">
        <v>85</v>
      </c>
      <c r="C39" s="91" t="s">
        <v>95</v>
      </c>
      <c r="D39" s="157"/>
      <c r="E39" s="157"/>
    </row>
    <row r="40" spans="1:6" ht="12" hidden="1">
      <c r="A40" s="102" t="s">
        <v>76</v>
      </c>
      <c r="B40" s="100" t="s">
        <v>84</v>
      </c>
      <c r="C40" s="87" t="s">
        <v>28</v>
      </c>
      <c r="D40" s="88"/>
      <c r="E40" s="88"/>
    </row>
    <row r="41" spans="1:6" ht="12" hidden="1" customHeight="1">
      <c r="A41" s="98" t="s">
        <v>76</v>
      </c>
      <c r="B41" s="97" t="s">
        <v>84</v>
      </c>
      <c r="C41" s="91" t="s">
        <v>83</v>
      </c>
      <c r="D41" s="149"/>
      <c r="E41" s="149"/>
    </row>
    <row r="42" spans="1:6" ht="12" hidden="1" customHeight="1">
      <c r="A42" s="98" t="s">
        <v>76</v>
      </c>
      <c r="B42" s="98" t="s">
        <v>80</v>
      </c>
      <c r="C42" s="87" t="s">
        <v>28</v>
      </c>
      <c r="D42" s="229"/>
      <c r="E42" s="229"/>
    </row>
    <row r="43" spans="1:6" ht="12" hidden="1" customHeight="1">
      <c r="A43" s="98" t="s">
        <v>76</v>
      </c>
      <c r="B43" s="98" t="s">
        <v>80</v>
      </c>
      <c r="C43" s="91" t="s">
        <v>83</v>
      </c>
      <c r="D43" s="229"/>
      <c r="E43" s="229"/>
    </row>
    <row r="44" spans="1:6" ht="12" hidden="1" customHeight="1">
      <c r="A44" s="98" t="s">
        <v>76</v>
      </c>
      <c r="B44" s="98" t="s">
        <v>128</v>
      </c>
      <c r="C44" s="87" t="s">
        <v>28</v>
      </c>
      <c r="D44" s="200"/>
      <c r="E44" s="200"/>
    </row>
    <row r="45" spans="1:6" ht="12" hidden="1" customHeight="1">
      <c r="A45" s="98" t="s">
        <v>76</v>
      </c>
      <c r="B45" s="98" t="s">
        <v>128</v>
      </c>
      <c r="C45" s="91" t="s">
        <v>83</v>
      </c>
      <c r="D45" s="200"/>
      <c r="E45" s="200"/>
    </row>
    <row r="46" spans="1:6" ht="12" hidden="1" customHeight="1">
      <c r="A46" s="98" t="s">
        <v>76</v>
      </c>
      <c r="B46" s="98" t="s">
        <v>81</v>
      </c>
      <c r="C46" s="87" t="s">
        <v>28</v>
      </c>
      <c r="D46" s="200"/>
      <c r="E46" s="200"/>
    </row>
    <row r="47" spans="1:6" ht="12" hidden="1" customHeight="1">
      <c r="A47" s="98" t="s">
        <v>76</v>
      </c>
      <c r="B47" s="98" t="s">
        <v>81</v>
      </c>
      <c r="C47" s="91" t="s">
        <v>83</v>
      </c>
      <c r="D47" s="200"/>
      <c r="E47" s="200"/>
    </row>
    <row r="48" spans="1:6" ht="12" hidden="1">
      <c r="A48" s="98" t="s">
        <v>76</v>
      </c>
      <c r="B48" s="98" t="s">
        <v>105</v>
      </c>
      <c r="C48" s="91" t="s">
        <v>83</v>
      </c>
      <c r="D48" s="200"/>
      <c r="E48" s="200"/>
    </row>
    <row r="49" spans="1:6" ht="12">
      <c r="A49" s="98" t="s">
        <v>25</v>
      </c>
      <c r="B49" s="85" t="s">
        <v>77</v>
      </c>
      <c r="C49" s="101" t="s">
        <v>19</v>
      </c>
      <c r="D49" s="88">
        <v>1.4000000000000004</v>
      </c>
      <c r="E49" s="88">
        <v>1.4000000000000004</v>
      </c>
    </row>
    <row r="50" spans="1:6" ht="12" hidden="1" customHeight="1">
      <c r="A50" s="98" t="s">
        <v>25</v>
      </c>
      <c r="B50" s="96" t="s">
        <v>85</v>
      </c>
      <c r="C50" s="102" t="s">
        <v>19</v>
      </c>
      <c r="D50" s="88">
        <v>0</v>
      </c>
      <c r="E50" s="88">
        <v>0</v>
      </c>
    </row>
    <row r="51" spans="1:6" ht="12">
      <c r="A51" s="98" t="s">
        <v>25</v>
      </c>
      <c r="B51" s="97" t="s">
        <v>84</v>
      </c>
      <c r="C51" s="102" t="s">
        <v>19</v>
      </c>
      <c r="D51" s="88">
        <v>4.38</v>
      </c>
      <c r="E51" s="88">
        <v>4.38</v>
      </c>
    </row>
    <row r="52" spans="1:6" ht="12" hidden="1" customHeight="1">
      <c r="A52" s="98" t="s">
        <v>25</v>
      </c>
      <c r="B52" s="98" t="s">
        <v>128</v>
      </c>
      <c r="C52" s="102" t="s">
        <v>19</v>
      </c>
      <c r="D52" s="88">
        <v>0</v>
      </c>
      <c r="E52" s="88">
        <v>0</v>
      </c>
    </row>
    <row r="53" spans="1:6" ht="12">
      <c r="A53" s="98" t="s">
        <v>96</v>
      </c>
      <c r="B53" s="85" t="s">
        <v>77</v>
      </c>
      <c r="C53" s="112" t="s">
        <v>97</v>
      </c>
      <c r="D53" s="185">
        <v>5.55</v>
      </c>
      <c r="E53" s="185">
        <v>5.55</v>
      </c>
    </row>
    <row r="54" spans="1:6" ht="12">
      <c r="A54" s="92" t="s">
        <v>69</v>
      </c>
      <c r="B54" s="85" t="s">
        <v>77</v>
      </c>
      <c r="C54" s="101" t="s">
        <v>69</v>
      </c>
      <c r="D54" s="88">
        <v>13.95</v>
      </c>
      <c r="E54" s="88">
        <v>13.95</v>
      </c>
      <c r="F54" s="180"/>
    </row>
    <row r="55" spans="1:6" ht="12">
      <c r="A55" s="233" t="s">
        <v>119</v>
      </c>
      <c r="B55" s="233"/>
      <c r="C55" s="233"/>
      <c r="D55" s="214">
        <f>SUM(D3:D54)</f>
        <v>199.77089391999999</v>
      </c>
      <c r="E55" s="230">
        <f>SUM(E3:E54)</f>
        <v>197.38999999999996</v>
      </c>
    </row>
    <row r="56" spans="1:6" ht="12">
      <c r="A56" s="233" t="s">
        <v>120</v>
      </c>
      <c r="B56" s="233"/>
      <c r="C56" s="233"/>
      <c r="D56" s="214">
        <f t="shared" ref="D56" si="0">D8+D9+D10+D11+D12+D13+D14+D15+D17+D18+D19+D20+D21+D22+D23+D24+D25+D26+D27+D28+D30+D35+D36+D37+D38+D39+D40+D41+D42+D43+D44+D45+D46+D47+D51+D48+D50+D52+D16+D31</f>
        <v>57.000000000000007</v>
      </c>
      <c r="E56" s="230">
        <f t="shared" ref="D56:E56" si="1">E8+E9+E10+E11+E12+E13+E14+E15+E17+E18+E19+E20+E21+E22+E23+E24+E25+E26+E27+E28+E30+E35+E36+E37+E38+E39+E40+E41+E42+E43+E44+E45+E46+E47+E51+E48+E50+E52+E16+E31</f>
        <v>52.20000000000001</v>
      </c>
    </row>
    <row r="57" spans="1:6" ht="12">
      <c r="A57" s="233" t="s">
        <v>71</v>
      </c>
      <c r="B57" s="233"/>
      <c r="C57" s="233"/>
      <c r="D57" s="214">
        <f>D55-D56</f>
        <v>142.77089391999999</v>
      </c>
      <c r="E57" s="230">
        <f>E55-E56</f>
        <v>145.18999999999994</v>
      </c>
    </row>
    <row r="58" spans="1:6" ht="12">
      <c r="A58" s="233" t="s">
        <v>103</v>
      </c>
      <c r="B58" s="233"/>
      <c r="C58" s="233"/>
      <c r="D58" s="103">
        <f>D4+D5+D8+D9+D10+D12+D14+D17+D20+D22+D24+D25+D32+D35+D37+D40+D42+D44+D46+D3</f>
        <v>144.47089392000001</v>
      </c>
      <c r="E58" s="230">
        <f>E4+E5+E8+E9+E10+E12+E14+E17+E20+E22+E24+E25+E32+E35+E37+E40+E42+E44+E46+E3</f>
        <v>143.88999999999999</v>
      </c>
    </row>
    <row r="59" spans="1:6" ht="12">
      <c r="A59" s="238" t="s">
        <v>116</v>
      </c>
      <c r="B59" s="239"/>
      <c r="C59" s="240"/>
      <c r="D59" s="103">
        <f>D6+D11+D13+D15+D18+D19+D21+D23+D26+D27+D28+D33+D36+D38+D41+D43+D45+D47+D48+D39+D34+D16+D7</f>
        <v>28.819999999999997</v>
      </c>
      <c r="E59" s="230">
        <f>E6+E11+E13+E15+E18+E19+E21+E23+E26+E27+E28+E33+E36+E38+E41+E43+E45+E47+E48+E39+E34+E16+E7</f>
        <v>27.02</v>
      </c>
    </row>
    <row r="60" spans="1:6" ht="12">
      <c r="A60" s="238" t="s">
        <v>135</v>
      </c>
      <c r="B60" s="239"/>
      <c r="C60" s="240"/>
      <c r="D60" s="103">
        <f>D7+D16+D34+D39</f>
        <v>1.6</v>
      </c>
      <c r="E60" s="103">
        <f>E7+E16+E34+E39</f>
        <v>1.6</v>
      </c>
    </row>
    <row r="61" spans="1:6" ht="12">
      <c r="A61" s="238" t="s">
        <v>121</v>
      </c>
      <c r="B61" s="239"/>
      <c r="C61" s="240"/>
      <c r="D61" s="103">
        <f>D8+D9</f>
        <v>39</v>
      </c>
      <c r="E61" s="230">
        <f>E8+E9</f>
        <v>36</v>
      </c>
    </row>
    <row r="62" spans="1:6" ht="12">
      <c r="A62" s="238" t="s">
        <v>122</v>
      </c>
      <c r="B62" s="239"/>
      <c r="C62" s="240"/>
      <c r="D62" s="103">
        <f>D14+D15+D37+D38+D50+D16+D39</f>
        <v>4.2</v>
      </c>
      <c r="E62" s="103">
        <f>E14+E15+E37+E38+E50+E16+E39</f>
        <v>4.2</v>
      </c>
    </row>
    <row r="63" spans="1:6" ht="12">
      <c r="A63" s="238" t="s">
        <v>123</v>
      </c>
      <c r="B63" s="239"/>
      <c r="C63" s="240"/>
      <c r="D63" s="103">
        <f>D17+D18+D30+D40+D41+D51</f>
        <v>13.8</v>
      </c>
      <c r="E63" s="230">
        <f>E17+E18+E30+E40+E41+E51</f>
        <v>12</v>
      </c>
    </row>
    <row r="64" spans="1:6" ht="12">
      <c r="A64" s="238" t="s">
        <v>126</v>
      </c>
      <c r="B64" s="239"/>
      <c r="C64" s="240"/>
      <c r="D64" s="214">
        <f>D19</f>
        <v>0</v>
      </c>
      <c r="E64" s="214">
        <f>E19</f>
        <v>0</v>
      </c>
    </row>
    <row r="65" spans="1:5" ht="12">
      <c r="A65" s="238" t="s">
        <v>129</v>
      </c>
      <c r="B65" s="239"/>
      <c r="C65" s="240"/>
      <c r="D65" s="214">
        <f>D10+D11+D35+D36</f>
        <v>0</v>
      </c>
      <c r="E65" s="214">
        <f>E10+E11+E35+E36</f>
        <v>0</v>
      </c>
    </row>
    <row r="66" spans="1:5" ht="12">
      <c r="A66" s="238" t="s">
        <v>130</v>
      </c>
      <c r="B66" s="239"/>
      <c r="C66" s="240"/>
      <c r="D66" s="214">
        <f>D12+D13</f>
        <v>0</v>
      </c>
      <c r="E66" s="214">
        <f>E12+E13</f>
        <v>0</v>
      </c>
    </row>
    <row r="67" spans="1:5" ht="12">
      <c r="A67" s="238" t="s">
        <v>131</v>
      </c>
      <c r="B67" s="239"/>
      <c r="C67" s="240"/>
      <c r="D67" s="214">
        <f>D22+D23+D44+D45+D52</f>
        <v>0</v>
      </c>
      <c r="E67" s="214">
        <f>E22+E23+E44+E45+E52</f>
        <v>0</v>
      </c>
    </row>
    <row r="68" spans="1:5" s="181" customFormat="1" ht="12">
      <c r="A68" s="104"/>
      <c r="B68" s="104"/>
      <c r="C68" s="104"/>
      <c r="D68" s="215"/>
      <c r="E68" s="215"/>
    </row>
    <row r="69" spans="1:5" ht="12" thickBot="1">
      <c r="A69" s="159" t="s">
        <v>89</v>
      </c>
    </row>
    <row r="70" spans="1:5" ht="12" thickBot="1">
      <c r="A70" s="150" t="s">
        <v>90</v>
      </c>
      <c r="B70" s="151" t="s">
        <v>91</v>
      </c>
      <c r="C70" s="151" t="s">
        <v>92</v>
      </c>
      <c r="D70" s="151" t="s">
        <v>110</v>
      </c>
    </row>
    <row r="71" spans="1:5" ht="12" thickBot="1">
      <c r="A71" s="152" t="s">
        <v>88</v>
      </c>
      <c r="B71" s="153" t="s">
        <v>118</v>
      </c>
      <c r="C71" s="154" t="s">
        <v>102</v>
      </c>
      <c r="D71" s="156">
        <v>0.5</v>
      </c>
    </row>
    <row r="73" spans="1:5" ht="12" thickBot="1">
      <c r="A73" s="159" t="s">
        <v>108</v>
      </c>
    </row>
    <row r="74" spans="1:5" ht="12" thickBot="1">
      <c r="A74" s="150" t="s">
        <v>90</v>
      </c>
      <c r="B74" s="151" t="s">
        <v>91</v>
      </c>
      <c r="C74" s="151" t="s">
        <v>92</v>
      </c>
      <c r="D74" s="151" t="s">
        <v>110</v>
      </c>
    </row>
    <row r="75" spans="1:5" ht="12" thickBot="1">
      <c r="A75" s="152" t="s">
        <v>86</v>
      </c>
      <c r="B75" s="153" t="s">
        <v>117</v>
      </c>
      <c r="C75" s="155" t="s">
        <v>106</v>
      </c>
      <c r="D75" s="156">
        <v>0.6</v>
      </c>
    </row>
    <row r="76" spans="1:5" ht="12" thickBot="1">
      <c r="A76" s="152" t="s">
        <v>86</v>
      </c>
      <c r="B76" s="153" t="s">
        <v>109</v>
      </c>
      <c r="C76" s="33" t="s">
        <v>107</v>
      </c>
      <c r="D76" s="156">
        <v>2</v>
      </c>
    </row>
    <row r="78" spans="1:5" ht="12" thickBot="1">
      <c r="A78" s="159" t="s">
        <v>104</v>
      </c>
    </row>
    <row r="79" spans="1:5" ht="12" thickBot="1">
      <c r="A79" s="150" t="s">
        <v>90</v>
      </c>
      <c r="B79" s="151" t="s">
        <v>91</v>
      </c>
      <c r="C79" s="151" t="s">
        <v>92</v>
      </c>
      <c r="D79" s="151" t="s">
        <v>110</v>
      </c>
    </row>
    <row r="80" spans="1:5" ht="12" thickBot="1">
      <c r="A80" s="152" t="s">
        <v>88</v>
      </c>
      <c r="B80" s="153" t="s">
        <v>77</v>
      </c>
      <c r="C80" s="154" t="s">
        <v>102</v>
      </c>
      <c r="D80" s="156">
        <v>0.6</v>
      </c>
    </row>
  </sheetData>
  <mergeCells count="13">
    <mergeCell ref="A55:C55"/>
    <mergeCell ref="A61:C61"/>
    <mergeCell ref="A56:C56"/>
    <mergeCell ref="A57:C57"/>
    <mergeCell ref="A58:C58"/>
    <mergeCell ref="A60:C60"/>
    <mergeCell ref="A59:C59"/>
    <mergeCell ref="A67:C67"/>
    <mergeCell ref="A62:C62"/>
    <mergeCell ref="A63:C63"/>
    <mergeCell ref="A64:C64"/>
    <mergeCell ref="A65:C65"/>
    <mergeCell ref="A66:C6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showGridLines="0" topLeftCell="A25" zoomScale="85" zoomScaleNormal="85" workbookViewId="0">
      <selection activeCell="B11" sqref="B11"/>
    </sheetView>
  </sheetViews>
  <sheetFormatPr defaultColWidth="8.625" defaultRowHeight="14.4"/>
  <cols>
    <col min="1" max="1" width="30" style="3" customWidth="1"/>
    <col min="2" max="2" width="13.125" style="3" customWidth="1"/>
    <col min="3" max="5" width="10.625" style="3" bestFit="1" customWidth="1"/>
    <col min="6" max="6" width="9.5" style="3" bestFit="1" customWidth="1"/>
    <col min="7" max="7" width="10.5" style="3" customWidth="1"/>
    <col min="8" max="9" width="8.625" style="3"/>
    <col min="10" max="10" width="11.5" style="3" customWidth="1"/>
    <col min="11" max="12" width="8.625" style="3"/>
    <col min="13" max="13" width="10.5" style="3" customWidth="1"/>
    <col min="14" max="14" width="30.625" style="3" customWidth="1"/>
    <col min="15" max="15" width="14.625" style="3" customWidth="1"/>
    <col min="16" max="19" width="15.625" style="3" customWidth="1"/>
    <col min="20" max="16384" width="8.625" style="3"/>
  </cols>
  <sheetData>
    <row r="1" spans="1:19" ht="21" thickBot="1">
      <c r="A1" s="1" t="s">
        <v>0</v>
      </c>
      <c r="B1" s="2">
        <v>22616</v>
      </c>
      <c r="C1" s="2">
        <v>22647</v>
      </c>
      <c r="D1" s="2">
        <v>22678</v>
      </c>
      <c r="E1" s="2">
        <v>22706</v>
      </c>
      <c r="F1" s="2">
        <v>22737</v>
      </c>
      <c r="G1" s="2">
        <v>22767</v>
      </c>
      <c r="H1" s="2">
        <v>22798</v>
      </c>
      <c r="I1" s="2">
        <v>22828</v>
      </c>
      <c r="J1" s="2">
        <v>22859</v>
      </c>
      <c r="K1" s="2">
        <v>22890</v>
      </c>
      <c r="L1" s="2">
        <v>22920</v>
      </c>
      <c r="M1" s="2">
        <v>22951</v>
      </c>
      <c r="O1" s="4" t="s">
        <v>1</v>
      </c>
    </row>
    <row r="2" spans="1:19" ht="20.100000000000001" customHeight="1" thickBot="1">
      <c r="A2" s="5" t="s">
        <v>2</v>
      </c>
      <c r="B2" s="6">
        <f>(P5+Q5)/1000000</f>
        <v>77.919221780000001</v>
      </c>
      <c r="C2" s="6">
        <f>($P6+$Q6)/1000000</f>
        <v>76.831878360000005</v>
      </c>
      <c r="D2" s="6">
        <f>($P7+$Q7)/1000000</f>
        <v>71.908505930000004</v>
      </c>
      <c r="E2" s="6">
        <f>($P8+$Q8)/1000000</f>
        <v>76.339391019999994</v>
      </c>
      <c r="F2" s="6">
        <f>($P9+$Q9)/1000000</f>
        <v>70.121149459999998</v>
      </c>
      <c r="G2" s="6">
        <f>($P10+$Q10)/1000000</f>
        <v>75.350357840000001</v>
      </c>
      <c r="H2" s="6">
        <f>($P11+$Q11)/1000000</f>
        <v>74.088345529999998</v>
      </c>
      <c r="I2" s="6">
        <f>($P12+$Q12)/1000000</f>
        <v>75.118002010000012</v>
      </c>
      <c r="J2" s="6">
        <f>($P13+$Q13)/1000000</f>
        <v>76.518010769999989</v>
      </c>
      <c r="K2" s="6">
        <f>($P14+$Q14)/1000000</f>
        <v>75.262828330000005</v>
      </c>
      <c r="L2" s="6">
        <f>($P15+$Q15)/1000000</f>
        <v>75.114497830000005</v>
      </c>
      <c r="M2" s="6">
        <f>($P16+$Q16)/1000000</f>
        <v>75.446668389999999</v>
      </c>
      <c r="O2" s="244" t="s">
        <v>3</v>
      </c>
      <c r="P2" s="244"/>
      <c r="Q2" s="7"/>
      <c r="R2" s="7"/>
      <c r="S2" s="8" t="s">
        <v>4</v>
      </c>
    </row>
    <row r="3" spans="1:19" ht="20.100000000000001" customHeight="1" thickBot="1">
      <c r="A3" s="5" t="s">
        <v>5</v>
      </c>
      <c r="B3" s="6">
        <f>R5/1000000</f>
        <v>107.96815487000001</v>
      </c>
      <c r="C3" s="6">
        <f>R6/1000000</f>
        <v>104.09770528</v>
      </c>
      <c r="D3" s="6">
        <f>$R7/1000000</f>
        <v>98.229191700000001</v>
      </c>
      <c r="E3" s="6">
        <f>$R8/1000000</f>
        <v>104.1721335</v>
      </c>
      <c r="F3" s="6">
        <f>$R9/1000000</f>
        <v>96.453143730000008</v>
      </c>
      <c r="G3" s="6">
        <f>$R10/1000000</f>
        <v>105.00906829</v>
      </c>
      <c r="H3" s="6">
        <f>$R11/1000000</f>
        <v>101.00492161</v>
      </c>
      <c r="I3" s="6">
        <f>$R12/1000000</f>
        <v>103.42196799</v>
      </c>
      <c r="J3" s="6">
        <f>$R13/1000000</f>
        <v>105.39523734000001</v>
      </c>
      <c r="K3" s="6">
        <f>$R14/1000000</f>
        <v>103.94425262999999</v>
      </c>
      <c r="L3" s="6">
        <f>$R15/1000000</f>
        <v>102.22366984999999</v>
      </c>
      <c r="M3" s="6">
        <f>$R16/1000000</f>
        <v>103.04212751999999</v>
      </c>
      <c r="O3" s="9" t="s">
        <v>6</v>
      </c>
      <c r="P3" s="245" t="s">
        <v>7</v>
      </c>
      <c r="Q3" s="246"/>
      <c r="R3" s="10" t="s">
        <v>5</v>
      </c>
      <c r="S3" s="11" t="s">
        <v>8</v>
      </c>
    </row>
    <row r="4" spans="1:19" ht="20.100000000000001" customHeight="1" thickBot="1">
      <c r="A4" s="12" t="s">
        <v>9</v>
      </c>
      <c r="B4" s="13">
        <f t="shared" ref="B4:L4" si="0">SUM(B2:B3)</f>
        <v>185.88737665000002</v>
      </c>
      <c r="C4" s="13">
        <f>SUM(C2:C3)</f>
        <v>180.92958364</v>
      </c>
      <c r="D4" s="13">
        <f t="shared" si="0"/>
        <v>170.13769762999999</v>
      </c>
      <c r="E4" s="13">
        <f t="shared" si="0"/>
        <v>180.51152451999999</v>
      </c>
      <c r="F4" s="14">
        <f t="shared" si="0"/>
        <v>166.57429318999999</v>
      </c>
      <c r="G4" s="14">
        <f t="shared" si="0"/>
        <v>180.35942613</v>
      </c>
      <c r="H4" s="14">
        <f t="shared" si="0"/>
        <v>175.09326713999999</v>
      </c>
      <c r="I4" s="12">
        <f t="shared" si="0"/>
        <v>178.53997000000001</v>
      </c>
      <c r="J4" s="12">
        <f t="shared" si="0"/>
        <v>181.91324810999998</v>
      </c>
      <c r="K4" s="12">
        <f t="shared" si="0"/>
        <v>179.20708095999998</v>
      </c>
      <c r="L4" s="12">
        <f t="shared" si="0"/>
        <v>177.33816768</v>
      </c>
      <c r="M4" s="12">
        <f>SUM(M2:M3)</f>
        <v>178.48879590999999</v>
      </c>
      <c r="O4" s="15" t="s">
        <v>10</v>
      </c>
      <c r="P4" s="16" t="s">
        <v>11</v>
      </c>
      <c r="Q4" s="17" t="s">
        <v>12</v>
      </c>
      <c r="R4" s="18" t="s">
        <v>13</v>
      </c>
      <c r="S4" s="15" t="s">
        <v>14</v>
      </c>
    </row>
    <row r="5" spans="1:19" ht="20.100000000000001" customHeight="1">
      <c r="B5" s="19"/>
      <c r="O5" s="20">
        <v>43435</v>
      </c>
      <c r="P5" s="21">
        <v>77119221.780000001</v>
      </c>
      <c r="Q5" s="21">
        <v>800000</v>
      </c>
      <c r="R5" s="22">
        <v>107968154.87</v>
      </c>
      <c r="S5" s="23">
        <v>185887376.65000001</v>
      </c>
    </row>
    <row r="6" spans="1:19" ht="20.100000000000001" customHeight="1" thickBot="1">
      <c r="O6" s="20">
        <v>43466</v>
      </c>
      <c r="P6" s="21">
        <v>76831878.359999999</v>
      </c>
      <c r="Q6" s="24">
        <v>0</v>
      </c>
      <c r="R6" s="22">
        <v>104097705.28</v>
      </c>
      <c r="S6" s="23">
        <v>180929583.63999999</v>
      </c>
    </row>
    <row r="7" spans="1:19" ht="20.100000000000001" customHeight="1" thickBot="1">
      <c r="A7" s="1" t="s">
        <v>0</v>
      </c>
      <c r="B7" s="2">
        <f>B1</f>
        <v>22616</v>
      </c>
      <c r="C7" s="2">
        <f t="shared" ref="C7:L7" si="1">C1</f>
        <v>22647</v>
      </c>
      <c r="D7" s="2">
        <f t="shared" si="1"/>
        <v>22678</v>
      </c>
      <c r="E7" s="2">
        <f t="shared" si="1"/>
        <v>22706</v>
      </c>
      <c r="F7" s="2">
        <f t="shared" si="1"/>
        <v>22737</v>
      </c>
      <c r="G7" s="2">
        <f t="shared" si="1"/>
        <v>22767</v>
      </c>
      <c r="H7" s="2">
        <f t="shared" si="1"/>
        <v>22798</v>
      </c>
      <c r="I7" s="2">
        <f t="shared" si="1"/>
        <v>22828</v>
      </c>
      <c r="J7" s="2">
        <f t="shared" si="1"/>
        <v>22859</v>
      </c>
      <c r="K7" s="2">
        <f t="shared" si="1"/>
        <v>22890</v>
      </c>
      <c r="L7" s="2">
        <f t="shared" si="1"/>
        <v>22920</v>
      </c>
      <c r="M7" s="2">
        <v>22920</v>
      </c>
      <c r="O7" s="20">
        <v>43497</v>
      </c>
      <c r="P7" s="21">
        <v>71908505.930000007</v>
      </c>
      <c r="Q7" s="24">
        <v>0</v>
      </c>
      <c r="R7" s="22">
        <v>98229191.700000003</v>
      </c>
      <c r="S7" s="23">
        <v>170137697.62</v>
      </c>
    </row>
    <row r="8" spans="1:19" ht="20.100000000000001" customHeight="1" thickBot="1">
      <c r="A8" s="25" t="s">
        <v>2</v>
      </c>
      <c r="O8" s="20">
        <v>43525</v>
      </c>
      <c r="P8" s="21">
        <v>76339391.019999996</v>
      </c>
      <c r="Q8" s="24">
        <v>0</v>
      </c>
      <c r="R8" s="22">
        <v>104172133.5</v>
      </c>
      <c r="S8" s="23">
        <v>180511524.52000001</v>
      </c>
    </row>
    <row r="9" spans="1:19" ht="20.100000000000001" customHeight="1" thickBot="1">
      <c r="A9" s="26" t="s">
        <v>15</v>
      </c>
      <c r="B9" s="27">
        <f>'[7]01 demand supply balance'!E17</f>
        <v>5.7350000000000003</v>
      </c>
      <c r="C9" s="27">
        <f>'[7]01 demand supply balance'!F17</f>
        <v>6.2</v>
      </c>
      <c r="D9" s="27">
        <f>'[7]01 demand supply balance'!G17</f>
        <v>5.6</v>
      </c>
      <c r="E9" s="27">
        <f>'[7]01 demand supply balance'!H17</f>
        <v>6.5</v>
      </c>
      <c r="F9" s="27">
        <f>'[7]01 demand supply balance'!I17</f>
        <v>6.5</v>
      </c>
      <c r="G9" s="27">
        <f>'[7]01 demand supply balance'!J17</f>
        <v>6.5</v>
      </c>
      <c r="H9" s="27">
        <f>'[7]01 demand supply balance'!K17</f>
        <v>6.5</v>
      </c>
      <c r="I9" s="27">
        <f>'[7]01 demand supply balance'!L17</f>
        <v>6.5</v>
      </c>
      <c r="J9" s="27">
        <f>'[7]01 demand supply balance'!M17</f>
        <v>6.5</v>
      </c>
      <c r="K9" s="27">
        <f>'[7]01 demand supply balance'!N17</f>
        <v>6.5</v>
      </c>
      <c r="L9" s="27">
        <f>'[7]01 demand supply balance'!O17</f>
        <v>6.5</v>
      </c>
      <c r="M9" s="27">
        <f>'[7]01 demand supply balance'!P17</f>
        <v>6.5</v>
      </c>
      <c r="O9" s="20">
        <v>43556</v>
      </c>
      <c r="P9" s="21">
        <v>70121149.459999993</v>
      </c>
      <c r="Q9" s="24">
        <v>0</v>
      </c>
      <c r="R9" s="22">
        <v>96453143.730000004</v>
      </c>
      <c r="S9" s="23">
        <v>166574293.19</v>
      </c>
    </row>
    <row r="10" spans="1:19" ht="20.100000000000001" customHeight="1" thickBot="1">
      <c r="A10" s="5" t="s">
        <v>16</v>
      </c>
      <c r="B10" s="6">
        <f>B2-B9</f>
        <v>72.184221780000001</v>
      </c>
      <c r="C10" s="6">
        <f t="shared" ref="C10:M10" si="2">C2-C9</f>
        <v>70.631878360000002</v>
      </c>
      <c r="D10" s="6">
        <f t="shared" si="2"/>
        <v>66.30850593000001</v>
      </c>
      <c r="E10" s="6">
        <f t="shared" si="2"/>
        <v>69.839391019999994</v>
      </c>
      <c r="F10" s="6">
        <f t="shared" si="2"/>
        <v>63.621149459999998</v>
      </c>
      <c r="G10" s="6">
        <f t="shared" si="2"/>
        <v>68.850357840000001</v>
      </c>
      <c r="H10" s="6">
        <f t="shared" si="2"/>
        <v>67.588345529999998</v>
      </c>
      <c r="I10" s="6">
        <f t="shared" si="2"/>
        <v>68.618002010000012</v>
      </c>
      <c r="J10" s="6">
        <f t="shared" si="2"/>
        <v>70.018010769999989</v>
      </c>
      <c r="K10" s="6">
        <f t="shared" si="2"/>
        <v>68.762828330000005</v>
      </c>
      <c r="L10" s="6">
        <f t="shared" si="2"/>
        <v>68.614497830000005</v>
      </c>
      <c r="M10" s="6">
        <f t="shared" si="2"/>
        <v>68.946668389999999</v>
      </c>
      <c r="O10" s="20">
        <v>43586</v>
      </c>
      <c r="P10" s="21">
        <v>75350357.840000004</v>
      </c>
      <c r="Q10" s="24">
        <v>0</v>
      </c>
      <c r="R10" s="22">
        <v>105009068.29000001</v>
      </c>
      <c r="S10" s="23">
        <v>180359426.13</v>
      </c>
    </row>
    <row r="11" spans="1:19" ht="17.850000000000001" customHeight="1">
      <c r="O11" s="20">
        <v>43617</v>
      </c>
      <c r="P11" s="21">
        <v>74088345.530000001</v>
      </c>
      <c r="Q11" s="24">
        <v>0</v>
      </c>
      <c r="R11" s="22">
        <v>101004921.61</v>
      </c>
      <c r="S11" s="23">
        <v>175093267.13999999</v>
      </c>
    </row>
    <row r="12" spans="1:19" ht="17.850000000000001" customHeight="1" thickBot="1">
      <c r="A12" s="25" t="s">
        <v>5</v>
      </c>
      <c r="O12" s="20">
        <v>43647</v>
      </c>
      <c r="P12" s="21">
        <v>75118002.010000005</v>
      </c>
      <c r="Q12" s="24">
        <v>0</v>
      </c>
      <c r="R12" s="22">
        <v>103421967.98999999</v>
      </c>
      <c r="S12" s="23">
        <v>178539970</v>
      </c>
    </row>
    <row r="13" spans="1:19" ht="17.850000000000001" customHeight="1" thickBot="1">
      <c r="A13" s="26" t="s">
        <v>17</v>
      </c>
      <c r="B13" s="28">
        <f>'[7]01 demand supply balance'!E12</f>
        <v>13.95</v>
      </c>
      <c r="C13" s="28">
        <f>'[7]01 demand supply balance'!F12</f>
        <v>16.460999999999999</v>
      </c>
      <c r="D13" s="28">
        <f>'[7]01 demand supply balance'!G12</f>
        <v>14.868</v>
      </c>
      <c r="E13" s="28">
        <f>'[7]01 demand supply balance'!H12</f>
        <v>16.460999999999999</v>
      </c>
      <c r="F13" s="28">
        <f>'[7]01 demand supply balance'!I12</f>
        <v>15.93</v>
      </c>
      <c r="G13" s="28">
        <f>'[7]01 demand supply balance'!J12</f>
        <v>16.460999999999999</v>
      </c>
      <c r="H13" s="28">
        <f>'[7]01 demand supply balance'!K12</f>
        <v>15.93</v>
      </c>
      <c r="I13" s="28">
        <f>'[7]01 demand supply balance'!L12</f>
        <v>16.460999999999999</v>
      </c>
      <c r="J13" s="28">
        <f>'[7]01 demand supply balance'!M12</f>
        <v>16.460999999999999</v>
      </c>
      <c r="K13" s="28">
        <f>'[7]01 demand supply balance'!N12</f>
        <v>15.93</v>
      </c>
      <c r="L13" s="28">
        <f>'[7]01 demand supply balance'!O12</f>
        <v>16.460999999999999</v>
      </c>
      <c r="M13" s="28">
        <f>'[7]01 demand supply balance'!P12</f>
        <v>15.93</v>
      </c>
      <c r="O13" s="20">
        <v>43678</v>
      </c>
      <c r="P13" s="21">
        <v>76518010.769999996</v>
      </c>
      <c r="Q13" s="24">
        <v>0</v>
      </c>
      <c r="R13" s="22">
        <v>105395237.34</v>
      </c>
      <c r="S13" s="23">
        <v>181913248.11000001</v>
      </c>
    </row>
    <row r="14" spans="1:19" ht="17.850000000000001" customHeight="1" thickBot="1">
      <c r="A14" s="5" t="s">
        <v>18</v>
      </c>
      <c r="B14" s="29">
        <f>'[7]01 demand supply balance'!E102</f>
        <v>22</v>
      </c>
      <c r="C14" s="29">
        <f>'[7]01 demand supply balance'!F102</f>
        <v>21</v>
      </c>
      <c r="D14" s="29">
        <f>'[7]01 demand supply balance'!G102</f>
        <v>17</v>
      </c>
      <c r="E14" s="29">
        <f>'[7]01 demand supply balance'!H102</f>
        <v>19</v>
      </c>
      <c r="F14" s="29">
        <f>'[7]01 demand supply balance'!I102</f>
        <v>19</v>
      </c>
      <c r="G14" s="29">
        <f>'[7]01 demand supply balance'!J102</f>
        <v>19</v>
      </c>
      <c r="H14" s="29">
        <f>'[7]01 demand supply balance'!K102</f>
        <v>19</v>
      </c>
      <c r="I14" s="29">
        <f>'[7]01 demand supply balance'!L102</f>
        <v>19</v>
      </c>
      <c r="J14" s="29">
        <f>'[7]01 demand supply balance'!M102</f>
        <v>19</v>
      </c>
      <c r="K14" s="29">
        <f>'[7]01 demand supply balance'!N102</f>
        <v>19</v>
      </c>
      <c r="L14" s="29">
        <f>'[7]01 demand supply balance'!O102</f>
        <v>19</v>
      </c>
      <c r="M14" s="29">
        <f>'[7]01 demand supply balance'!P102</f>
        <v>19</v>
      </c>
      <c r="O14" s="20">
        <v>43709</v>
      </c>
      <c r="P14" s="21">
        <v>75262828.329999998</v>
      </c>
      <c r="Q14" s="24">
        <v>0</v>
      </c>
      <c r="R14" s="22">
        <v>103944252.63</v>
      </c>
      <c r="S14" s="23">
        <v>179207080.96000001</v>
      </c>
    </row>
    <row r="15" spans="1:19" ht="17.850000000000001" customHeight="1" thickBot="1">
      <c r="A15" s="5" t="s">
        <v>19</v>
      </c>
      <c r="B15" s="6">
        <f>'[7]01 demand supply balance'!E100</f>
        <v>6</v>
      </c>
      <c r="C15" s="6">
        <f>'[7]01 demand supply balance'!F100</f>
        <v>6</v>
      </c>
      <c r="D15" s="6">
        <f>'[7]01 demand supply balance'!G100</f>
        <v>6</v>
      </c>
      <c r="E15" s="6">
        <f>'[7]01 demand supply balance'!H100</f>
        <v>6</v>
      </c>
      <c r="F15" s="6">
        <f>'[7]01 demand supply balance'!I100</f>
        <v>6</v>
      </c>
      <c r="G15" s="6">
        <f>'[7]01 demand supply balance'!J100</f>
        <v>6</v>
      </c>
      <c r="H15" s="6">
        <f>'[7]01 demand supply balance'!K100</f>
        <v>8</v>
      </c>
      <c r="I15" s="6">
        <f>'[7]01 demand supply balance'!L100</f>
        <v>8</v>
      </c>
      <c r="J15" s="6">
        <f>'[7]01 demand supply balance'!M100</f>
        <v>8</v>
      </c>
      <c r="K15" s="6">
        <f>'[7]01 demand supply balance'!N100</f>
        <v>8</v>
      </c>
      <c r="L15" s="6">
        <f>'[7]01 demand supply balance'!O100</f>
        <v>8</v>
      </c>
      <c r="M15" s="6">
        <f>'[7]01 demand supply balance'!P100</f>
        <v>8</v>
      </c>
      <c r="O15" s="20">
        <v>43739</v>
      </c>
      <c r="P15" s="21">
        <v>75114497.829999998</v>
      </c>
      <c r="Q15" s="24">
        <v>0</v>
      </c>
      <c r="R15" s="22">
        <v>102223669.84999999</v>
      </c>
      <c r="S15" s="23">
        <v>177338167.68000001</v>
      </c>
    </row>
    <row r="16" spans="1:19" ht="21.6" thickBot="1">
      <c r="A16" s="5" t="s">
        <v>20</v>
      </c>
      <c r="B16" s="30">
        <f>'[7]01 demand supply balance'!E101</f>
        <v>0</v>
      </c>
      <c r="C16" s="30">
        <f>'[7]01 demand supply balance'!F101</f>
        <v>0</v>
      </c>
      <c r="D16" s="30">
        <f>'[7]01 demand supply balance'!G101</f>
        <v>0</v>
      </c>
      <c r="E16" s="30">
        <f>'[7]01 demand supply balance'!H101</f>
        <v>0</v>
      </c>
      <c r="F16" s="30">
        <f>'[7]01 demand supply balance'!I101</f>
        <v>0</v>
      </c>
      <c r="G16" s="30">
        <f>'[7]01 demand supply balance'!J101</f>
        <v>0</v>
      </c>
      <c r="H16" s="30">
        <f>'[7]01 demand supply balance'!K101</f>
        <v>0</v>
      </c>
      <c r="I16" s="30">
        <f>'[7]01 demand supply balance'!L101</f>
        <v>0</v>
      </c>
      <c r="J16" s="30">
        <f>'[7]01 demand supply balance'!M101</f>
        <v>0</v>
      </c>
      <c r="K16" s="30">
        <f>'[7]01 demand supply balance'!N101</f>
        <v>0</v>
      </c>
      <c r="L16" s="30">
        <f>'[7]01 demand supply balance'!O101</f>
        <v>0</v>
      </c>
      <c r="M16" s="30">
        <f>'[7]01 demand supply balance'!P101</f>
        <v>0</v>
      </c>
      <c r="O16" s="31">
        <v>43770</v>
      </c>
      <c r="P16" s="32">
        <v>75446668.390000001</v>
      </c>
      <c r="Q16" s="33">
        <v>0</v>
      </c>
      <c r="R16" s="34">
        <v>103042127.52</v>
      </c>
      <c r="S16" s="35">
        <v>178488795.91</v>
      </c>
    </row>
    <row r="17" spans="1:14" ht="21.6" thickBot="1">
      <c r="A17" s="36"/>
      <c r="B17" s="37"/>
      <c r="C17" s="37"/>
      <c r="D17" s="37"/>
      <c r="E17" s="37"/>
      <c r="F17" s="37"/>
      <c r="G17" s="36"/>
      <c r="H17" s="37"/>
    </row>
    <row r="18" spans="1:14" ht="21" thickBot="1">
      <c r="A18" s="38" t="s">
        <v>21</v>
      </c>
      <c r="B18" s="39">
        <f t="shared" ref="B18:H18" si="3">B7</f>
        <v>22616</v>
      </c>
      <c r="C18" s="39">
        <f t="shared" si="3"/>
        <v>22647</v>
      </c>
      <c r="D18" s="39">
        <f t="shared" si="3"/>
        <v>22678</v>
      </c>
      <c r="E18" s="39">
        <f t="shared" si="3"/>
        <v>22706</v>
      </c>
      <c r="F18" s="39">
        <f t="shared" si="3"/>
        <v>22737</v>
      </c>
      <c r="G18" s="39">
        <f t="shared" si="3"/>
        <v>22767</v>
      </c>
      <c r="H18" s="39">
        <f t="shared" si="3"/>
        <v>22798</v>
      </c>
      <c r="I18" s="39">
        <v>22798</v>
      </c>
      <c r="J18" s="39">
        <v>22828</v>
      </c>
      <c r="K18" s="39">
        <v>22859</v>
      </c>
      <c r="L18" s="39">
        <v>22890</v>
      </c>
      <c r="M18" s="2">
        <v>22920</v>
      </c>
      <c r="N18" s="3">
        <v>22920</v>
      </c>
    </row>
    <row r="19" spans="1:14" ht="21.6" thickBot="1">
      <c r="A19" s="40" t="s">
        <v>22</v>
      </c>
      <c r="B19" s="41">
        <f>B2-B20-B21</f>
        <v>71.384221780000004</v>
      </c>
      <c r="C19" s="41">
        <f t="shared" ref="C19:M19" si="4">C2-C20-C21</f>
        <v>70.631878360000002</v>
      </c>
      <c r="D19" s="41">
        <f t="shared" si="4"/>
        <v>0.52428414999999973</v>
      </c>
      <c r="E19" s="41">
        <f t="shared" si="4"/>
        <v>69.839391019999994</v>
      </c>
      <c r="F19" s="41">
        <f t="shared" si="4"/>
        <v>63.621149459999998</v>
      </c>
      <c r="G19" s="41">
        <f t="shared" si="4"/>
        <v>68.850357840000001</v>
      </c>
      <c r="H19" s="41">
        <f t="shared" si="4"/>
        <v>67.588345529999998</v>
      </c>
      <c r="I19" s="41">
        <f t="shared" si="4"/>
        <v>68.618002010000012</v>
      </c>
      <c r="J19" s="41">
        <f t="shared" si="4"/>
        <v>70.018010769999989</v>
      </c>
      <c r="K19" s="41">
        <f t="shared" si="4"/>
        <v>68.762828330000005</v>
      </c>
      <c r="L19" s="41">
        <f t="shared" si="4"/>
        <v>68.614497830000005</v>
      </c>
      <c r="M19" s="41">
        <f t="shared" si="4"/>
        <v>68.946668389999999</v>
      </c>
    </row>
    <row r="20" spans="1:14" ht="21.6" thickBot="1">
      <c r="A20" s="40" t="s">
        <v>15</v>
      </c>
      <c r="B20" s="42">
        <f t="shared" ref="B20:M20" si="5">B9</f>
        <v>5.7350000000000003</v>
      </c>
      <c r="C20" s="42">
        <f t="shared" si="5"/>
        <v>6.2</v>
      </c>
      <c r="D20" s="42">
        <f>B2-B20-B21</f>
        <v>71.384221780000004</v>
      </c>
      <c r="E20" s="42">
        <f t="shared" si="5"/>
        <v>6.5</v>
      </c>
      <c r="F20" s="42">
        <f t="shared" si="5"/>
        <v>6.5</v>
      </c>
      <c r="G20" s="42">
        <f t="shared" si="5"/>
        <v>6.5</v>
      </c>
      <c r="H20" s="42">
        <f t="shared" si="5"/>
        <v>6.5</v>
      </c>
      <c r="I20" s="42">
        <f t="shared" si="5"/>
        <v>6.5</v>
      </c>
      <c r="J20" s="42">
        <f t="shared" si="5"/>
        <v>6.5</v>
      </c>
      <c r="K20" s="42">
        <f t="shared" si="5"/>
        <v>6.5</v>
      </c>
      <c r="L20" s="42">
        <f t="shared" si="5"/>
        <v>6.5</v>
      </c>
      <c r="M20" s="42">
        <f t="shared" si="5"/>
        <v>6.5</v>
      </c>
    </row>
    <row r="21" spans="1:14" ht="21.6" thickBot="1">
      <c r="A21" s="40" t="s">
        <v>23</v>
      </c>
      <c r="B21" s="42">
        <f>Q5/1000000</f>
        <v>0.8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</row>
    <row r="22" spans="1:14" ht="21.6" thickBot="1">
      <c r="A22" s="40" t="s">
        <v>24</v>
      </c>
      <c r="B22" s="43">
        <f>B13</f>
        <v>13.95</v>
      </c>
      <c r="C22" s="43">
        <f t="shared" ref="C22:M22" si="6">C13</f>
        <v>16.460999999999999</v>
      </c>
      <c r="D22" s="43">
        <f t="shared" si="6"/>
        <v>14.868</v>
      </c>
      <c r="E22" s="43">
        <f t="shared" si="6"/>
        <v>16.460999999999999</v>
      </c>
      <c r="F22" s="43">
        <f t="shared" si="6"/>
        <v>15.93</v>
      </c>
      <c r="G22" s="43">
        <f t="shared" si="6"/>
        <v>16.460999999999999</v>
      </c>
      <c r="H22" s="43">
        <f t="shared" si="6"/>
        <v>15.93</v>
      </c>
      <c r="I22" s="43">
        <f t="shared" si="6"/>
        <v>16.460999999999999</v>
      </c>
      <c r="J22" s="43">
        <f t="shared" si="6"/>
        <v>16.460999999999999</v>
      </c>
      <c r="K22" s="43">
        <f t="shared" si="6"/>
        <v>15.93</v>
      </c>
      <c r="L22" s="43">
        <f t="shared" si="6"/>
        <v>16.460999999999999</v>
      </c>
      <c r="M22" s="43">
        <f t="shared" si="6"/>
        <v>15.93</v>
      </c>
    </row>
    <row r="23" spans="1:14" ht="21.6" thickBot="1">
      <c r="A23" s="40" t="s">
        <v>25</v>
      </c>
      <c r="B23" s="43">
        <f>B15</f>
        <v>6</v>
      </c>
      <c r="C23" s="43">
        <f>C15</f>
        <v>6</v>
      </c>
      <c r="D23" s="43">
        <f t="shared" ref="D23:M23" si="7">D15</f>
        <v>6</v>
      </c>
      <c r="E23" s="43">
        <f t="shared" si="7"/>
        <v>6</v>
      </c>
      <c r="F23" s="43">
        <f t="shared" si="7"/>
        <v>6</v>
      </c>
      <c r="G23" s="43">
        <f t="shared" si="7"/>
        <v>6</v>
      </c>
      <c r="H23" s="43">
        <f t="shared" si="7"/>
        <v>8</v>
      </c>
      <c r="I23" s="43">
        <f t="shared" si="7"/>
        <v>8</v>
      </c>
      <c r="J23" s="43">
        <f t="shared" si="7"/>
        <v>8</v>
      </c>
      <c r="K23" s="43">
        <f t="shared" si="7"/>
        <v>8</v>
      </c>
      <c r="L23" s="43">
        <f t="shared" si="7"/>
        <v>8</v>
      </c>
      <c r="M23" s="43">
        <f t="shared" si="7"/>
        <v>8</v>
      </c>
    </row>
    <row r="24" spans="1:14" ht="21.6" thickBot="1">
      <c r="A24" s="40" t="s">
        <v>26</v>
      </c>
      <c r="B24" s="44">
        <f>'[7]01 demand supply balance'!E101</f>
        <v>0</v>
      </c>
      <c r="C24" s="44">
        <f>'[7]01 demand supply balance'!F101</f>
        <v>0</v>
      </c>
      <c r="D24" s="44">
        <f>'[7]01 demand supply balance'!G101</f>
        <v>0</v>
      </c>
      <c r="E24" s="44">
        <f>'[7]01 demand supply balance'!H101</f>
        <v>0</v>
      </c>
      <c r="F24" s="44">
        <f>'[7]01 demand supply balance'!I101</f>
        <v>0</v>
      </c>
      <c r="G24" s="44">
        <f>'[7]01 demand supply balance'!J101</f>
        <v>0</v>
      </c>
      <c r="H24" s="44">
        <f>'[7]01 demand supply balance'!K101</f>
        <v>0</v>
      </c>
      <c r="I24" s="44">
        <f>'[7]01 demand supply balance'!L101</f>
        <v>0</v>
      </c>
      <c r="J24" s="44">
        <f>'[7]01 demand supply balance'!M101</f>
        <v>0</v>
      </c>
      <c r="K24" s="44">
        <f>'[7]01 demand supply balance'!N101</f>
        <v>0</v>
      </c>
      <c r="L24" s="44">
        <f>'[7]01 demand supply balance'!O101</f>
        <v>0</v>
      </c>
      <c r="M24" s="44">
        <f>'[7]01 demand supply balance'!P101</f>
        <v>0</v>
      </c>
    </row>
    <row r="25" spans="1:14" ht="21.6" thickBot="1">
      <c r="A25" s="40" t="s">
        <v>27</v>
      </c>
      <c r="B25" s="43">
        <f>B14-B21-2</f>
        <v>19.2</v>
      </c>
      <c r="C25" s="43">
        <f t="shared" ref="C25:M25" si="8">C14</f>
        <v>21</v>
      </c>
      <c r="D25" s="43">
        <f t="shared" si="8"/>
        <v>17</v>
      </c>
      <c r="E25" s="43">
        <f t="shared" si="8"/>
        <v>19</v>
      </c>
      <c r="F25" s="43">
        <f t="shared" si="8"/>
        <v>19</v>
      </c>
      <c r="G25" s="43">
        <f t="shared" si="8"/>
        <v>19</v>
      </c>
      <c r="H25" s="43">
        <f t="shared" si="8"/>
        <v>19</v>
      </c>
      <c r="I25" s="43">
        <f t="shared" si="8"/>
        <v>19</v>
      </c>
      <c r="J25" s="43">
        <f t="shared" si="8"/>
        <v>19</v>
      </c>
      <c r="K25" s="43">
        <f t="shared" si="8"/>
        <v>19</v>
      </c>
      <c r="L25" s="43">
        <f t="shared" si="8"/>
        <v>19</v>
      </c>
      <c r="M25" s="43">
        <f t="shared" si="8"/>
        <v>19</v>
      </c>
    </row>
    <row r="26" spans="1:14" ht="25.5" customHeight="1" thickBot="1">
      <c r="A26" s="40" t="s">
        <v>28</v>
      </c>
      <c r="B26" s="43">
        <f>B3-B22-B23-B24-B25</f>
        <v>68.818154870000001</v>
      </c>
      <c r="C26" s="43">
        <f t="shared" ref="C26:M26" si="9">C3-C22-C23-C24-C25</f>
        <v>60.636705280000001</v>
      </c>
      <c r="D26" s="43">
        <f t="shared" si="9"/>
        <v>60.361191700000006</v>
      </c>
      <c r="E26" s="43">
        <f t="shared" si="9"/>
        <v>62.711133500000003</v>
      </c>
      <c r="F26" s="43">
        <f t="shared" si="9"/>
        <v>55.523143730000015</v>
      </c>
      <c r="G26" s="43">
        <f t="shared" si="9"/>
        <v>63.548068290000003</v>
      </c>
      <c r="H26" s="43">
        <f t="shared" si="9"/>
        <v>58.07492160999999</v>
      </c>
      <c r="I26" s="43">
        <f t="shared" si="9"/>
        <v>59.96096799</v>
      </c>
      <c r="J26" s="43">
        <f t="shared" si="9"/>
        <v>61.93423734000001</v>
      </c>
      <c r="K26" s="43">
        <f t="shared" si="9"/>
        <v>61.014252629999987</v>
      </c>
      <c r="L26" s="43">
        <f t="shared" si="9"/>
        <v>58.762669849999995</v>
      </c>
      <c r="M26" s="43">
        <f t="shared" si="9"/>
        <v>60.112127520000001</v>
      </c>
    </row>
    <row r="27" spans="1:14" ht="21.6" thickBot="1">
      <c r="A27" s="45" t="s">
        <v>9</v>
      </c>
      <c r="B27" s="43">
        <f t="shared" ref="B27:G27" si="10">SUM(B19:B26)</f>
        <v>185.88737665000002</v>
      </c>
      <c r="C27" s="43">
        <f t="shared" si="10"/>
        <v>180.92958364</v>
      </c>
      <c r="D27" s="43">
        <f t="shared" si="10"/>
        <v>170.13769762999999</v>
      </c>
      <c r="E27" s="43">
        <f t="shared" si="10"/>
        <v>180.51152451999999</v>
      </c>
      <c r="F27" s="43">
        <f t="shared" si="10"/>
        <v>166.57429319000002</v>
      </c>
      <c r="G27" s="43">
        <f t="shared" si="10"/>
        <v>180.35942613</v>
      </c>
      <c r="H27" s="43">
        <f t="shared" ref="H27:M27" si="11">SUM(H19:H26)</f>
        <v>175.09326713999999</v>
      </c>
      <c r="I27" s="43">
        <f t="shared" si="11"/>
        <v>178.53997000000001</v>
      </c>
      <c r="J27" s="43">
        <f t="shared" si="11"/>
        <v>181.91324810999998</v>
      </c>
      <c r="K27" s="43">
        <f t="shared" si="11"/>
        <v>179.20708095999998</v>
      </c>
      <c r="L27" s="43">
        <f t="shared" si="11"/>
        <v>177.33816768</v>
      </c>
      <c r="M27" s="43">
        <f t="shared" si="11"/>
        <v>178.48879590999999</v>
      </c>
    </row>
    <row r="29" spans="1:14" s="49" customFormat="1" ht="21">
      <c r="A29" s="46" t="s">
        <v>29</v>
      </c>
      <c r="B29" s="47"/>
      <c r="C29" s="47"/>
      <c r="D29" s="47"/>
      <c r="E29" s="47"/>
      <c r="F29" s="47"/>
      <c r="G29" s="47"/>
      <c r="H29" s="48"/>
      <c r="I29" s="48"/>
      <c r="J29" s="48"/>
      <c r="K29" s="48"/>
      <c r="L29" s="48"/>
    </row>
    <row r="30" spans="1:14" s="49" customFormat="1" ht="21">
      <c r="A30" s="46" t="s">
        <v>30</v>
      </c>
      <c r="B30" s="47"/>
      <c r="C30" s="47"/>
      <c r="D30" s="47"/>
      <c r="E30" s="47"/>
      <c r="F30" s="47"/>
      <c r="G30" s="47"/>
      <c r="H30" s="48"/>
      <c r="I30" s="48"/>
      <c r="J30" s="48"/>
      <c r="K30" s="48"/>
      <c r="L30" s="48"/>
    </row>
    <row r="31" spans="1:14" s="49" customFormat="1" ht="21">
      <c r="A31" s="46" t="s">
        <v>31</v>
      </c>
      <c r="B31" s="47"/>
      <c r="C31" s="47"/>
      <c r="D31" s="47"/>
      <c r="E31" s="47"/>
      <c r="F31" s="47"/>
      <c r="G31" s="47"/>
      <c r="H31" s="48"/>
      <c r="I31" s="48"/>
      <c r="J31" s="48"/>
      <c r="K31" s="48"/>
      <c r="L31" s="48"/>
    </row>
    <row r="32" spans="1:14" s="49" customFormat="1" ht="21">
      <c r="A32" s="46"/>
      <c r="B32" s="47"/>
      <c r="C32" s="47"/>
      <c r="D32" s="47"/>
      <c r="E32" s="47"/>
      <c r="F32" s="47"/>
      <c r="G32" s="47"/>
      <c r="H32" s="48"/>
      <c r="I32" s="48"/>
      <c r="J32" s="48"/>
      <c r="K32" s="48"/>
      <c r="L32" s="48"/>
    </row>
    <row r="33" spans="1:13" s="50" customFormat="1" ht="18" customHeight="1"/>
    <row r="34" spans="1:13" ht="15" thickBot="1"/>
    <row r="35" spans="1:13" ht="21" thickBot="1">
      <c r="A35" s="1" t="s">
        <v>32</v>
      </c>
      <c r="B35" s="2">
        <f>B1</f>
        <v>22616</v>
      </c>
      <c r="C35" s="2">
        <f t="shared" ref="C35:L35" si="12">C1</f>
        <v>22647</v>
      </c>
      <c r="D35" s="2">
        <f t="shared" si="12"/>
        <v>22678</v>
      </c>
      <c r="E35" s="2">
        <f t="shared" si="12"/>
        <v>22706</v>
      </c>
      <c r="F35" s="2">
        <f t="shared" si="12"/>
        <v>22737</v>
      </c>
      <c r="G35" s="2">
        <f t="shared" si="12"/>
        <v>22767</v>
      </c>
      <c r="H35" s="2">
        <f t="shared" si="12"/>
        <v>22798</v>
      </c>
      <c r="I35" s="2">
        <f t="shared" si="12"/>
        <v>22828</v>
      </c>
      <c r="J35" s="2">
        <f t="shared" si="12"/>
        <v>22859</v>
      </c>
      <c r="K35" s="2">
        <f t="shared" si="12"/>
        <v>22890</v>
      </c>
      <c r="L35" s="2">
        <f t="shared" si="12"/>
        <v>22920</v>
      </c>
      <c r="M35" s="2">
        <v>22920</v>
      </c>
    </row>
    <row r="36" spans="1:13" ht="21.6" thickBot="1">
      <c r="A36" s="12" t="s">
        <v>33</v>
      </c>
      <c r="B36" s="51">
        <f t="shared" ref="B36:G36" si="13">B19+B26</f>
        <v>140.20237665000002</v>
      </c>
      <c r="C36" s="51">
        <f t="shared" si="13"/>
        <v>131.26858364</v>
      </c>
      <c r="D36" s="51">
        <f t="shared" si="13"/>
        <v>60.885475850000006</v>
      </c>
      <c r="E36" s="51">
        <f t="shared" si="13"/>
        <v>132.55052452000001</v>
      </c>
      <c r="F36" s="51">
        <f t="shared" si="13"/>
        <v>119.14429319000001</v>
      </c>
      <c r="G36" s="51">
        <f t="shared" si="13"/>
        <v>132.39842613000002</v>
      </c>
      <c r="H36" s="51"/>
      <c r="I36" s="51"/>
      <c r="J36" s="51"/>
      <c r="K36" s="51"/>
      <c r="L36" s="51"/>
      <c r="M36" s="52"/>
    </row>
    <row r="37" spans="1:13" ht="21.6" thickBot="1">
      <c r="A37" s="5" t="s">
        <v>34</v>
      </c>
      <c r="B37" s="53">
        <f t="shared" ref="B37:G37" si="14">B13</f>
        <v>13.95</v>
      </c>
      <c r="C37" s="53">
        <f t="shared" si="14"/>
        <v>16.460999999999999</v>
      </c>
      <c r="D37" s="53">
        <f t="shared" si="14"/>
        <v>14.868</v>
      </c>
      <c r="E37" s="53">
        <f t="shared" si="14"/>
        <v>16.460999999999999</v>
      </c>
      <c r="F37" s="53">
        <f t="shared" si="14"/>
        <v>15.93</v>
      </c>
      <c r="G37" s="53">
        <f t="shared" si="14"/>
        <v>16.460999999999999</v>
      </c>
      <c r="H37" s="53"/>
      <c r="I37" s="53"/>
      <c r="J37" s="53"/>
      <c r="K37" s="53"/>
      <c r="L37" s="53"/>
      <c r="M37" s="37"/>
    </row>
    <row r="38" spans="1:13" ht="21.6" thickBot="1">
      <c r="A38" s="54" t="s">
        <v>35</v>
      </c>
      <c r="B38" s="55">
        <f t="shared" ref="B38:G38" si="15">B16</f>
        <v>0</v>
      </c>
      <c r="C38" s="55">
        <f t="shared" si="15"/>
        <v>0</v>
      </c>
      <c r="D38" s="55">
        <f t="shared" si="15"/>
        <v>0</v>
      </c>
      <c r="E38" s="55">
        <f t="shared" si="15"/>
        <v>0</v>
      </c>
      <c r="F38" s="55">
        <f t="shared" si="15"/>
        <v>0</v>
      </c>
      <c r="G38" s="55">
        <f t="shared" si="15"/>
        <v>0</v>
      </c>
      <c r="H38" s="55"/>
      <c r="I38" s="55"/>
      <c r="J38" s="55"/>
      <c r="K38" s="55"/>
      <c r="L38" s="55"/>
      <c r="M38" s="56"/>
    </row>
    <row r="39" spans="1:13" ht="21.6" thickBot="1">
      <c r="A39" s="1" t="s">
        <v>36</v>
      </c>
      <c r="B39" s="57">
        <f t="shared" ref="B39:G39" si="16">B15</f>
        <v>6</v>
      </c>
      <c r="C39" s="57">
        <f t="shared" si="16"/>
        <v>6</v>
      </c>
      <c r="D39" s="57">
        <f t="shared" si="16"/>
        <v>6</v>
      </c>
      <c r="E39" s="57">
        <f t="shared" si="16"/>
        <v>6</v>
      </c>
      <c r="F39" s="57">
        <f t="shared" si="16"/>
        <v>6</v>
      </c>
      <c r="G39" s="57">
        <f t="shared" si="16"/>
        <v>6</v>
      </c>
      <c r="H39" s="57"/>
      <c r="I39" s="57"/>
      <c r="J39" s="57"/>
      <c r="K39" s="57"/>
      <c r="L39" s="57"/>
      <c r="M39" s="58"/>
    </row>
    <row r="40" spans="1:13" ht="21.6" thickBot="1">
      <c r="A40" s="54" t="s">
        <v>37</v>
      </c>
      <c r="B40" s="55">
        <f t="shared" ref="B40:G40" si="17">B20</f>
        <v>5.7350000000000003</v>
      </c>
      <c r="C40" s="55">
        <f t="shared" si="17"/>
        <v>6.2</v>
      </c>
      <c r="D40" s="55">
        <f t="shared" si="17"/>
        <v>71.384221780000004</v>
      </c>
      <c r="E40" s="55">
        <f t="shared" si="17"/>
        <v>6.5</v>
      </c>
      <c r="F40" s="55">
        <f t="shared" si="17"/>
        <v>6.5</v>
      </c>
      <c r="G40" s="55">
        <f t="shared" si="17"/>
        <v>6.5</v>
      </c>
      <c r="H40" s="55"/>
      <c r="I40" s="55"/>
      <c r="J40" s="55"/>
      <c r="K40" s="55"/>
      <c r="L40" s="55"/>
      <c r="M40" s="56"/>
    </row>
    <row r="41" spans="1:13" ht="21.6" thickBot="1">
      <c r="A41" s="1" t="s">
        <v>9</v>
      </c>
      <c r="B41" s="57">
        <f t="shared" ref="B41:G41" si="18">SUM(B36:B40)</f>
        <v>165.88737665000002</v>
      </c>
      <c r="C41" s="57">
        <f t="shared" si="18"/>
        <v>159.92958363999998</v>
      </c>
      <c r="D41" s="57">
        <f t="shared" si="18"/>
        <v>153.13769762999999</v>
      </c>
      <c r="E41" s="57">
        <f t="shared" si="18"/>
        <v>161.51152452000002</v>
      </c>
      <c r="F41" s="57">
        <f t="shared" si="18"/>
        <v>147.57429319000002</v>
      </c>
      <c r="G41" s="57">
        <f t="shared" si="18"/>
        <v>161.35942613000003</v>
      </c>
      <c r="H41" s="57"/>
      <c r="I41" s="57"/>
      <c r="J41" s="57"/>
      <c r="K41" s="57"/>
      <c r="L41" s="57"/>
      <c r="M41" s="58"/>
    </row>
    <row r="43" spans="1:13" s="59" customFormat="1">
      <c r="B43" s="60"/>
    </row>
    <row r="45" spans="1:13" ht="21" thickBot="1">
      <c r="A45" s="38" t="s">
        <v>21</v>
      </c>
      <c r="B45" s="39">
        <v>22586</v>
      </c>
      <c r="C45" s="39">
        <v>22616</v>
      </c>
      <c r="D45" s="39">
        <v>22647</v>
      </c>
      <c r="E45" s="39">
        <v>22678</v>
      </c>
      <c r="F45" s="39">
        <v>22706</v>
      </c>
      <c r="G45" s="39">
        <v>22737</v>
      </c>
    </row>
    <row r="46" spans="1:13" ht="21">
      <c r="A46" s="247" t="s">
        <v>22</v>
      </c>
      <c r="B46" s="61">
        <v>64.75</v>
      </c>
      <c r="C46" s="249" t="s">
        <v>38</v>
      </c>
      <c r="D46" s="249" t="s">
        <v>39</v>
      </c>
      <c r="E46" s="249" t="s">
        <v>40</v>
      </c>
      <c r="F46" s="249" t="s">
        <v>41</v>
      </c>
      <c r="G46" s="249" t="s">
        <v>42</v>
      </c>
      <c r="J46" s="62">
        <f>B46+B48+B49+B50+B51+B53+B54</f>
        <v>180.5</v>
      </c>
    </row>
    <row r="47" spans="1:13" ht="21.6" thickBot="1">
      <c r="A47" s="248"/>
      <c r="B47" s="63" t="s">
        <v>43</v>
      </c>
      <c r="C47" s="250"/>
      <c r="D47" s="250"/>
      <c r="E47" s="250"/>
      <c r="F47" s="250"/>
      <c r="G47" s="250"/>
    </row>
    <row r="48" spans="1:13" ht="21.6" thickBot="1">
      <c r="A48" s="40" t="s">
        <v>15</v>
      </c>
      <c r="B48" s="64">
        <v>6</v>
      </c>
      <c r="C48" s="65" t="s">
        <v>44</v>
      </c>
      <c r="D48" s="65" t="s">
        <v>44</v>
      </c>
      <c r="E48" s="65" t="s">
        <v>45</v>
      </c>
      <c r="F48" s="65" t="s">
        <v>45</v>
      </c>
      <c r="G48" s="65" t="s">
        <v>45</v>
      </c>
    </row>
    <row r="49" spans="1:7" ht="21.6" thickBot="1">
      <c r="A49" s="40" t="s">
        <v>23</v>
      </c>
      <c r="B49" s="64">
        <v>1</v>
      </c>
      <c r="C49" s="65" t="s">
        <v>46</v>
      </c>
      <c r="D49" s="65" t="s">
        <v>46</v>
      </c>
      <c r="E49" s="65" t="s">
        <v>46</v>
      </c>
      <c r="F49" s="65" t="s">
        <v>46</v>
      </c>
      <c r="G49" s="65" t="s">
        <v>46</v>
      </c>
    </row>
    <row r="50" spans="1:7" ht="21.6" thickBot="1">
      <c r="A50" s="40" t="s">
        <v>24</v>
      </c>
      <c r="B50" s="66">
        <v>13.5</v>
      </c>
      <c r="C50" s="67" t="s">
        <v>47</v>
      </c>
      <c r="D50" s="67" t="s">
        <v>48</v>
      </c>
      <c r="E50" s="67" t="s">
        <v>49</v>
      </c>
      <c r="F50" s="67" t="s">
        <v>48</v>
      </c>
      <c r="G50" s="67" t="s">
        <v>50</v>
      </c>
    </row>
    <row r="51" spans="1:7" ht="21.6" thickBot="1">
      <c r="A51" s="40" t="s">
        <v>25</v>
      </c>
      <c r="B51" s="66">
        <v>6</v>
      </c>
      <c r="C51" s="67" t="s">
        <v>51</v>
      </c>
      <c r="D51" s="67" t="s">
        <v>51</v>
      </c>
      <c r="E51" s="67" t="s">
        <v>51</v>
      </c>
      <c r="F51" s="67" t="s">
        <v>51</v>
      </c>
      <c r="G51" s="67" t="s">
        <v>51</v>
      </c>
    </row>
    <row r="52" spans="1:7" ht="21.6" thickBot="1">
      <c r="A52" s="40" t="s">
        <v>26</v>
      </c>
      <c r="B52" s="66" t="s">
        <v>52</v>
      </c>
      <c r="C52" s="68" t="s">
        <v>46</v>
      </c>
      <c r="D52" s="68" t="s">
        <v>46</v>
      </c>
      <c r="E52" s="68" t="s">
        <v>46</v>
      </c>
      <c r="F52" s="68" t="s">
        <v>46</v>
      </c>
      <c r="G52" s="68" t="s">
        <v>46</v>
      </c>
    </row>
    <row r="53" spans="1:7" ht="21.6" thickBot="1">
      <c r="A53" s="40" t="s">
        <v>27</v>
      </c>
      <c r="B53" s="66">
        <v>17</v>
      </c>
      <c r="C53" s="67" t="s">
        <v>53</v>
      </c>
      <c r="D53" s="67" t="s">
        <v>54</v>
      </c>
      <c r="E53" s="67" t="s">
        <v>55</v>
      </c>
      <c r="F53" s="67" t="s">
        <v>56</v>
      </c>
      <c r="G53" s="67" t="s">
        <v>56</v>
      </c>
    </row>
    <row r="54" spans="1:7" ht="21">
      <c r="A54" s="247" t="s">
        <v>28</v>
      </c>
      <c r="B54" s="69">
        <v>72.25</v>
      </c>
      <c r="C54" s="242" t="s">
        <v>57</v>
      </c>
      <c r="D54" s="242" t="s">
        <v>58</v>
      </c>
      <c r="E54" s="242" t="s">
        <v>59</v>
      </c>
      <c r="F54" s="242" t="s">
        <v>60</v>
      </c>
      <c r="G54" s="242" t="s">
        <v>61</v>
      </c>
    </row>
    <row r="55" spans="1:7" ht="21.6" thickBot="1">
      <c r="A55" s="248"/>
      <c r="B55" s="63" t="s">
        <v>62</v>
      </c>
      <c r="C55" s="243"/>
      <c r="D55" s="243"/>
      <c r="E55" s="243"/>
      <c r="F55" s="243"/>
      <c r="G55" s="243"/>
    </row>
    <row r="56" spans="1:7" ht="21" thickBot="1">
      <c r="A56" s="45" t="s">
        <v>9</v>
      </c>
      <c r="B56" s="70" t="s">
        <v>63</v>
      </c>
      <c r="C56" s="70" t="s">
        <v>64</v>
      </c>
      <c r="D56" s="70" t="s">
        <v>65</v>
      </c>
      <c r="E56" s="70" t="s">
        <v>66</v>
      </c>
      <c r="F56" s="70" t="s">
        <v>67</v>
      </c>
      <c r="G56" s="70" t="s">
        <v>68</v>
      </c>
    </row>
  </sheetData>
  <mergeCells count="14">
    <mergeCell ref="G54:G55"/>
    <mergeCell ref="O2:P2"/>
    <mergeCell ref="P3:Q3"/>
    <mergeCell ref="A46:A47"/>
    <mergeCell ref="C46:C47"/>
    <mergeCell ref="D46:D47"/>
    <mergeCell ref="E46:E47"/>
    <mergeCell ref="F46:F47"/>
    <mergeCell ref="G46:G47"/>
    <mergeCell ref="A54:A55"/>
    <mergeCell ref="C54:C55"/>
    <mergeCell ref="D54:D55"/>
    <mergeCell ref="E54:E55"/>
    <mergeCell ref="F54:F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11th</vt:lpstr>
      <vt:lpstr>16th</vt:lpstr>
      <vt:lpstr>ปรับแผนเดือน มิ.ย. 64</vt:lpstr>
      <vt:lpstr>For PTTOR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MONWALAI CHAISUPAKSAMPHAN</dc:creator>
  <cp:lastModifiedBy>Windows User</cp:lastModifiedBy>
  <dcterms:created xsi:type="dcterms:W3CDTF">2018-11-16T03:13:15Z</dcterms:created>
  <dcterms:modified xsi:type="dcterms:W3CDTF">2021-05-24T11:32:46Z</dcterms:modified>
</cp:coreProperties>
</file>