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alongkot.b\OneDrive - PTT GROUP\Notebooks\PTT-GSP Allocation\MostUpdated\"/>
    </mc:Choice>
  </mc:AlternateContent>
  <xr:revisionPtr revIDLastSave="0" documentId="11_A5428204511715479F424EC5E5C4B5A945A0D0ED" xr6:coauthVersionLast="41" xr6:coauthVersionMax="41" xr10:uidLastSave="{00000000-0000-0000-0000-000000000000}"/>
  <bookViews>
    <workbookView minimized="1" xWindow="1060" yWindow="1060" windowWidth="14400" windowHeight="7360" xr2:uid="{00000000-000D-0000-FFFF-FFFF00000000}"/>
  </bookViews>
  <sheets>
    <sheet name="C2" sheetId="1" r:id="rId1"/>
    <sheet name="C3LPG" sheetId="2" r:id="rId2"/>
  </sheets>
  <externalReferences>
    <externalReference r:id="rId3"/>
    <externalReference r:id="rId4"/>
    <externalReference r:id="rId5"/>
    <externalReference r:id="rId6"/>
    <externalReference r:id="rId7"/>
    <externalReference r:id="rId8"/>
  </externalReferences>
  <definedNames>
    <definedName name="\d" localSheetId="0">'[1]ESSO-ESSO (incre.)'!#REF!</definedName>
    <definedName name="\d" localSheetId="1">'[1]ESSO-ESSO (incre.)'!#REF!</definedName>
    <definedName name="\d">'[1]ESSO-ESSO (incre.)'!#REF!</definedName>
    <definedName name="\e" localSheetId="0">'[1]ESSO-ESSO (incre.)'!#REF!</definedName>
    <definedName name="\e" localSheetId="1">'[1]ESSO-ESSO (incre.)'!#REF!</definedName>
    <definedName name="\e">'[1]ESSO-ESSO (incre.)'!#REF!</definedName>
    <definedName name="\f" localSheetId="0">'[1]ESSO-ESSO (incre.)'!#REF!</definedName>
    <definedName name="\f" localSheetId="1">'[1]ESSO-ESSO (incre.)'!#REF!</definedName>
    <definedName name="\f">'[1]ESSO-ESSO (incre.)'!#REF!</definedName>
    <definedName name="\O" localSheetId="0">#REF!</definedName>
    <definedName name="\O" localSheetId="1">#REF!</definedName>
    <definedName name="\O">#REF!</definedName>
    <definedName name="\P" localSheetId="0">#REF!</definedName>
    <definedName name="\P" localSheetId="1">#REF!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0" hidden="1">[2]AGP!#REF!</definedName>
    <definedName name="__123Graph_X" localSheetId="1" hidden="1">[2]AGP!#REF!</definedName>
    <definedName name="__123Graph_X" hidden="1">[2]AGP!#REF!</definedName>
    <definedName name="__SCR1" localSheetId="0">#REF!</definedName>
    <definedName name="__SCR1" localSheetId="1">#REF!</definedName>
    <definedName name="__SCR1">#REF!</definedName>
    <definedName name="_1B" localSheetId="0">#REF!</definedName>
    <definedName name="_1B" localSheetId="1">#REF!</definedName>
    <definedName name="_1B">#REF!</definedName>
    <definedName name="_1E" localSheetId="0">#REF!</definedName>
    <definedName name="_1E" localSheetId="1">#REF!</definedName>
    <definedName name="_1E">#REF!</definedName>
    <definedName name="_1M" localSheetId="0">#REF!</definedName>
    <definedName name="_1M" localSheetId="1">#REF!</definedName>
    <definedName name="_1M">#REF!</definedName>
    <definedName name="_1U" localSheetId="0">#REF!</definedName>
    <definedName name="_1U" localSheetId="1">#REF!</definedName>
    <definedName name="_1U">#REF!</definedName>
    <definedName name="_2U" localSheetId="0">#REF!</definedName>
    <definedName name="_2U" localSheetId="1">#REF!</definedName>
    <definedName name="_2U">#REF!</definedName>
    <definedName name="_3U" localSheetId="0">#REF!</definedName>
    <definedName name="_3U" localSheetId="1">#REF!</definedName>
    <definedName name="_3U">#REF!</definedName>
    <definedName name="_4U" localSheetId="0">#REF!</definedName>
    <definedName name="_4U" localSheetId="1">#REF!</definedName>
    <definedName name="_4U">#REF!</definedName>
    <definedName name="_Fill" localSheetId="0" hidden="1">#REF!</definedName>
    <definedName name="_Fill" localSheetId="1" hidden="1">#REF!</definedName>
    <definedName name="_Fill" hidden="1">#REF!</definedName>
    <definedName name="_MO1" localSheetId="0">#REF!</definedName>
    <definedName name="_MO1" localSheetId="1">#REF!</definedName>
    <definedName name="_MO1">#REF!</definedName>
    <definedName name="_MO10" localSheetId="0">#REF!</definedName>
    <definedName name="_MO10" localSheetId="1">#REF!</definedName>
    <definedName name="_MO10">#REF!</definedName>
    <definedName name="_MO11" localSheetId="0">#REF!</definedName>
    <definedName name="_MO11" localSheetId="1">#REF!</definedName>
    <definedName name="_MO11">#REF!</definedName>
    <definedName name="_MO12" localSheetId="0">#REF!</definedName>
    <definedName name="_MO12" localSheetId="1">#REF!</definedName>
    <definedName name="_MO12">#REF!</definedName>
    <definedName name="_MO2" localSheetId="0">#REF!</definedName>
    <definedName name="_MO2" localSheetId="1">#REF!</definedName>
    <definedName name="_MO2">#REF!</definedName>
    <definedName name="_MO3" localSheetId="0">#REF!</definedName>
    <definedName name="_MO3" localSheetId="1">#REF!</definedName>
    <definedName name="_MO3">#REF!</definedName>
    <definedName name="_MO4" localSheetId="0">#REF!</definedName>
    <definedName name="_MO4" localSheetId="1">#REF!</definedName>
    <definedName name="_MO4">#REF!</definedName>
    <definedName name="_MO5" localSheetId="0">#REF!</definedName>
    <definedName name="_MO5" localSheetId="1">#REF!</definedName>
    <definedName name="_MO5">#REF!</definedName>
    <definedName name="_MO6" localSheetId="0">#REF!</definedName>
    <definedName name="_MO6" localSheetId="1">#REF!</definedName>
    <definedName name="_MO6">#REF!</definedName>
    <definedName name="_MO7" localSheetId="0">#REF!</definedName>
    <definedName name="_MO7" localSheetId="1">#REF!</definedName>
    <definedName name="_MO7">#REF!</definedName>
    <definedName name="_MO8" localSheetId="0">#REF!</definedName>
    <definedName name="_MO8" localSheetId="1">#REF!</definedName>
    <definedName name="_MO8">#REF!</definedName>
    <definedName name="_MO9" localSheetId="0">#REF!</definedName>
    <definedName name="_MO9" localSheetId="1">#REF!</definedName>
    <definedName name="_MO9">#REF!</definedName>
    <definedName name="_SCR1" localSheetId="0">#REF!</definedName>
    <definedName name="_SCR1" localSheetId="1">#REF!</definedName>
    <definedName name="_SCR1">#REF!</definedName>
    <definedName name="a" localSheetId="0">[3]Purchase!#REF!</definedName>
    <definedName name="a" localSheetId="1">[3]Purchase!#REF!</definedName>
    <definedName name="a">[3]Purchase!#REF!</definedName>
    <definedName name="ALL_IDX" localSheetId="0">#REF!</definedName>
    <definedName name="ALL_IDX" localSheetId="1">#REF!</definedName>
    <definedName name="ALL_IDX">#REF!</definedName>
    <definedName name="Apr" localSheetId="0">#REF!</definedName>
    <definedName name="Apr" localSheetId="1">#REF!</definedName>
    <definedName name="Apr">#REF!</definedName>
    <definedName name="AprSun1" localSheetId="0">DATEVALUE("4/1/"&amp;'C2'!TheYear)-WEEKDAY(DATEVALUE("4/1/"&amp;'C2'!TheYear))+1</definedName>
    <definedName name="AprSun1" localSheetId="1">DATEVALUE("4/1/"&amp;'C3LPG'!TheYear)-WEEKDAY(DATEVALUE("4/1/"&amp;'C3LPG'!TheYear))+1</definedName>
    <definedName name="AprSun1">DATEVALUE("4/1/"&amp;TheYear)-WEEKDAY(DATEVALUE("4/1/"&amp;TheYear))+1</definedName>
    <definedName name="Aug" localSheetId="0">#REF!</definedName>
    <definedName name="Aug" localSheetId="1">#REF!</definedName>
    <definedName name="Aug">#REF!</definedName>
    <definedName name="AugSun1" localSheetId="0">DATEVALUE("8/1/"&amp;'C2'!TheYear)-WEEKDAY(DATEVALUE("8/1/"&amp;'C2'!TheYear))+1</definedName>
    <definedName name="AugSun1" localSheetId="1">DATEVALUE("8/1/"&amp;'C3LPG'!TheYear)-WEEKDAY(DATEVALUE("8/1/"&amp;'C3LPG'!TheYear))+1</definedName>
    <definedName name="AugSun1">DATEVALUE("8/1/"&amp;TheYear)-WEEKDAY(DATEVALUE("8/1/"&amp;TheYear))+1</definedName>
    <definedName name="bb">[4]level_all!$E$3:$K$15</definedName>
    <definedName name="BLG">[4]level_all!$FH$2:$FQ$15</definedName>
    <definedName name="ca" localSheetId="0">[3]Purchase!#REF!</definedName>
    <definedName name="ca" localSheetId="1">[3]Purchase!#REF!</definedName>
    <definedName name="ca">[3]Purchase!#REF!</definedName>
    <definedName name="CASE2" localSheetId="0">#REF!</definedName>
    <definedName name="CASE2" localSheetId="1">#REF!</definedName>
    <definedName name="CASE2">#REF!</definedName>
    <definedName name="ccc" localSheetId="0">[3]Purchase!#REF!</definedName>
    <definedName name="ccc" localSheetId="1">[3]Purchase!#REF!</definedName>
    <definedName name="ccc">[3]Purchase!#REF!</definedName>
    <definedName name="CLB">[4]level_all!$DQ$2:$DZ$15</definedName>
    <definedName name="CRUDE" localSheetId="0">#REF!</definedName>
    <definedName name="CRUDE" localSheetId="1">#REF!</definedName>
    <definedName name="CRUDE">#REF!</definedName>
    <definedName name="Customercode">[5]Invent.!$B$7:$B$4500</definedName>
    <definedName name="DDD" localSheetId="0">#REF!</definedName>
    <definedName name="DDD" localSheetId="1">#REF!</definedName>
    <definedName name="DDD">#REF!</definedName>
    <definedName name="Dec" localSheetId="0">#REF!</definedName>
    <definedName name="Dec" localSheetId="1">#REF!</definedName>
    <definedName name="Dec">#REF!</definedName>
    <definedName name="DecSun1" localSheetId="0">DATEVALUE("12/1/"&amp;'C2'!TheYear)-WEEKDAY(DATEVALUE("12/1/"&amp;'C2'!TheYear))+1</definedName>
    <definedName name="DecSun1" localSheetId="1">DATEVALUE("12/1/"&amp;'C3LPG'!TheYear)-WEEKDAY(DATEVALUE("12/1/"&amp;'C3LPG'!TheYear))+1</definedName>
    <definedName name="DecSun1">DATEVALUE("12/1/"&amp;TheYear)-WEEKDAY(DATEVALUE("12/1/"&amp;TheYear))+1</definedName>
    <definedName name="Dry_Test" localSheetId="0">#REF!</definedName>
    <definedName name="Dry_Test" localSheetId="1">#REF!</definedName>
    <definedName name="Dry_Test">#REF!</definedName>
    <definedName name="dsfrgt" localSheetId="0">#REF!</definedName>
    <definedName name="dsfrgt" localSheetId="1">#REF!</definedName>
    <definedName name="dsfrgt">#REF!</definedName>
    <definedName name="Feb" localSheetId="0">#REF!</definedName>
    <definedName name="Feb" localSheetId="1">#REF!</definedName>
    <definedName name="Feb">#REF!</definedName>
    <definedName name="FebSun1" localSheetId="0">DATEVALUE("2/1/"&amp;'C2'!TheYear)-WEEKDAY(DATEVALUE("2/1/"&amp;'C2'!TheYear))+1</definedName>
    <definedName name="FebSun1" localSheetId="1">DATEVALUE("2/1/"&amp;'C3LPG'!TheYear)-WEEKDAY(DATEVALUE("2/1/"&amp;'C3LPG'!TheYear))+1</definedName>
    <definedName name="FebSun1">DATEVALUE("2/1/"&amp;TheYear)-WEEKDAY(DATEVALUE("2/1/"&amp;TheYear))+1</definedName>
    <definedName name="GAS" localSheetId="0">#REF!</definedName>
    <definedName name="GAS" localSheetId="1">#REF!</definedName>
    <definedName name="GAS">#REF!</definedName>
    <definedName name="GROWTH_Y_o_Y" localSheetId="0">#REF!</definedName>
    <definedName name="GROWTH_Y_o_Y" localSheetId="1">#REF!</definedName>
    <definedName name="GROWTH_Y_o_Y">#REF!</definedName>
    <definedName name="HEAD" localSheetId="0">#REF!</definedName>
    <definedName name="HEAD" localSheetId="1">#REF!</definedName>
    <definedName name="HEAD">#REF!</definedName>
    <definedName name="I1U" localSheetId="0">#REF!</definedName>
    <definedName name="I1U" localSheetId="1">#REF!</definedName>
    <definedName name="I1U">#REF!</definedName>
    <definedName name="I2U" localSheetId="0">#REF!</definedName>
    <definedName name="I2U" localSheetId="1">#REF!</definedName>
    <definedName name="I2U">#REF!</definedName>
    <definedName name="IBK" localSheetId="0">#REF!</definedName>
    <definedName name="IBK" localSheetId="1">#REF!</definedName>
    <definedName name="IBK">#REF!</definedName>
    <definedName name="IDX" localSheetId="0">#REF!</definedName>
    <definedName name="IDX" localSheetId="1">#REF!</definedName>
    <definedName name="IDX">#REF!</definedName>
    <definedName name="IM" localSheetId="0">#REF!</definedName>
    <definedName name="IM" localSheetId="1">#REF!</definedName>
    <definedName name="IM">#REF!</definedName>
    <definedName name="Inputcode">[5]Invent.!$B$3:$BS$3</definedName>
    <definedName name="Jan" localSheetId="0">#REF!</definedName>
    <definedName name="Jan" localSheetId="1">#REF!</definedName>
    <definedName name="Jan">#REF!</definedName>
    <definedName name="JanSun1" localSheetId="0">DATEVALUE("1/1/"&amp;'C2'!TheYear)-WEEKDAY(DATEVALUE("1/1/"&amp;'C2'!TheYear))+1</definedName>
    <definedName name="JanSun1" localSheetId="1">DATEVALUE("1/1/"&amp;'C3LPG'!TheYear)-WEEKDAY(DATEVALUE("1/1/"&amp;'C3LPG'!TheYear))+1</definedName>
    <definedName name="JanSun1">DATEVALUE("1/1/"&amp;TheYear)-WEEKDAY(DATEVALUE("1/1/"&amp;TheYear))+1</definedName>
    <definedName name="JDA" localSheetId="0">#REF!</definedName>
    <definedName name="JDA" localSheetId="1">#REF!</definedName>
    <definedName name="JDA">#REF!</definedName>
    <definedName name="Jul" localSheetId="0">#REF!</definedName>
    <definedName name="Jul" localSheetId="1">#REF!</definedName>
    <definedName name="Jul">#REF!</definedName>
    <definedName name="JulSun1" localSheetId="0">DATEVALUE("7/1/"&amp;'C2'!TheYear)-WEEKDAY(DATEVALUE("7/1/"&amp;'C2'!TheYear))+1</definedName>
    <definedName name="JulSun1" localSheetId="1">DATEVALUE("7/1/"&amp;'C3LPG'!TheYear)-WEEKDAY(DATEVALUE("7/1/"&amp;'C3LPG'!TheYear))+1</definedName>
    <definedName name="JulSun1">DATEVALUE("7/1/"&amp;TheYear)-WEEKDAY(DATEVALUE("7/1/"&amp;TheYear))+1</definedName>
    <definedName name="Jun" localSheetId="0">#REF!</definedName>
    <definedName name="Jun" localSheetId="1">#REF!</definedName>
    <definedName name="Jun">#REF!</definedName>
    <definedName name="JunSun1" localSheetId="0">DATEVALUE("6/1/"&amp;'C2'!TheYear)-WEEKDAY(DATEVALUE("6/1/"&amp;'C2'!TheYear))+1</definedName>
    <definedName name="JunSun1" localSheetId="1">DATEVALUE("6/1/"&amp;'C3LPG'!TheYear)-WEEKDAY(DATEVALUE("6/1/"&amp;'C3LPG'!TheYear))+1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0">#REF!</definedName>
    <definedName name="Lost_seal" localSheetId="1">#REF!</definedName>
    <definedName name="Lost_seal">#REF!</definedName>
    <definedName name="Mar" localSheetId="0">#REF!</definedName>
    <definedName name="Mar" localSheetId="1">#REF!</definedName>
    <definedName name="Mar">#REF!</definedName>
    <definedName name="MarSun1" localSheetId="0">DATEVALUE("3/1/"&amp;'C2'!TheYear)-WEEKDAY(DATEVALUE("3/1/"&amp;'C2'!TheYear))+1</definedName>
    <definedName name="MarSun1" localSheetId="1">DATEVALUE("3/1/"&amp;'C3LPG'!TheYear)-WEEKDAY(DATEVALUE("3/1/"&amp;'C3LPG'!TheYear))+1</definedName>
    <definedName name="MarSun1">DATEVALUE("3/1/"&amp;TheYear)-WEEKDAY(DATEVALUE("3/1/"&amp;TheYear))+1</definedName>
    <definedName name="May" localSheetId="0">#REF!</definedName>
    <definedName name="May" localSheetId="1">#REF!</definedName>
    <definedName name="May">#REF!</definedName>
    <definedName name="MaySun1" localSheetId="0">DATEVALUE("5/1/"&amp;'C2'!TheYear)-WEEKDAY(DATEVALUE("5/1/"&amp;'C2'!TheYear))+1</definedName>
    <definedName name="MaySun1" localSheetId="1">DATEVALUE("5/1/"&amp;'C3LPG'!TheYear)-WEEKDAY(DATEVALUE("5/1/"&amp;'C3LPG'!TheYear))+1</definedName>
    <definedName name="MaySun1">DATEVALUE("5/1/"&amp;TheYear)-WEEKDAY(DATEVALUE("5/1/"&amp;TheYear))+1</definedName>
    <definedName name="mng">[4]level_all!$AC$2:$AL$15</definedName>
    <definedName name="MonRange" localSheetId="0">#REF!</definedName>
    <definedName name="MonRange" localSheetId="1">#REF!</definedName>
    <definedName name="MonRange">#REF!</definedName>
    <definedName name="Nov" localSheetId="0">#REF!</definedName>
    <definedName name="Nov" localSheetId="1">#REF!</definedName>
    <definedName name="Nov">#REF!</definedName>
    <definedName name="NovSun1" localSheetId="0">DATEVALUE("11/1/"&amp;'C2'!TheYear)-WEEKDAY(DATEVALUE("11/1/"&amp;'C2'!TheYear))+1</definedName>
    <definedName name="NovSun1" localSheetId="1">DATEVALUE("11/1/"&amp;'C3LPG'!TheYear)-WEEKDAY(DATEVALUE("11/1/"&amp;'C3LPG'!TheYear))+1</definedName>
    <definedName name="NovSun1">DATEVALUE("11/1/"&amp;TheYear)-WEEKDAY(DATEVALUE("11/1/"&amp;TheYear))+1</definedName>
    <definedName name="NP">[4]level_all!$EG$2:$EP$15</definedName>
    <definedName name="Oct" localSheetId="0">#REF!</definedName>
    <definedName name="Oct" localSheetId="1">#REF!</definedName>
    <definedName name="Oct">#REF!</definedName>
    <definedName name="OctSun1" localSheetId="0">DATEVALUE("10/1/"&amp;'C2'!TheYear)-WEEKDAY(DATEVALUE("10/1/"&amp;'C2'!TheYear))+1</definedName>
    <definedName name="OctSun1" localSheetId="1">DATEVALUE("10/1/"&amp;'C3LPG'!TheYear)-WEEKDAY(DATEVALUE("10/1/"&amp;'C3LPG'!TheYear))+1</definedName>
    <definedName name="OctSun1">DATEVALUE("10/1/"&amp;TheYear)-WEEKDAY(DATEVALUE("10/1/"&amp;TheYear))+1</definedName>
    <definedName name="OneStepChart" localSheetId="0">[6]!OneStepChart</definedName>
    <definedName name="OneStepChart" localSheetId="1">[6]!OneStepChart</definedName>
    <definedName name="OneStepChart">[6]!OneStepChart</definedName>
    <definedName name="outad" localSheetId="0">#REF!</definedName>
    <definedName name="outad" localSheetId="1">#REF!</definedName>
    <definedName name="outad">#REF!</definedName>
    <definedName name="PAGE2" localSheetId="0">#REF!</definedName>
    <definedName name="PAGE2" localSheetId="1">#REF!</definedName>
    <definedName name="PAGE2">#REF!</definedName>
    <definedName name="pool3" localSheetId="0">[3]Purchase!#REF!</definedName>
    <definedName name="pool3" localSheetId="1">[3]Purchase!#REF!</definedName>
    <definedName name="pool3">[3]Purchase!#REF!</definedName>
    <definedName name="Pressure_not_stabilized" localSheetId="0">#REF!</definedName>
    <definedName name="Pressure_not_stabilized" localSheetId="1">#REF!</definedName>
    <definedName name="Pressure_not_stabilized">#REF!</definedName>
    <definedName name="_xlnm.Print_Area" localSheetId="0">#REF!</definedName>
    <definedName name="_xlnm.Print_Area" localSheetId="1">#REF!</definedName>
    <definedName name="_xlnm.Print_Area">#REF!</definedName>
    <definedName name="PRINT_AREA_MI" localSheetId="0">#REF!</definedName>
    <definedName name="PRINT_AREA_MI" localSheetId="1">#REF!</definedName>
    <definedName name="PRINT_AREA_MI">#REF!</definedName>
    <definedName name="Q" localSheetId="0">[3]Purchase!#REF!</definedName>
    <definedName name="Q" localSheetId="1">[3]Purchase!#REF!</definedName>
    <definedName name="Q">[3]Purchase!#REF!</definedName>
    <definedName name="RPB">[4]level_all!$ER$2:$EZ$15</definedName>
    <definedName name="S234gal." localSheetId="0">#REF!</definedName>
    <definedName name="S234gal." localSheetId="1">#REF!</definedName>
    <definedName name="S234gal.">#REF!</definedName>
    <definedName name="S6gal." localSheetId="0">#REF!</definedName>
    <definedName name="S6gal." localSheetId="1">#REF!</definedName>
    <definedName name="S6gal.">#REF!</definedName>
    <definedName name="SALES" localSheetId="0">#REF!</definedName>
    <definedName name="SALES" localSheetId="1">#REF!</definedName>
    <definedName name="SALES">#REF!</definedName>
    <definedName name="Seal_Failure" localSheetId="0">#REF!</definedName>
    <definedName name="Seal_Failure" localSheetId="1">#REF!</definedName>
    <definedName name="Seal_Failure">#REF!</definedName>
    <definedName name="Sep" localSheetId="0">#REF!</definedName>
    <definedName name="Sep" localSheetId="1">#REF!</definedName>
    <definedName name="Sep">#REF!</definedName>
    <definedName name="SepSun1" localSheetId="0">DATEVALUE("9/1/"&amp;'C2'!TheYear)-WEEKDAY(DATEVALUE("9/1/"&amp;'C2'!TheYear))+1</definedName>
    <definedName name="SepSun1" localSheetId="1">DATEVALUE("9/1/"&amp;'C3LPG'!TheYear)-WEEKDAY(DATEVALUE("9/1/"&amp;'C3LPG'!TheYear))+1</definedName>
    <definedName name="SepSun1">DATEVALUE("9/1/"&amp;TheYear)-WEEKDAY(DATEVALUE("9/1/"&amp;TheYear))+1</definedName>
    <definedName name="sfsdfd" localSheetId="0">#REF!</definedName>
    <definedName name="sfsdfd" localSheetId="1">#REF!</definedName>
    <definedName name="sfsdfd">#REF!</definedName>
    <definedName name="sk">[4]level_all!$N$2:$U$15</definedName>
    <definedName name="SNR">[4]level_all!$AO$2:$AX$15</definedName>
    <definedName name="SRD">[4]level_all!$DD$2:$DM$15</definedName>
    <definedName name="su" localSheetId="0">#REF!</definedName>
    <definedName name="su" localSheetId="1">#REF!</definedName>
    <definedName name="su">#REF!</definedName>
    <definedName name="Supercharged_?" localSheetId="0">#REF!</definedName>
    <definedName name="Supercharged_?" localSheetId="1">#REF!</definedName>
    <definedName name="Supercharged_?">#REF!</definedName>
    <definedName name="suree" localSheetId="0">#REF!</definedName>
    <definedName name="suree" localSheetId="1">#REF!</definedName>
    <definedName name="suree">#REF!</definedName>
    <definedName name="TheYear" localSheetId="0">#REF!</definedName>
    <definedName name="TheYear" localSheetId="1">#REF!</definedName>
    <definedName name="TheYear">#REF!</definedName>
    <definedName name="UNIT__Bbtu" localSheetId="0">#REF!</definedName>
    <definedName name="UNIT__Bbtu" localSheetId="1">#REF!</definedName>
    <definedName name="UNIT__Bbtu">#REF!</definedName>
    <definedName name="UNIT__Bbtu_d" localSheetId="0">#REF!</definedName>
    <definedName name="UNIT__Bbtu_d" localSheetId="1">#REF!</definedName>
    <definedName name="UNIT__Bbtu_d">#REF!</definedName>
    <definedName name="UR">[4]level_all!$CP$2:$CY$15</definedName>
    <definedName name="VOLUME" localSheetId="0">#REF!</definedName>
    <definedName name="VOLUME" localSheetId="1">#REF!</definedName>
    <definedName name="VOLUME">#REF!</definedName>
    <definedName name="WATER" localSheetId="0">#REF!</definedName>
    <definedName name="WATER" localSheetId="1">#REF!</definedName>
    <definedName name="WATER">#REF!</definedName>
    <definedName name="WH" localSheetId="0">#REF!</definedName>
    <definedName name="WH" localSheetId="1">#REF!</definedName>
    <definedName name="WH">#REF!</definedName>
    <definedName name="wrn.A." hidden="1">{#N/A,#N/A,TRUE,"mng";#N/A,#N/A,TRUE,"snr";#N/A,#N/A,TRUE,"khl";#N/A,#N/A,TRUE,"kkc";#N/A,#N/A,TRUE,"krd";#N/A,#N/A,TRUE,"ur";#N/A,#N/A,TRUE,"srd";#N/A,#N/A,TRUE,"clb";#N/A,#N/A,TRUE,"np";#N/A,#N/A,TRUE,"rpb";#N/A,#N/A,TRUE,"blg"}</definedName>
    <definedName name="x" localSheetId="0">[3]Purchase!#REF!</definedName>
    <definedName name="x" localSheetId="1">[3]Purchase!#REF!</definedName>
    <definedName name="x">[3]Purchase!#REF!</definedName>
    <definedName name="xxx" localSheetId="0">[3]Purchase!#REF!</definedName>
    <definedName name="xxx" localSheetId="1">[3]Purchase!#REF!</definedName>
    <definedName name="xxx">[3]Purchase!#REF!</definedName>
    <definedName name="ZeroRef">[5]Invent.!$B$6</definedName>
    <definedName name="น้ำระบาย" localSheetId="0">#REF!</definedName>
    <definedName name="น้ำระบาย" localSheetId="1">#REF!</definedName>
    <definedName name="น้ำระบาย">#REF!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81" i="2" l="1"/>
  <c r="F180" i="2"/>
  <c r="E180" i="2"/>
  <c r="AM177" i="2"/>
  <c r="AL177" i="2"/>
  <c r="AK177" i="2"/>
  <c r="AJ177" i="2"/>
  <c r="AI177" i="2"/>
  <c r="AH177" i="2"/>
  <c r="AG177" i="2"/>
  <c r="AF177" i="2"/>
  <c r="AE177" i="2"/>
  <c r="AD177" i="2"/>
  <c r="AC177" i="2"/>
  <c r="AB177" i="2"/>
  <c r="AA177" i="2"/>
  <c r="Z177" i="2"/>
  <c r="Y177" i="2"/>
  <c r="X177" i="2"/>
  <c r="W177" i="2"/>
  <c r="AM176" i="2"/>
  <c r="AL176" i="2"/>
  <c r="AK176" i="2"/>
  <c r="AJ176" i="2"/>
  <c r="AI176" i="2"/>
  <c r="AH176" i="2"/>
  <c r="AG176" i="2"/>
  <c r="AF176" i="2"/>
  <c r="AE176" i="2"/>
  <c r="AD176" i="2"/>
  <c r="AC176" i="2"/>
  <c r="AB176" i="2"/>
  <c r="AA176" i="2"/>
  <c r="Z176" i="2"/>
  <c r="Y176" i="2"/>
  <c r="X176" i="2"/>
  <c r="W176" i="2"/>
  <c r="AM175" i="2"/>
  <c r="AL175" i="2"/>
  <c r="AK175" i="2"/>
  <c r="AJ175" i="2"/>
  <c r="AI175" i="2"/>
  <c r="AH175" i="2"/>
  <c r="AG175" i="2"/>
  <c r="AF175" i="2"/>
  <c r="AE175" i="2"/>
  <c r="AD175" i="2"/>
  <c r="AC175" i="2"/>
  <c r="AB175" i="2"/>
  <c r="AA175" i="2"/>
  <c r="Z175" i="2"/>
  <c r="Y175" i="2"/>
  <c r="AO175" i="2" s="1"/>
  <c r="X175" i="2"/>
  <c r="W175" i="2"/>
  <c r="AM174" i="2"/>
  <c r="AL174" i="2"/>
  <c r="AK174" i="2"/>
  <c r="AJ174" i="2"/>
  <c r="AI174" i="2"/>
  <c r="AH174" i="2"/>
  <c r="AG174" i="2"/>
  <c r="AF174" i="2"/>
  <c r="AE174" i="2"/>
  <c r="AD174" i="2"/>
  <c r="AC174" i="2"/>
  <c r="AB174" i="2"/>
  <c r="AA174" i="2"/>
  <c r="Z174" i="2"/>
  <c r="Y174" i="2"/>
  <c r="X174" i="2"/>
  <c r="W174" i="2"/>
  <c r="V174" i="2"/>
  <c r="U174" i="2"/>
  <c r="T174" i="2"/>
  <c r="AM173" i="2"/>
  <c r="AL173" i="2"/>
  <c r="AK173" i="2"/>
  <c r="AJ173" i="2"/>
  <c r="AI173" i="2"/>
  <c r="AH173" i="2"/>
  <c r="AG173" i="2"/>
  <c r="AF173" i="2"/>
  <c r="AE173" i="2"/>
  <c r="AD173" i="2"/>
  <c r="AC173" i="2"/>
  <c r="AB173" i="2"/>
  <c r="AA173" i="2"/>
  <c r="Y173" i="2"/>
  <c r="V173" i="2"/>
  <c r="U173" i="2"/>
  <c r="T173" i="2"/>
  <c r="R173" i="2"/>
  <c r="Q173" i="2"/>
  <c r="P173" i="2"/>
  <c r="O173" i="2"/>
  <c r="L173" i="2"/>
  <c r="K173" i="2"/>
  <c r="J173" i="2"/>
  <c r="I173" i="2"/>
  <c r="AM172" i="2"/>
  <c r="AL172" i="2"/>
  <c r="AK172" i="2"/>
  <c r="AJ172" i="2"/>
  <c r="AI172" i="2"/>
  <c r="AH172" i="2"/>
  <c r="AG172" i="2"/>
  <c r="AF172" i="2"/>
  <c r="AE172" i="2"/>
  <c r="AD172" i="2"/>
  <c r="AC172" i="2"/>
  <c r="AB172" i="2"/>
  <c r="AA172" i="2"/>
  <c r="Z172" i="2"/>
  <c r="Y172" i="2"/>
  <c r="X172" i="2"/>
  <c r="W172" i="2"/>
  <c r="V172" i="2"/>
  <c r="U172" i="2"/>
  <c r="T172" i="2"/>
  <c r="S172" i="2"/>
  <c r="R172" i="2"/>
  <c r="Q172" i="2"/>
  <c r="P172" i="2"/>
  <c r="O172" i="2"/>
  <c r="N172" i="2"/>
  <c r="M172" i="2"/>
  <c r="L172" i="2"/>
  <c r="K172" i="2"/>
  <c r="J172" i="2"/>
  <c r="I172" i="2"/>
  <c r="AM171" i="2"/>
  <c r="AL171" i="2"/>
  <c r="AK171" i="2"/>
  <c r="AJ171" i="2"/>
  <c r="AI171" i="2"/>
  <c r="AH171" i="2"/>
  <c r="AG171" i="2"/>
  <c r="AF171" i="2"/>
  <c r="AE171" i="2"/>
  <c r="AD171" i="2"/>
  <c r="AC171" i="2"/>
  <c r="AB171" i="2"/>
  <c r="AA171" i="2"/>
  <c r="Y171" i="2"/>
  <c r="X171" i="2"/>
  <c r="W171" i="2"/>
  <c r="V171" i="2"/>
  <c r="U171" i="2"/>
  <c r="T171" i="2"/>
  <c r="S171" i="2"/>
  <c r="R171" i="2"/>
  <c r="Q171" i="2"/>
  <c r="P171" i="2"/>
  <c r="O171" i="2"/>
  <c r="N171" i="2"/>
  <c r="M171" i="2"/>
  <c r="L171" i="2"/>
  <c r="K171" i="2"/>
  <c r="J171" i="2"/>
  <c r="I171" i="2"/>
  <c r="AM168" i="2"/>
  <c r="AL168" i="2"/>
  <c r="AK168" i="2"/>
  <c r="AJ168" i="2"/>
  <c r="AI168" i="2"/>
  <c r="AH168" i="2"/>
  <c r="AG168" i="2"/>
  <c r="AF168" i="2"/>
  <c r="AE168" i="2"/>
  <c r="AD168" i="2"/>
  <c r="AC168" i="2"/>
  <c r="AB168" i="2"/>
  <c r="AA168" i="2"/>
  <c r="U168" i="2"/>
  <c r="T168" i="2"/>
  <c r="S168" i="2"/>
  <c r="R168" i="2"/>
  <c r="Q168" i="2"/>
  <c r="P168" i="2"/>
  <c r="O168" i="2"/>
  <c r="L168" i="2"/>
  <c r="K168" i="2"/>
  <c r="J168" i="2"/>
  <c r="I168" i="2"/>
  <c r="E168" i="2"/>
  <c r="AM166" i="2"/>
  <c r="AL166" i="2"/>
  <c r="AK166" i="2"/>
  <c r="AJ166" i="2"/>
  <c r="AI166" i="2"/>
  <c r="AH166" i="2"/>
  <c r="AG166" i="2"/>
  <c r="AF166" i="2"/>
  <c r="AE166" i="2"/>
  <c r="AD166" i="2"/>
  <c r="AC166" i="2"/>
  <c r="AB166" i="2"/>
  <c r="AA166" i="2"/>
  <c r="Z166" i="2"/>
  <c r="Y166" i="2"/>
  <c r="X166" i="2"/>
  <c r="W166" i="2"/>
  <c r="V166" i="2"/>
  <c r="U166" i="2"/>
  <c r="T166" i="2"/>
  <c r="S166" i="2"/>
  <c r="R166" i="2"/>
  <c r="Q166" i="2"/>
  <c r="P166" i="2"/>
  <c r="O166" i="2"/>
  <c r="N166" i="2"/>
  <c r="M166" i="2"/>
  <c r="L166" i="2"/>
  <c r="K166" i="2"/>
  <c r="J166" i="2"/>
  <c r="I166" i="2"/>
  <c r="AM164" i="2"/>
  <c r="AL164" i="2"/>
  <c r="AK164" i="2"/>
  <c r="AJ164" i="2"/>
  <c r="AI164" i="2"/>
  <c r="AH164" i="2"/>
  <c r="AG164" i="2"/>
  <c r="AF164" i="2"/>
  <c r="AE164" i="2"/>
  <c r="AD164" i="2"/>
  <c r="AC164" i="2"/>
  <c r="AB164" i="2"/>
  <c r="AA164" i="2"/>
  <c r="Y164" i="2"/>
  <c r="U164" i="2"/>
  <c r="T164" i="2"/>
  <c r="R164" i="2"/>
  <c r="Q164" i="2"/>
  <c r="P164" i="2"/>
  <c r="O164" i="2"/>
  <c r="N164" i="2"/>
  <c r="L164" i="2"/>
  <c r="K164" i="2"/>
  <c r="J164" i="2"/>
  <c r="I164" i="2"/>
  <c r="AI162" i="2"/>
  <c r="AH162" i="2"/>
  <c r="AE162" i="2"/>
  <c r="U162" i="2"/>
  <c r="T162" i="2"/>
  <c r="S162" i="2"/>
  <c r="R162" i="2"/>
  <c r="Q162" i="2"/>
  <c r="P162" i="2"/>
  <c r="M162" i="2"/>
  <c r="L162" i="2"/>
  <c r="K162" i="2"/>
  <c r="J162" i="2"/>
  <c r="I162" i="2"/>
  <c r="H162" i="2"/>
  <c r="F162" i="2"/>
  <c r="E162" i="2"/>
  <c r="N161" i="2"/>
  <c r="M161" i="2"/>
  <c r="J161" i="2"/>
  <c r="E161" i="2"/>
  <c r="J160" i="2"/>
  <c r="AM158" i="2"/>
  <c r="AM183" i="2" s="1"/>
  <c r="AL158" i="2"/>
  <c r="AL183" i="2" s="1"/>
  <c r="AK158" i="2"/>
  <c r="AK183" i="2" s="1"/>
  <c r="AJ158" i="2"/>
  <c r="AJ183" i="2" s="1"/>
  <c r="AI158" i="2"/>
  <c r="AI183" i="2" s="1"/>
  <c r="AH158" i="2"/>
  <c r="AH183" i="2" s="1"/>
  <c r="AG158" i="2"/>
  <c r="AG183" i="2" s="1"/>
  <c r="AF158" i="2"/>
  <c r="AF183" i="2" s="1"/>
  <c r="AE158" i="2"/>
  <c r="AE183" i="2" s="1"/>
  <c r="AD158" i="2"/>
  <c r="AD183" i="2" s="1"/>
  <c r="AC158" i="2"/>
  <c r="AC183" i="2" s="1"/>
  <c r="AB158" i="2"/>
  <c r="AB183" i="2" s="1"/>
  <c r="AA158" i="2"/>
  <c r="AA183" i="2" s="1"/>
  <c r="Z158" i="2"/>
  <c r="Z183" i="2" s="1"/>
  <c r="Y158" i="2"/>
  <c r="Y183" i="2" s="1"/>
  <c r="X158" i="2"/>
  <c r="X183" i="2" s="1"/>
  <c r="W158" i="2"/>
  <c r="W183" i="2" s="1"/>
  <c r="V158" i="2"/>
  <c r="V183" i="2" s="1"/>
  <c r="U158" i="2"/>
  <c r="U183" i="2" s="1"/>
  <c r="T158" i="2"/>
  <c r="T183" i="2" s="1"/>
  <c r="S158" i="2"/>
  <c r="S183" i="2" s="1"/>
  <c r="R158" i="2"/>
  <c r="R183" i="2" s="1"/>
  <c r="Q158" i="2"/>
  <c r="Q183" i="2" s="1"/>
  <c r="P158" i="2"/>
  <c r="P183" i="2" s="1"/>
  <c r="O158" i="2"/>
  <c r="O183" i="2" s="1"/>
  <c r="N158" i="2"/>
  <c r="N183" i="2" s="1"/>
  <c r="M158" i="2"/>
  <c r="M183" i="2" s="1"/>
  <c r="L158" i="2"/>
  <c r="L183" i="2" s="1"/>
  <c r="K158" i="2"/>
  <c r="K183" i="2" s="1"/>
  <c r="J158" i="2"/>
  <c r="J183" i="2" s="1"/>
  <c r="I158" i="2"/>
  <c r="I183" i="2" s="1"/>
  <c r="H158" i="2"/>
  <c r="H183" i="2" s="1"/>
  <c r="G158" i="2"/>
  <c r="G183" i="2" s="1"/>
  <c r="F158" i="2"/>
  <c r="F183" i="2" s="1"/>
  <c r="E158" i="2"/>
  <c r="E183" i="2" s="1"/>
  <c r="AM157" i="2"/>
  <c r="AM182" i="2" s="1"/>
  <c r="AL157" i="2"/>
  <c r="AL182" i="2" s="1"/>
  <c r="AK157" i="2"/>
  <c r="AK182" i="2" s="1"/>
  <c r="AJ157" i="2"/>
  <c r="AJ182" i="2" s="1"/>
  <c r="AI157" i="2"/>
  <c r="AI182" i="2" s="1"/>
  <c r="AH157" i="2"/>
  <c r="AH182" i="2" s="1"/>
  <c r="AG157" i="2"/>
  <c r="AG182" i="2" s="1"/>
  <c r="AF157" i="2"/>
  <c r="AF182" i="2" s="1"/>
  <c r="AE157" i="2"/>
  <c r="AE182" i="2" s="1"/>
  <c r="AD157" i="2"/>
  <c r="AD182" i="2" s="1"/>
  <c r="AC157" i="2"/>
  <c r="AC182" i="2" s="1"/>
  <c r="AB157" i="2"/>
  <c r="AB182" i="2" s="1"/>
  <c r="AA157" i="2"/>
  <c r="AA182" i="2" s="1"/>
  <c r="Z157" i="2"/>
  <c r="Z182" i="2" s="1"/>
  <c r="Y157" i="2"/>
  <c r="Y182" i="2" s="1"/>
  <c r="X157" i="2"/>
  <c r="X182" i="2" s="1"/>
  <c r="W157" i="2"/>
  <c r="W182" i="2" s="1"/>
  <c r="V157" i="2"/>
  <c r="V182" i="2" s="1"/>
  <c r="U157" i="2"/>
  <c r="U182" i="2" s="1"/>
  <c r="T157" i="2"/>
  <c r="T182" i="2" s="1"/>
  <c r="S157" i="2"/>
  <c r="S182" i="2" s="1"/>
  <c r="R157" i="2"/>
  <c r="R182" i="2" s="1"/>
  <c r="Q157" i="2"/>
  <c r="Q182" i="2" s="1"/>
  <c r="P157" i="2"/>
  <c r="P182" i="2" s="1"/>
  <c r="O157" i="2"/>
  <c r="O182" i="2" s="1"/>
  <c r="N157" i="2"/>
  <c r="N182" i="2" s="1"/>
  <c r="M157" i="2"/>
  <c r="M182" i="2" s="1"/>
  <c r="L157" i="2"/>
  <c r="L182" i="2" s="1"/>
  <c r="K157" i="2"/>
  <c r="K182" i="2" s="1"/>
  <c r="J157" i="2"/>
  <c r="J182" i="2" s="1"/>
  <c r="I157" i="2"/>
  <c r="I182" i="2" s="1"/>
  <c r="H157" i="2"/>
  <c r="H182" i="2" s="1"/>
  <c r="G157" i="2"/>
  <c r="G182" i="2" s="1"/>
  <c r="F157" i="2"/>
  <c r="F182" i="2" s="1"/>
  <c r="E157" i="2"/>
  <c r="E182" i="2" s="1"/>
  <c r="Z155" i="2"/>
  <c r="S155" i="2"/>
  <c r="N155" i="2"/>
  <c r="M155" i="2"/>
  <c r="AM153" i="2"/>
  <c r="AM181" i="2" s="1"/>
  <c r="AL153" i="2"/>
  <c r="AK153" i="2"/>
  <c r="AJ153" i="2"/>
  <c r="AJ181" i="2" s="1"/>
  <c r="AI153" i="2"/>
  <c r="AI181" i="2" s="1"/>
  <c r="AH153" i="2"/>
  <c r="AG153" i="2"/>
  <c r="AF153" i="2"/>
  <c r="AF181" i="2" s="1"/>
  <c r="AE153" i="2"/>
  <c r="AE181" i="2" s="1"/>
  <c r="AD153" i="2"/>
  <c r="AC153" i="2"/>
  <c r="AB153" i="2"/>
  <c r="AB181" i="2" s="1"/>
  <c r="AA153" i="2"/>
  <c r="AA181" i="2" s="1"/>
  <c r="Y153" i="2"/>
  <c r="X153" i="2"/>
  <c r="X181" i="2" s="1"/>
  <c r="W153" i="2"/>
  <c r="W181" i="2" s="1"/>
  <c r="U153" i="2"/>
  <c r="T153" i="2"/>
  <c r="T181" i="2" s="1"/>
  <c r="R153" i="2"/>
  <c r="Q153" i="2"/>
  <c r="P153" i="2"/>
  <c r="P181" i="2" s="1"/>
  <c r="L153" i="2"/>
  <c r="L181" i="2" s="1"/>
  <c r="K153" i="2"/>
  <c r="K181" i="2" s="1"/>
  <c r="J153" i="2"/>
  <c r="I153" i="2"/>
  <c r="H153" i="2"/>
  <c r="H181" i="2" s="1"/>
  <c r="G153" i="2"/>
  <c r="G181" i="2" s="1"/>
  <c r="F153" i="2"/>
  <c r="F181" i="2" s="1"/>
  <c r="E153" i="2"/>
  <c r="E181" i="2" s="1"/>
  <c r="X144" i="2"/>
  <c r="S136" i="2"/>
  <c r="S164" i="2" s="1"/>
  <c r="AM135" i="2"/>
  <c r="AL135" i="2"/>
  <c r="AL92" i="2" s="1"/>
  <c r="AK135" i="2"/>
  <c r="AK180" i="2" s="1"/>
  <c r="AJ135" i="2"/>
  <c r="AJ92" i="2" s="1"/>
  <c r="AI135" i="2"/>
  <c r="AH135" i="2"/>
  <c r="AH165" i="2" s="1"/>
  <c r="AG135" i="2"/>
  <c r="AG180" i="2" s="1"/>
  <c r="AF135" i="2"/>
  <c r="AF92" i="2" s="1"/>
  <c r="AE135" i="2"/>
  <c r="AE165" i="2" s="1"/>
  <c r="AD135" i="2"/>
  <c r="AD165" i="2" s="1"/>
  <c r="AC135" i="2"/>
  <c r="AC180" i="2" s="1"/>
  <c r="AB135" i="2"/>
  <c r="AB92" i="2" s="1"/>
  <c r="AA135" i="2"/>
  <c r="AA165" i="2" s="1"/>
  <c r="Y135" i="2"/>
  <c r="Y180" i="2" s="1"/>
  <c r="X135" i="2"/>
  <c r="X91" i="2" s="1"/>
  <c r="W135" i="2"/>
  <c r="W165" i="2" s="1"/>
  <c r="V135" i="2"/>
  <c r="V180" i="2" s="1"/>
  <c r="U135" i="2"/>
  <c r="U169" i="2" s="1"/>
  <c r="U170" i="2" s="1"/>
  <c r="T135" i="2"/>
  <c r="T91" i="2" s="1"/>
  <c r="S135" i="2"/>
  <c r="S165" i="2" s="1"/>
  <c r="R135" i="2"/>
  <c r="R165" i="2" s="1"/>
  <c r="Q135" i="2"/>
  <c r="Q165" i="2" s="1"/>
  <c r="P135" i="2"/>
  <c r="P90" i="2" s="1"/>
  <c r="O135" i="2"/>
  <c r="O165" i="2" s="1"/>
  <c r="N135" i="2"/>
  <c r="N180" i="2" s="1"/>
  <c r="L135" i="2"/>
  <c r="K135" i="2"/>
  <c r="K165" i="2" s="1"/>
  <c r="J135" i="2"/>
  <c r="J165" i="2" s="1"/>
  <c r="I135" i="2"/>
  <c r="I180" i="2" s="1"/>
  <c r="H135" i="2"/>
  <c r="H180" i="2" s="1"/>
  <c r="G135" i="2"/>
  <c r="G180" i="2" s="1"/>
  <c r="AM134" i="2"/>
  <c r="AM163" i="2" s="1"/>
  <c r="AL134" i="2"/>
  <c r="AK134" i="2"/>
  <c r="AJ134" i="2"/>
  <c r="AI134" i="2"/>
  <c r="AI163" i="2" s="1"/>
  <c r="AH134" i="2"/>
  <c r="AG134" i="2"/>
  <c r="AF134" i="2"/>
  <c r="AE134" i="2"/>
  <c r="AE163" i="2" s="1"/>
  <c r="AD134" i="2"/>
  <c r="AC134" i="2"/>
  <c r="AB134" i="2"/>
  <c r="AB90" i="2" s="1"/>
  <c r="AA134" i="2"/>
  <c r="AA163" i="2" s="1"/>
  <c r="Y134" i="2"/>
  <c r="Z133" i="2"/>
  <c r="Z134" i="2" s="1"/>
  <c r="X133" i="2"/>
  <c r="O132" i="2"/>
  <c r="O163" i="2" s="1"/>
  <c r="Z121" i="2"/>
  <c r="X121" i="2"/>
  <c r="W121" i="2"/>
  <c r="M121" i="2"/>
  <c r="M53" i="2" s="1"/>
  <c r="AO112" i="2"/>
  <c r="Z111" i="2"/>
  <c r="Z171" i="2" s="1"/>
  <c r="V109" i="2"/>
  <c r="V164" i="2" s="1"/>
  <c r="H108" i="2"/>
  <c r="H168" i="2" s="1"/>
  <c r="Z107" i="2"/>
  <c r="Y107" i="2"/>
  <c r="Y168" i="2" s="1"/>
  <c r="V107" i="2"/>
  <c r="V90" i="2" s="1"/>
  <c r="N107" i="2"/>
  <c r="G107" i="2"/>
  <c r="G168" i="2" s="1"/>
  <c r="F107" i="2"/>
  <c r="F168" i="2" s="1"/>
  <c r="AO105" i="2"/>
  <c r="AA104" i="2"/>
  <c r="AO104" i="2" s="1"/>
  <c r="Z103" i="2"/>
  <c r="Z162" i="2" s="1"/>
  <c r="Y103" i="2"/>
  <c r="AO103" i="2" s="1"/>
  <c r="X103" i="2"/>
  <c r="O103" i="2"/>
  <c r="O162" i="2" s="1"/>
  <c r="N103" i="2"/>
  <c r="N162" i="2" s="1"/>
  <c r="N160" i="2" s="1"/>
  <c r="G103" i="2"/>
  <c r="G162" i="2" s="1"/>
  <c r="AM102" i="2"/>
  <c r="AM162" i="2" s="1"/>
  <c r="AL102" i="2"/>
  <c r="AL162" i="2" s="1"/>
  <c r="AK102" i="2"/>
  <c r="AK162" i="2" s="1"/>
  <c r="AJ102" i="2"/>
  <c r="AJ162" i="2" s="1"/>
  <c r="AG102" i="2"/>
  <c r="AG162" i="2" s="1"/>
  <c r="AF102" i="2"/>
  <c r="AF162" i="2" s="1"/>
  <c r="AD102" i="2"/>
  <c r="AD162" i="2" s="1"/>
  <c r="AC102" i="2"/>
  <c r="AC162" i="2" s="1"/>
  <c r="AB102" i="2"/>
  <c r="AB162" i="2" s="1"/>
  <c r="AA102" i="2"/>
  <c r="AA162" i="2" s="1"/>
  <c r="Y102" i="2"/>
  <c r="W102" i="2"/>
  <c r="W162" i="2" s="1"/>
  <c r="V102" i="2"/>
  <c r="V162" i="2" s="1"/>
  <c r="Z101" i="2"/>
  <c r="AO101" i="2" s="1"/>
  <c r="P101" i="2"/>
  <c r="P178" i="2" s="1"/>
  <c r="O101" i="2"/>
  <c r="O178" i="2" s="1"/>
  <c r="I101" i="2"/>
  <c r="H101" i="2"/>
  <c r="G101" i="2"/>
  <c r="G161" i="2" s="1"/>
  <c r="AO100" i="2"/>
  <c r="Z99" i="2"/>
  <c r="AO99" i="2" s="1"/>
  <c r="AA98" i="2"/>
  <c r="AA95" i="2" s="1"/>
  <c r="Z98" i="2"/>
  <c r="Y98" i="2"/>
  <c r="T98" i="2"/>
  <c r="T178" i="2" s="1"/>
  <c r="S98" i="2"/>
  <c r="S178" i="2" s="1"/>
  <c r="AM97" i="2"/>
  <c r="AL97" i="2"/>
  <c r="AK97" i="2"/>
  <c r="AJ97" i="2"/>
  <c r="AJ19" i="2" s="1"/>
  <c r="AI97" i="2"/>
  <c r="AH97" i="2"/>
  <c r="AG97" i="2"/>
  <c r="AF97" i="2"/>
  <c r="AF178" i="2" s="1"/>
  <c r="AE97" i="2"/>
  <c r="AD97" i="2"/>
  <c r="AC97" i="2"/>
  <c r="AB97" i="2"/>
  <c r="AB161" i="2" s="1"/>
  <c r="AB160" i="2" s="1"/>
  <c r="AA97" i="2"/>
  <c r="Z97" i="2"/>
  <c r="Z161" i="2" s="1"/>
  <c r="Y97" i="2"/>
  <c r="Y95" i="2" s="1"/>
  <c r="W97" i="2"/>
  <c r="W19" i="2" s="1"/>
  <c r="AM96" i="2"/>
  <c r="AL96" i="2"/>
  <c r="AK96" i="2"/>
  <c r="AJ96" i="2"/>
  <c r="AI96" i="2"/>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F96" i="2"/>
  <c r="E96" i="2"/>
  <c r="E178" i="2" s="1"/>
  <c r="AM95" i="2"/>
  <c r="AI95" i="2"/>
  <c r="AG95" i="2"/>
  <c r="AE95" i="2"/>
  <c r="AC95" i="2"/>
  <c r="AB95" i="2"/>
  <c r="X95" i="2"/>
  <c r="X161" i="2" s="1"/>
  <c r="W95" i="2"/>
  <c r="W161" i="2" s="1"/>
  <c r="W160" i="2" s="1"/>
  <c r="V95" i="2"/>
  <c r="V161" i="2" s="1"/>
  <c r="V160" i="2" s="1"/>
  <c r="U95" i="2"/>
  <c r="U161" i="2" s="1"/>
  <c r="U160" i="2" s="1"/>
  <c r="T95" i="2"/>
  <c r="T161" i="2" s="1"/>
  <c r="T160" i="2" s="1"/>
  <c r="S95" i="2"/>
  <c r="S161" i="2" s="1"/>
  <c r="S160" i="2" s="1"/>
  <c r="R95" i="2"/>
  <c r="R161" i="2" s="1"/>
  <c r="Q95" i="2"/>
  <c r="Q161" i="2" s="1"/>
  <c r="Q160" i="2" s="1"/>
  <c r="P95" i="2"/>
  <c r="P161" i="2" s="1"/>
  <c r="P160" i="2" s="1"/>
  <c r="L95" i="2"/>
  <c r="L161" i="2" s="1"/>
  <c r="L160" i="2" s="1"/>
  <c r="K95" i="2"/>
  <c r="K161" i="2" s="1"/>
  <c r="K160" i="2" s="1"/>
  <c r="I95" i="2"/>
  <c r="I161" i="2" s="1"/>
  <c r="H95" i="2"/>
  <c r="F95" i="2"/>
  <c r="AM94" i="2"/>
  <c r="AL94" i="2"/>
  <c r="AK94" i="2"/>
  <c r="AJ94" i="2"/>
  <c r="AI94" i="2"/>
  <c r="AH94" i="2"/>
  <c r="AG94" i="2"/>
  <c r="AF94" i="2"/>
  <c r="AD94" i="2"/>
  <c r="AC94" i="2"/>
  <c r="AA94" i="2"/>
  <c r="Z94" i="2"/>
  <c r="Y94" i="2"/>
  <c r="AE93" i="2"/>
  <c r="AB93" i="2"/>
  <c r="AM92" i="2"/>
  <c r="AI92" i="2"/>
  <c r="AE92" i="2"/>
  <c r="AA92" i="2"/>
  <c r="V92" i="2"/>
  <c r="R92" i="2"/>
  <c r="N92" i="2"/>
  <c r="AM91" i="2"/>
  <c r="AL91" i="2"/>
  <c r="AK91" i="2"/>
  <c r="AJ91" i="2"/>
  <c r="AI91" i="2"/>
  <c r="AH91" i="2"/>
  <c r="AG91" i="2"/>
  <c r="AF91" i="2"/>
  <c r="AE91" i="2"/>
  <c r="AD91" i="2"/>
  <c r="AC91" i="2"/>
  <c r="AB91" i="2"/>
  <c r="AA91" i="2"/>
  <c r="U91" i="2"/>
  <c r="Q91" i="2"/>
  <c r="P91" i="2"/>
  <c r="O91" i="2"/>
  <c r="N91" i="2"/>
  <c r="AL90" i="2"/>
  <c r="AH90" i="2"/>
  <c r="AD90" i="2"/>
  <c r="X90" i="2"/>
  <c r="U90" i="2"/>
  <c r="T90" i="2"/>
  <c r="Q90" i="2"/>
  <c r="N90" i="2"/>
  <c r="K90" i="2"/>
  <c r="AG87" i="2"/>
  <c r="AC87" i="2"/>
  <c r="AG85" i="2"/>
  <c r="AM84" i="2"/>
  <c r="AL84" i="2"/>
  <c r="AL87" i="2" s="1"/>
  <c r="AK84" i="2"/>
  <c r="AK87" i="2" s="1"/>
  <c r="AJ84" i="2"/>
  <c r="AJ85" i="2" s="1"/>
  <c r="AJ88" i="2" s="1"/>
  <c r="AI84" i="2"/>
  <c r="AH84" i="2"/>
  <c r="AH87" i="2" s="1"/>
  <c r="AG84" i="2"/>
  <c r="AF84" i="2"/>
  <c r="AF85" i="2" s="1"/>
  <c r="AF88" i="2" s="1"/>
  <c r="AE84" i="2"/>
  <c r="AD84" i="2"/>
  <c r="AD87" i="2" s="1"/>
  <c r="AC84" i="2"/>
  <c r="AC85" i="2" s="1"/>
  <c r="AB84" i="2"/>
  <c r="AB85" i="2" s="1"/>
  <c r="AB88" i="2" s="1"/>
  <c r="AA84" i="2"/>
  <c r="Z84" i="2"/>
  <c r="Z87" i="2" s="1"/>
  <c r="X84" i="2"/>
  <c r="U84" i="2"/>
  <c r="T84" i="2"/>
  <c r="Q84" i="2"/>
  <c r="P84" i="2"/>
  <c r="O84" i="2"/>
  <c r="N84" i="2"/>
  <c r="M84" i="2"/>
  <c r="K84" i="2"/>
  <c r="AM78" i="2"/>
  <c r="AM81" i="2" s="1"/>
  <c r="AL78" i="2"/>
  <c r="AL81" i="2" s="1"/>
  <c r="AK78" i="2"/>
  <c r="AK81" i="2" s="1"/>
  <c r="AJ78" i="2"/>
  <c r="AJ81" i="2" s="1"/>
  <c r="AI78" i="2"/>
  <c r="AI81" i="2" s="1"/>
  <c r="AH78" i="2"/>
  <c r="AH81" i="2" s="1"/>
  <c r="AG78" i="2"/>
  <c r="AG81" i="2" s="1"/>
  <c r="AF78" i="2"/>
  <c r="AF81" i="2" s="1"/>
  <c r="AE78" i="2"/>
  <c r="AE81" i="2" s="1"/>
  <c r="AD78" i="2"/>
  <c r="AD81" i="2" s="1"/>
  <c r="AC78" i="2"/>
  <c r="AC81" i="2" s="1"/>
  <c r="AB78" i="2"/>
  <c r="AB81" i="2" s="1"/>
  <c r="AA78" i="2"/>
  <c r="AA81" i="2" s="1"/>
  <c r="Z78" i="2"/>
  <c r="Z81" i="2" s="1"/>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AM74" i="2"/>
  <c r="AL74" i="2"/>
  <c r="AK74" i="2"/>
  <c r="AJ74" i="2"/>
  <c r="AI74" i="2"/>
  <c r="AH74" i="2"/>
  <c r="AG74" i="2"/>
  <c r="AF74" i="2"/>
  <c r="AE74" i="2"/>
  <c r="AD74" i="2"/>
  <c r="AC74" i="2"/>
  <c r="AB74" i="2"/>
  <c r="AA74" i="2"/>
  <c r="Y74" i="2"/>
  <c r="X74" i="2"/>
  <c r="W74" i="2"/>
  <c r="U74" i="2"/>
  <c r="T74" i="2"/>
  <c r="S74" i="2"/>
  <c r="R74" i="2"/>
  <c r="Q74" i="2"/>
  <c r="P74" i="2"/>
  <c r="O74" i="2"/>
  <c r="N74" i="2"/>
  <c r="M74" i="2"/>
  <c r="L74" i="2"/>
  <c r="K74" i="2"/>
  <c r="J74" i="2"/>
  <c r="I74" i="2"/>
  <c r="H74" i="2"/>
  <c r="G74" i="2"/>
  <c r="F74" i="2"/>
  <c r="E74" i="2"/>
  <c r="AM73" i="2"/>
  <c r="AL73" i="2"/>
  <c r="AK73" i="2"/>
  <c r="AJ73" i="2"/>
  <c r="AI73" i="2"/>
  <c r="AH73" i="2"/>
  <c r="AG73" i="2"/>
  <c r="AF73" i="2"/>
  <c r="AE73" i="2"/>
  <c r="AD73" i="2"/>
  <c r="AC73" i="2"/>
  <c r="AB73" i="2"/>
  <c r="AA73" i="2"/>
  <c r="Y73" i="2"/>
  <c r="X73" i="2"/>
  <c r="W73" i="2"/>
  <c r="V73" i="2"/>
  <c r="U73" i="2"/>
  <c r="T73" i="2"/>
  <c r="S73" i="2"/>
  <c r="R73" i="2"/>
  <c r="Q73" i="2"/>
  <c r="P73" i="2"/>
  <c r="O73" i="2"/>
  <c r="N73" i="2"/>
  <c r="L73" i="2"/>
  <c r="K73" i="2"/>
  <c r="J73" i="2"/>
  <c r="I73" i="2"/>
  <c r="H73" i="2"/>
  <c r="G73" i="2"/>
  <c r="F73" i="2"/>
  <c r="E73" i="2"/>
  <c r="AM72" i="2"/>
  <c r="AL72" i="2"/>
  <c r="AK72" i="2"/>
  <c r="AK77" i="2" s="1"/>
  <c r="AJ72" i="2"/>
  <c r="AJ77" i="2" s="1"/>
  <c r="AI72" i="2"/>
  <c r="AH72" i="2"/>
  <c r="AG72" i="2"/>
  <c r="AG77" i="2" s="1"/>
  <c r="AF72" i="2"/>
  <c r="AF77" i="2" s="1"/>
  <c r="AE72" i="2"/>
  <c r="AD72" i="2"/>
  <c r="AC72" i="2"/>
  <c r="AC77" i="2" s="1"/>
  <c r="AB72" i="2"/>
  <c r="AB77" i="2" s="1"/>
  <c r="AA72" i="2"/>
  <c r="Z72" i="2"/>
  <c r="Y72" i="2"/>
  <c r="X72" i="2"/>
  <c r="X77" i="2" s="1"/>
  <c r="W72" i="2"/>
  <c r="V72" i="2"/>
  <c r="U72" i="2"/>
  <c r="U77" i="2" s="1"/>
  <c r="T72" i="2"/>
  <c r="T77" i="2" s="1"/>
  <c r="R72" i="2"/>
  <c r="Q72" i="2"/>
  <c r="P72" i="2"/>
  <c r="O72" i="2"/>
  <c r="O77" i="2" s="1"/>
  <c r="N72" i="2"/>
  <c r="M72" i="2"/>
  <c r="L72" i="2"/>
  <c r="K72" i="2"/>
  <c r="K77" i="2" s="1"/>
  <c r="J72" i="2"/>
  <c r="I72" i="2"/>
  <c r="H72" i="2"/>
  <c r="G72" i="2"/>
  <c r="G77" i="2" s="1"/>
  <c r="F72" i="2"/>
  <c r="E72" i="2"/>
  <c r="Q69" i="2"/>
  <c r="AM68" i="2"/>
  <c r="AL68" i="2"/>
  <c r="AK68" i="2"/>
  <c r="AJ68" i="2"/>
  <c r="AI68" i="2"/>
  <c r="AH68" i="2"/>
  <c r="AG68" i="2"/>
  <c r="AF68" i="2"/>
  <c r="AE68" i="2"/>
  <c r="AD68" i="2"/>
  <c r="AC68" i="2"/>
  <c r="AB68" i="2"/>
  <c r="AA68" i="2"/>
  <c r="Z68" i="2"/>
  <c r="Y68" i="2"/>
  <c r="X68" i="2"/>
  <c r="W68" i="2"/>
  <c r="V68" i="2"/>
  <c r="U68" i="2"/>
  <c r="T68" i="2"/>
  <c r="S68" i="2"/>
  <c r="R68" i="2"/>
  <c r="Q68"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AM65" i="2"/>
  <c r="AL65" i="2"/>
  <c r="AK65" i="2"/>
  <c r="AJ65" i="2"/>
  <c r="AI65" i="2"/>
  <c r="AH65" i="2"/>
  <c r="AG65" i="2"/>
  <c r="AF65" i="2"/>
  <c r="AE65" i="2"/>
  <c r="AD65" i="2"/>
  <c r="AC65" i="2"/>
  <c r="AB65" i="2"/>
  <c r="AA65" i="2"/>
  <c r="Y65" i="2"/>
  <c r="X65" i="2"/>
  <c r="W65" i="2"/>
  <c r="U65" i="2"/>
  <c r="T65" i="2"/>
  <c r="R65" i="2"/>
  <c r="Q65" i="2"/>
  <c r="P65" i="2"/>
  <c r="O65" i="2"/>
  <c r="N65" i="2"/>
  <c r="L65" i="2"/>
  <c r="K65" i="2"/>
  <c r="J65" i="2"/>
  <c r="I65" i="2"/>
  <c r="H65" i="2"/>
  <c r="G65" i="2"/>
  <c r="F65" i="2"/>
  <c r="E65" i="2"/>
  <c r="Z62" i="2"/>
  <c r="V62" i="2"/>
  <c r="V65" i="2" s="1"/>
  <c r="Z61" i="2"/>
  <c r="Z73" i="2" s="1"/>
  <c r="M61" i="2"/>
  <c r="AO59" i="2"/>
  <c r="S59" i="2"/>
  <c r="S72" i="2" s="1"/>
  <c r="AM56" i="2"/>
  <c r="AM69" i="2" s="1"/>
  <c r="AL56" i="2"/>
  <c r="AL69" i="2" s="1"/>
  <c r="AK56" i="2"/>
  <c r="AK69" i="2" s="1"/>
  <c r="AJ56" i="2"/>
  <c r="AJ69" i="2" s="1"/>
  <c r="AI56" i="2"/>
  <c r="AI69" i="2" s="1"/>
  <c r="AH56" i="2"/>
  <c r="AH69" i="2" s="1"/>
  <c r="AG56" i="2"/>
  <c r="AG69" i="2" s="1"/>
  <c r="AF56" i="2"/>
  <c r="AF69" i="2" s="1"/>
  <c r="AE56" i="2"/>
  <c r="AE69" i="2" s="1"/>
  <c r="AD56" i="2"/>
  <c r="AD69" i="2" s="1"/>
  <c r="AC56" i="2"/>
  <c r="AC69" i="2" s="1"/>
  <c r="AB56" i="2"/>
  <c r="AB69" i="2" s="1"/>
  <c r="AA56" i="2"/>
  <c r="AA69" i="2" s="1"/>
  <c r="Z56" i="2"/>
  <c r="Z69" i="2" s="1"/>
  <c r="Y56" i="2"/>
  <c r="Y69" i="2" s="1"/>
  <c r="X56" i="2"/>
  <c r="X69" i="2" s="1"/>
  <c r="W56" i="2"/>
  <c r="W69" i="2" s="1"/>
  <c r="V56" i="2"/>
  <c r="V69" i="2" s="1"/>
  <c r="U56" i="2"/>
  <c r="U69" i="2" s="1"/>
  <c r="T56" i="2"/>
  <c r="T69" i="2" s="1"/>
  <c r="R56" i="2"/>
  <c r="R69" i="2" s="1"/>
  <c r="AO55"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AM53" i="2"/>
  <c r="AI53" i="2"/>
  <c r="AG53" i="2"/>
  <c r="AE53" i="2"/>
  <c r="AB53" i="2"/>
  <c r="X53" i="2"/>
  <c r="W53" i="2"/>
  <c r="V53" i="2"/>
  <c r="U53" i="2"/>
  <c r="T53" i="2"/>
  <c r="S53" i="2"/>
  <c r="R53" i="2"/>
  <c r="Q53" i="2"/>
  <c r="P53" i="2"/>
  <c r="O53"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S43"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AM34" i="2"/>
  <c r="AL34" i="2"/>
  <c r="AK34" i="2"/>
  <c r="AJ34" i="2"/>
  <c r="AI34" i="2"/>
  <c r="AH34" i="2"/>
  <c r="AG34" i="2"/>
  <c r="AF34" i="2"/>
  <c r="AE34" i="2"/>
  <c r="AD34" i="2"/>
  <c r="AC34" i="2"/>
  <c r="AB34" i="2"/>
  <c r="AA34" i="2"/>
  <c r="Z34" i="2"/>
  <c r="Q33" i="2"/>
  <c r="P33" i="2"/>
  <c r="O33" i="2"/>
  <c r="N33" i="2"/>
  <c r="M33" i="2"/>
  <c r="L33" i="2"/>
  <c r="Z30" i="2"/>
  <c r="AM27" i="2"/>
  <c r="AL27" i="2"/>
  <c r="AK27" i="2"/>
  <c r="AJ27" i="2"/>
  <c r="AI27" i="2"/>
  <c r="AH27" i="2"/>
  <c r="AG27" i="2"/>
  <c r="AF27" i="2"/>
  <c r="AE27" i="2"/>
  <c r="AD27" i="2"/>
  <c r="AC27" i="2"/>
  <c r="AB27" i="2"/>
  <c r="AA27" i="2"/>
  <c r="Z27" i="2"/>
  <c r="Q26" i="2"/>
  <c r="P26" i="2"/>
  <c r="O26" i="2"/>
  <c r="N26" i="2"/>
  <c r="M26" i="2"/>
  <c r="L26" i="2"/>
  <c r="Y25" i="2"/>
  <c r="X25" i="2"/>
  <c r="W25" i="2"/>
  <c r="V25" i="2"/>
  <c r="U25" i="2"/>
  <c r="T25" i="2"/>
  <c r="Q25" i="2"/>
  <c r="P25" i="2"/>
  <c r="O25" i="2"/>
  <c r="N25" i="2"/>
  <c r="M25" i="2"/>
  <c r="L25" i="2"/>
  <c r="K25" i="2"/>
  <c r="J25" i="2"/>
  <c r="I25" i="2"/>
  <c r="H25" i="2"/>
  <c r="G25" i="2"/>
  <c r="F25" i="2"/>
  <c r="E25" i="2"/>
  <c r="S23" i="2"/>
  <c r="S25" i="2" s="1"/>
  <c r="R23" i="2"/>
  <c r="R25" i="2" s="1"/>
  <c r="AM21" i="2"/>
  <c r="AL21" i="2"/>
  <c r="AK21" i="2"/>
  <c r="AJ21" i="2"/>
  <c r="AI21" i="2"/>
  <c r="AH21" i="2"/>
  <c r="AG21" i="2"/>
  <c r="AF21" i="2"/>
  <c r="AE21" i="2"/>
  <c r="AD21" i="2"/>
  <c r="AC21" i="2"/>
  <c r="AB21" i="2"/>
  <c r="AA21" i="2"/>
  <c r="Z21" i="2"/>
  <c r="Y21" i="2"/>
  <c r="Q20" i="2"/>
  <c r="P20" i="2"/>
  <c r="O20" i="2"/>
  <c r="N20" i="2"/>
  <c r="M20" i="2"/>
  <c r="L20" i="2"/>
  <c r="AM19" i="2"/>
  <c r="AL19" i="2"/>
  <c r="AI19" i="2"/>
  <c r="AH19" i="2"/>
  <c r="AE19" i="2"/>
  <c r="AD19" i="2"/>
  <c r="AA19" i="2"/>
  <c r="Z19" i="2"/>
  <c r="X19" i="2"/>
  <c r="V19" i="2"/>
  <c r="U19" i="2"/>
  <c r="T19" i="2"/>
  <c r="S19" i="2"/>
  <c r="R19" i="2"/>
  <c r="Y18" i="2"/>
  <c r="X18" i="2"/>
  <c r="W18" i="2"/>
  <c r="V18" i="2"/>
  <c r="U18" i="2"/>
  <c r="T18" i="2"/>
  <c r="S18" i="2"/>
  <c r="R18" i="2"/>
  <c r="Q18" i="2"/>
  <c r="P18" i="2"/>
  <c r="O18" i="2"/>
  <c r="N18" i="2"/>
  <c r="M18" i="2"/>
  <c r="L18" i="2"/>
  <c r="K18" i="2"/>
  <c r="J18" i="2"/>
  <c r="I18" i="2"/>
  <c r="H18" i="2"/>
  <c r="G18" i="2"/>
  <c r="F18" i="2"/>
  <c r="E18" i="2"/>
  <c r="AO17" i="2"/>
  <c r="Z16" i="2"/>
  <c r="AA16" i="2" s="1"/>
  <c r="AM13" i="2"/>
  <c r="AL13" i="2"/>
  <c r="AK13" i="2"/>
  <c r="AJ13" i="2"/>
  <c r="AI13" i="2"/>
  <c r="AH13" i="2"/>
  <c r="AG13" i="2"/>
  <c r="AF13" i="2"/>
  <c r="AE13" i="2"/>
  <c r="AD13" i="2"/>
  <c r="AC13" i="2"/>
  <c r="AB13" i="2"/>
  <c r="AA13" i="2"/>
  <c r="Z13" i="2"/>
  <c r="Y13" i="2"/>
  <c r="Q12" i="2"/>
  <c r="P12" i="2"/>
  <c r="O12" i="2"/>
  <c r="N12" i="2"/>
  <c r="M12" i="2"/>
  <c r="L12" i="2"/>
  <c r="L9" i="2"/>
  <c r="Y8" i="2"/>
  <c r="W8" i="2"/>
  <c r="S8" i="2"/>
  <c r="S91" i="2" s="1"/>
  <c r="R8" i="2"/>
  <c r="L8" i="2"/>
  <c r="L91" i="2" s="1"/>
  <c r="H8" i="2"/>
  <c r="Z7" i="2"/>
  <c r="Y7" i="2"/>
  <c r="X7" i="2"/>
  <c r="W7" i="2"/>
  <c r="V7" i="2"/>
  <c r="U7" i="2"/>
  <c r="T7" i="2"/>
  <c r="S7" i="2"/>
  <c r="R7" i="2"/>
  <c r="Q7" i="2"/>
  <c r="P7" i="2"/>
  <c r="O7" i="2"/>
  <c r="N7" i="2"/>
  <c r="M7" i="2"/>
  <c r="L7" i="2"/>
  <c r="K7" i="2"/>
  <c r="J7" i="2"/>
  <c r="I7" i="2"/>
  <c r="H7" i="2"/>
  <c r="G7" i="2"/>
  <c r="F7" i="2"/>
  <c r="E7" i="2"/>
  <c r="Z2" i="2"/>
  <c r="Y2" i="2"/>
  <c r="X2" i="2"/>
  <c r="W2" i="2"/>
  <c r="V2" i="2"/>
  <c r="U2" i="2"/>
  <c r="T2" i="2"/>
  <c r="S2" i="2"/>
  <c r="R2" i="2"/>
  <c r="Q2" i="2"/>
  <c r="P2" i="2"/>
  <c r="O2" i="2"/>
  <c r="N2" i="2"/>
  <c r="M2" i="2"/>
  <c r="L2" i="2"/>
  <c r="Q30" i="1"/>
  <c r="P30" i="1"/>
  <c r="O30" i="1"/>
  <c r="N30" i="1"/>
  <c r="M30" i="1"/>
  <c r="L30" i="1"/>
  <c r="K30" i="1"/>
  <c r="J30" i="1"/>
  <c r="I30" i="1"/>
  <c r="H30" i="1"/>
  <c r="G30" i="1"/>
  <c r="F30" i="1"/>
  <c r="E30" i="1"/>
  <c r="D30" i="1"/>
  <c r="C30" i="1"/>
  <c r="D24" i="1"/>
  <c r="D25" i="1" s="1"/>
  <c r="C24" i="1"/>
  <c r="Q23" i="1"/>
  <c r="Q24" i="1" s="1"/>
  <c r="P23" i="1"/>
  <c r="P24" i="1" s="1"/>
  <c r="O23" i="1"/>
  <c r="O24" i="1" s="1"/>
  <c r="N23" i="1"/>
  <c r="N24" i="1" s="1"/>
  <c r="M23" i="1"/>
  <c r="M24" i="1" s="1"/>
  <c r="L23" i="1"/>
  <c r="L24" i="1" s="1"/>
  <c r="K23" i="1"/>
  <c r="K24" i="1" s="1"/>
  <c r="J23" i="1"/>
  <c r="J24" i="1" s="1"/>
  <c r="I23" i="1"/>
  <c r="I24" i="1" s="1"/>
  <c r="H23" i="1"/>
  <c r="H24" i="1" s="1"/>
  <c r="G23" i="1"/>
  <c r="G24" i="1" s="1"/>
  <c r="F23" i="1"/>
  <c r="F24" i="1" s="1"/>
  <c r="E23" i="1"/>
  <c r="E24" i="1" s="1"/>
  <c r="A23" i="1"/>
  <c r="A24" i="1" s="1"/>
  <c r="Q21" i="1"/>
  <c r="P21" i="1"/>
  <c r="O21" i="1"/>
  <c r="N21" i="1"/>
  <c r="M21" i="1"/>
  <c r="L21" i="1"/>
  <c r="K21" i="1"/>
  <c r="J21" i="1"/>
  <c r="I21" i="1"/>
  <c r="H21" i="1"/>
  <c r="G21" i="1"/>
  <c r="F21" i="1"/>
  <c r="E21" i="1"/>
  <c r="D21" i="1"/>
  <c r="C21" i="1"/>
  <c r="M16" i="1"/>
  <c r="M18" i="1" s="1"/>
  <c r="Q10" i="1"/>
  <c r="P10" i="1"/>
  <c r="O10" i="1"/>
  <c r="N10" i="1"/>
  <c r="M10" i="1"/>
  <c r="L10" i="1"/>
  <c r="K10" i="1"/>
  <c r="J10" i="1"/>
  <c r="I10" i="1"/>
  <c r="H10" i="1"/>
  <c r="G10" i="1"/>
  <c r="F10" i="1"/>
  <c r="E10" i="1"/>
  <c r="D10" i="1"/>
  <c r="C10" i="1"/>
  <c r="S9" i="1"/>
  <c r="Q8" i="1"/>
  <c r="Q36" i="1" s="1"/>
  <c r="Q32" i="1" s="1"/>
  <c r="Q34" i="1" s="1"/>
  <c r="P8" i="1"/>
  <c r="P36" i="1" s="1"/>
  <c r="P32" i="1" s="1"/>
  <c r="P34" i="1" s="1"/>
  <c r="O8" i="1"/>
  <c r="O36" i="1" s="1"/>
  <c r="O32" i="1" s="1"/>
  <c r="O34" i="1" s="1"/>
  <c r="N8" i="1"/>
  <c r="N36" i="1" s="1"/>
  <c r="N32" i="1" s="1"/>
  <c r="N34" i="1" s="1"/>
  <c r="M8" i="1"/>
  <c r="M36" i="1" s="1"/>
  <c r="M32" i="1" s="1"/>
  <c r="M34" i="1" s="1"/>
  <c r="L8" i="1"/>
  <c r="L36" i="1" s="1"/>
  <c r="L32" i="1" s="1"/>
  <c r="L34" i="1" s="1"/>
  <c r="K8" i="1"/>
  <c r="K36" i="1" s="1"/>
  <c r="K32" i="1" s="1"/>
  <c r="K34" i="1" s="1"/>
  <c r="J8" i="1"/>
  <c r="J36" i="1" s="1"/>
  <c r="J32" i="1" s="1"/>
  <c r="J34" i="1" s="1"/>
  <c r="I8" i="1"/>
  <c r="I36" i="1" s="1"/>
  <c r="I32" i="1" s="1"/>
  <c r="I34" i="1" s="1"/>
  <c r="H8" i="1"/>
  <c r="H36" i="1" s="1"/>
  <c r="H32" i="1" s="1"/>
  <c r="H34" i="1" s="1"/>
  <c r="G8" i="1"/>
  <c r="G36" i="1" s="1"/>
  <c r="G32" i="1" s="1"/>
  <c r="G34" i="1" s="1"/>
  <c r="F8" i="1"/>
  <c r="F36" i="1" s="1"/>
  <c r="F32" i="1" s="1"/>
  <c r="F34" i="1" s="1"/>
  <c r="E8" i="1"/>
  <c r="E36" i="1" s="1"/>
  <c r="E32" i="1" s="1"/>
  <c r="E34" i="1" s="1"/>
  <c r="D8" i="1"/>
  <c r="D36" i="1" s="1"/>
  <c r="D32" i="1" s="1"/>
  <c r="D34" i="1" s="1"/>
  <c r="C8" i="1"/>
  <c r="A8" i="1"/>
  <c r="S7" i="1"/>
  <c r="Q4" i="1"/>
  <c r="P4" i="1"/>
  <c r="O4" i="1"/>
  <c r="N4" i="1"/>
  <c r="M4" i="1"/>
  <c r="L4" i="1"/>
  <c r="K4" i="1"/>
  <c r="J4" i="1"/>
  <c r="I4" i="1"/>
  <c r="H4" i="1"/>
  <c r="G4" i="1"/>
  <c r="F4" i="1"/>
  <c r="E4" i="1"/>
  <c r="D4" i="1"/>
  <c r="C4" i="1"/>
  <c r="Q2" i="1"/>
  <c r="P2" i="1"/>
  <c r="O2" i="1"/>
  <c r="N2" i="1"/>
  <c r="M2" i="1"/>
  <c r="L2" i="1"/>
  <c r="K2" i="1"/>
  <c r="J2" i="1"/>
  <c r="I2" i="1"/>
  <c r="H2" i="1"/>
  <c r="G2" i="1"/>
  <c r="F2" i="1"/>
  <c r="E2" i="1"/>
  <c r="D2" i="1"/>
  <c r="C2" i="1"/>
  <c r="AA53" i="2" l="1"/>
  <c r="AA6" i="2"/>
  <c r="AB6" i="2" s="1"/>
  <c r="Y161" i="2"/>
  <c r="Y160" i="2" s="1"/>
  <c r="Y53" i="2"/>
  <c r="W91" i="2"/>
  <c r="AA30" i="2"/>
  <c r="AC53" i="2"/>
  <c r="H77" i="2"/>
  <c r="P77" i="2"/>
  <c r="Y77" i="2"/>
  <c r="AA90" i="2"/>
  <c r="AI90" i="2"/>
  <c r="V91" i="2"/>
  <c r="O92" i="2"/>
  <c r="W92" i="2"/>
  <c r="AG178" i="2"/>
  <c r="AG179" i="2" s="1"/>
  <c r="AO98" i="2"/>
  <c r="Y162" i="2"/>
  <c r="W163" i="2"/>
  <c r="AF163" i="2"/>
  <c r="AJ163" i="2"/>
  <c r="M160" i="2"/>
  <c r="AO176" i="2"/>
  <c r="Z32" i="2"/>
  <c r="S77" i="2"/>
  <c r="E77" i="2"/>
  <c r="I77" i="2"/>
  <c r="Q77" i="2"/>
  <c r="AD77" i="2"/>
  <c r="AH77" i="2"/>
  <c r="AL77" i="2"/>
  <c r="V84" i="2"/>
  <c r="Z85" i="2"/>
  <c r="Z86" i="2" s="1"/>
  <c r="Z89" i="2" s="1"/>
  <c r="AH85" i="2"/>
  <c r="AH86" i="2" s="1"/>
  <c r="AH89" i="2" s="1"/>
  <c r="O90" i="2"/>
  <c r="AF90" i="2"/>
  <c r="AJ90" i="2"/>
  <c r="K91" i="2"/>
  <c r="P92" i="2"/>
  <c r="T92" i="2"/>
  <c r="X92" i="2"/>
  <c r="AC92" i="2"/>
  <c r="AG92" i="2"/>
  <c r="AK92" i="2"/>
  <c r="AE178" i="2"/>
  <c r="I160" i="2"/>
  <c r="AJ95" i="2"/>
  <c r="AJ53" i="2" s="1"/>
  <c r="Z160" i="2"/>
  <c r="AD178" i="2"/>
  <c r="AH178" i="2"/>
  <c r="AL178" i="2"/>
  <c r="AO111" i="2"/>
  <c r="X163" i="2"/>
  <c r="AC163" i="2"/>
  <c r="AG163" i="2"/>
  <c r="AK163" i="2"/>
  <c r="E160" i="2"/>
  <c r="AO172" i="2"/>
  <c r="AO177" i="2"/>
  <c r="AD85" i="2"/>
  <c r="AD86" i="2" s="1"/>
  <c r="AD89" i="2" s="1"/>
  <c r="AL85" i="2"/>
  <c r="AL86" i="2" s="1"/>
  <c r="AL89" i="2" s="1"/>
  <c r="L77" i="2"/>
  <c r="AE90" i="2"/>
  <c r="AM90" i="2"/>
  <c r="S92" i="2"/>
  <c r="AB178" i="2"/>
  <c r="H178" i="2"/>
  <c r="Y178" i="2"/>
  <c r="AC178" i="2"/>
  <c r="AK178" i="2"/>
  <c r="AB163" i="2"/>
  <c r="AB19" i="2"/>
  <c r="AF19" i="2"/>
  <c r="Y19" i="2"/>
  <c r="AC19" i="2"/>
  <c r="AG19" i="2"/>
  <c r="AK19" i="2"/>
  <c r="N53" i="2"/>
  <c r="F77" i="2"/>
  <c r="J77" i="2"/>
  <c r="N77" i="2"/>
  <c r="R77" i="2"/>
  <c r="W77" i="2"/>
  <c r="AA77" i="2"/>
  <c r="AE77" i="2"/>
  <c r="AI77" i="2"/>
  <c r="AM77" i="2"/>
  <c r="AK85" i="2"/>
  <c r="AK88" i="2" s="1"/>
  <c r="AC90" i="2"/>
  <c r="AG90" i="2"/>
  <c r="AK90" i="2"/>
  <c r="Q92" i="2"/>
  <c r="U92" i="2"/>
  <c r="Y92" i="2"/>
  <c r="AD92" i="2"/>
  <c r="AH92" i="2"/>
  <c r="R160" i="2"/>
  <c r="AF95" i="2"/>
  <c r="AF53" i="2" s="1"/>
  <c r="AK95" i="2"/>
  <c r="AK53" i="2" s="1"/>
  <c r="AE161" i="2"/>
  <c r="AE160" i="2" s="1"/>
  <c r="AI178" i="2"/>
  <c r="I178" i="2"/>
  <c r="X178" i="2"/>
  <c r="AD163" i="2"/>
  <c r="AH163" i="2"/>
  <c r="AL163" i="2"/>
  <c r="AO174" i="2"/>
  <c r="D35" i="1"/>
  <c r="D37" i="1" s="1"/>
  <c r="Q16" i="1"/>
  <c r="Q18" i="1" s="1"/>
  <c r="E16" i="1"/>
  <c r="E18" i="1" s="1"/>
  <c r="A25" i="1"/>
  <c r="I16" i="1"/>
  <c r="I18" i="1" s="1"/>
  <c r="D28" i="1"/>
  <c r="D26" i="1" s="1"/>
  <c r="H25" i="1"/>
  <c r="H28" i="1"/>
  <c r="H26" i="1" s="1"/>
  <c r="H27" i="1" s="1"/>
  <c r="L25" i="1"/>
  <c r="P25" i="1"/>
  <c r="E28" i="1"/>
  <c r="E26" i="1" s="1"/>
  <c r="E27" i="1" s="1"/>
  <c r="E25" i="1"/>
  <c r="I25" i="1"/>
  <c r="M25" i="1"/>
  <c r="Q25" i="1"/>
  <c r="F25" i="1"/>
  <c r="F28" i="1"/>
  <c r="F26" i="1" s="1"/>
  <c r="F27" i="1" s="1"/>
  <c r="J25" i="1"/>
  <c r="N25" i="1"/>
  <c r="D27" i="1"/>
  <c r="G25" i="1"/>
  <c r="G28" i="1"/>
  <c r="G26" i="1" s="1"/>
  <c r="G27" i="1" s="1"/>
  <c r="K25" i="1"/>
  <c r="O25" i="1"/>
  <c r="G16" i="1"/>
  <c r="K16" i="1"/>
  <c r="O16" i="1"/>
  <c r="E19" i="1"/>
  <c r="M19" i="1"/>
  <c r="M28" i="1" s="1"/>
  <c r="M26" i="1" s="1"/>
  <c r="M27" i="1" s="1"/>
  <c r="Q19" i="1"/>
  <c r="Q28" i="1" s="1"/>
  <c r="H16" i="1"/>
  <c r="L16" i="1"/>
  <c r="P16" i="1"/>
  <c r="AA18" i="2"/>
  <c r="AB16" i="2"/>
  <c r="AA32" i="2"/>
  <c r="AB30" i="2"/>
  <c r="AC6" i="2"/>
  <c r="AB7" i="2"/>
  <c r="F16" i="1"/>
  <c r="J16" i="1"/>
  <c r="N16" i="1"/>
  <c r="AB2" i="2"/>
  <c r="AA2" i="2"/>
  <c r="AA7" i="2"/>
  <c r="M135" i="2"/>
  <c r="M90" i="2" s="1"/>
  <c r="M65" i="2"/>
  <c r="Z79" i="2"/>
  <c r="Z82" i="2" s="1"/>
  <c r="Z80" i="2" s="1"/>
  <c r="Z83" i="2" s="1"/>
  <c r="AD79" i="2"/>
  <c r="AD82" i="2" s="1"/>
  <c r="AD80" i="2" s="1"/>
  <c r="AD83" i="2" s="1"/>
  <c r="AH79" i="2"/>
  <c r="AH82" i="2" s="1"/>
  <c r="AH80" i="2" s="1"/>
  <c r="AH83" i="2" s="1"/>
  <c r="AL79" i="2"/>
  <c r="AL82" i="2" s="1"/>
  <c r="AL80" i="2" s="1"/>
  <c r="AL83" i="2" s="1"/>
  <c r="L84" i="2"/>
  <c r="AF86" i="2"/>
  <c r="AF89" i="2" s="1"/>
  <c r="S56" i="2"/>
  <c r="S69" i="2" s="1"/>
  <c r="Z135" i="2"/>
  <c r="Z163" i="2" s="1"/>
  <c r="Z65" i="2"/>
  <c r="AA79" i="2"/>
  <c r="AA82" i="2" s="1"/>
  <c r="AA80" i="2" s="1"/>
  <c r="AA83" i="2" s="1"/>
  <c r="AE79" i="2"/>
  <c r="AE82" i="2" s="1"/>
  <c r="AE80" i="2" s="1"/>
  <c r="AE83" i="2" s="1"/>
  <c r="AI79" i="2"/>
  <c r="AI82" i="2" s="1"/>
  <c r="AI80" i="2" s="1"/>
  <c r="AI83" i="2" s="1"/>
  <c r="AM79" i="2"/>
  <c r="AM82" i="2" s="1"/>
  <c r="AM80" i="2" s="1"/>
  <c r="AM83" i="2" s="1"/>
  <c r="AA87" i="2"/>
  <c r="AA85" i="2"/>
  <c r="AE87" i="2"/>
  <c r="AE85" i="2"/>
  <c r="AI87" i="2"/>
  <c r="AI85" i="2"/>
  <c r="AM87" i="2"/>
  <c r="AM85" i="2"/>
  <c r="AG88" i="2"/>
  <c r="AG86" i="2"/>
  <c r="AG89" i="2" s="1"/>
  <c r="AB87" i="2"/>
  <c r="AJ87" i="2"/>
  <c r="G160" i="2"/>
  <c r="Y91" i="2"/>
  <c r="Y90" i="2"/>
  <c r="Y84" i="2"/>
  <c r="Y87" i="2" s="1"/>
  <c r="Z18" i="2"/>
  <c r="V181" i="2"/>
  <c r="V153" i="2"/>
  <c r="V167" i="2" s="1"/>
  <c r="S65" i="2"/>
  <c r="AB79" i="2"/>
  <c r="AB82" i="2" s="1"/>
  <c r="AB80" i="2" s="1"/>
  <c r="AB83" i="2" s="1"/>
  <c r="AF79" i="2"/>
  <c r="AF82" i="2" s="1"/>
  <c r="AF80" i="2" s="1"/>
  <c r="AF83" i="2" s="1"/>
  <c r="AJ79" i="2"/>
  <c r="AJ82" i="2" s="1"/>
  <c r="AJ80" i="2" s="1"/>
  <c r="AJ83" i="2" s="1"/>
  <c r="S84" i="2"/>
  <c r="W84" i="2"/>
  <c r="AB86" i="2"/>
  <c r="AB89" i="2" s="1"/>
  <c r="AJ86" i="2"/>
  <c r="AJ89" i="2" s="1"/>
  <c r="L90" i="2"/>
  <c r="Z165" i="2"/>
  <c r="R91" i="2"/>
  <c r="R90" i="2"/>
  <c r="R84" i="2"/>
  <c r="AO8" i="2"/>
  <c r="Z153" i="2"/>
  <c r="Z167" i="2" s="1"/>
  <c r="M73" i="2"/>
  <c r="M77" i="2" s="1"/>
  <c r="V74" i="2"/>
  <c r="V77" i="2" s="1"/>
  <c r="Z74" i="2"/>
  <c r="Z77" i="2" s="1"/>
  <c r="AC79" i="2"/>
  <c r="AC82" i="2" s="1"/>
  <c r="AC80" i="2" s="1"/>
  <c r="AC83" i="2" s="1"/>
  <c r="AG79" i="2"/>
  <c r="AG82" i="2" s="1"/>
  <c r="AG80" i="2" s="1"/>
  <c r="AG83" i="2" s="1"/>
  <c r="AK79" i="2"/>
  <c r="AK82" i="2" s="1"/>
  <c r="AK80" i="2" s="1"/>
  <c r="AK83" i="2" s="1"/>
  <c r="AC88" i="2"/>
  <c r="AC86" i="2"/>
  <c r="AC89" i="2" s="1"/>
  <c r="AF87" i="2"/>
  <c r="Z88" i="2"/>
  <c r="AH88" i="2"/>
  <c r="S90" i="2"/>
  <c r="W90" i="2"/>
  <c r="AE179" i="2"/>
  <c r="AE94" i="2"/>
  <c r="Z95" i="2"/>
  <c r="Z53" i="2" s="1"/>
  <c r="AD95" i="2"/>
  <c r="AD53" i="2" s="1"/>
  <c r="AH95" i="2"/>
  <c r="AH53" i="2" s="1"/>
  <c r="AL95" i="2"/>
  <c r="AL53" i="2" s="1"/>
  <c r="G178" i="2"/>
  <c r="AA178" i="2"/>
  <c r="AM178" i="2"/>
  <c r="N169" i="2"/>
  <c r="N168" i="2"/>
  <c r="Z173" i="2"/>
  <c r="AO173" i="2" s="1"/>
  <c r="L178" i="2"/>
  <c r="L180" i="2"/>
  <c r="L169" i="2"/>
  <c r="P180" i="2"/>
  <c r="P169" i="2"/>
  <c r="T180" i="2"/>
  <c r="T169" i="2"/>
  <c r="T170" i="2" s="1"/>
  <c r="X180" i="2"/>
  <c r="X169" i="2"/>
  <c r="X170" i="2" s="1"/>
  <c r="X185" i="2" s="1"/>
  <c r="AB180" i="2"/>
  <c r="AB169" i="2"/>
  <c r="AB170" i="2" s="1"/>
  <c r="AB185" i="2" s="1"/>
  <c r="AF180" i="2"/>
  <c r="AF169" i="2"/>
  <c r="AF170" i="2" s="1"/>
  <c r="AF185" i="2" s="1"/>
  <c r="AJ180" i="2"/>
  <c r="AJ169" i="2"/>
  <c r="AJ170" i="2" s="1"/>
  <c r="AJ185" i="2" s="1"/>
  <c r="AJ165" i="2"/>
  <c r="R181" i="2"/>
  <c r="R167" i="2"/>
  <c r="AC161" i="2"/>
  <c r="AC160" i="2" s="1"/>
  <c r="AG161" i="2"/>
  <c r="AG160" i="2" s="1"/>
  <c r="AK161" i="2"/>
  <c r="AK160" i="2" s="1"/>
  <c r="AK179" i="2" s="1"/>
  <c r="K163" i="2"/>
  <c r="S163" i="2"/>
  <c r="X164" i="2"/>
  <c r="I165" i="2"/>
  <c r="U165" i="2"/>
  <c r="Y165" i="2"/>
  <c r="AC165" i="2"/>
  <c r="AG165" i="2"/>
  <c r="L167" i="2"/>
  <c r="T167" i="2"/>
  <c r="AB167" i="2"/>
  <c r="AJ167" i="2"/>
  <c r="AK169" i="2"/>
  <c r="AK170" i="2" s="1"/>
  <c r="AK185" i="2" s="1"/>
  <c r="AO93" i="2"/>
  <c r="AB94" i="2"/>
  <c r="F178" i="2"/>
  <c r="W178" i="2"/>
  <c r="W179" i="2" s="1"/>
  <c r="AJ178" i="2"/>
  <c r="AO97" i="2"/>
  <c r="N178" i="2"/>
  <c r="N179" i="2" s="1"/>
  <c r="V169" i="2"/>
  <c r="V170" i="2" s="1"/>
  <c r="V185" i="2" s="1"/>
  <c r="V168" i="2"/>
  <c r="M173" i="2"/>
  <c r="Q180" i="2"/>
  <c r="Q178" i="2"/>
  <c r="Q179" i="2" s="1"/>
  <c r="U180" i="2"/>
  <c r="U178" i="2"/>
  <c r="U179" i="2" s="1"/>
  <c r="M167" i="2"/>
  <c r="M181" i="2"/>
  <c r="F161" i="2"/>
  <c r="F160" i="2" s="1"/>
  <c r="AD161" i="2"/>
  <c r="AD160" i="2" s="1"/>
  <c r="AH161" i="2"/>
  <c r="AH160" i="2" s="1"/>
  <c r="AL161" i="2"/>
  <c r="AL160" i="2" s="1"/>
  <c r="L163" i="2"/>
  <c r="P163" i="2"/>
  <c r="T163" i="2"/>
  <c r="M164" i="2"/>
  <c r="N165" i="2"/>
  <c r="V165" i="2"/>
  <c r="O167" i="2"/>
  <c r="W167" i="2"/>
  <c r="AE167" i="2"/>
  <c r="AM167" i="2"/>
  <c r="I169" i="2"/>
  <c r="Y169" i="2"/>
  <c r="Y179" i="2"/>
  <c r="AC179" i="2"/>
  <c r="S179" i="2"/>
  <c r="V178" i="2"/>
  <c r="V179" i="2" s="1"/>
  <c r="W173" i="2"/>
  <c r="W168" i="2"/>
  <c r="J180" i="2"/>
  <c r="J169" i="2"/>
  <c r="J178" i="2"/>
  <c r="R180" i="2"/>
  <c r="R169" i="2"/>
  <c r="R170" i="2" s="1"/>
  <c r="R178" i="2"/>
  <c r="R179" i="2" s="1"/>
  <c r="AD180" i="2"/>
  <c r="AD169" i="2"/>
  <c r="AD170" i="2" s="1"/>
  <c r="AD185" i="2" s="1"/>
  <c r="AH180" i="2"/>
  <c r="AH169" i="2"/>
  <c r="AH170" i="2" s="1"/>
  <c r="AH185" i="2" s="1"/>
  <c r="AL180" i="2"/>
  <c r="AL169" i="2"/>
  <c r="AL170" i="2" s="1"/>
  <c r="AL185" i="2" s="1"/>
  <c r="I167" i="2"/>
  <c r="I181" i="2"/>
  <c r="U167" i="2"/>
  <c r="U181" i="2"/>
  <c r="Y167" i="2"/>
  <c r="Y181" i="2"/>
  <c r="AC167" i="2"/>
  <c r="AC181" i="2"/>
  <c r="AG167" i="2"/>
  <c r="AG181" i="2"/>
  <c r="AK167" i="2"/>
  <c r="AK181" i="2"/>
  <c r="N181" i="2"/>
  <c r="N173" i="2"/>
  <c r="N167" i="2"/>
  <c r="O161" i="2"/>
  <c r="O160" i="2" s="1"/>
  <c r="O179" i="2" s="1"/>
  <c r="AA161" i="2"/>
  <c r="AA160" i="2" s="1"/>
  <c r="AI161" i="2"/>
  <c r="AI160" i="2" s="1"/>
  <c r="AI179" i="2" s="1"/>
  <c r="AM161" i="2"/>
  <c r="AM160" i="2" s="1"/>
  <c r="X162" i="2"/>
  <c r="X160" i="2" s="1"/>
  <c r="X179" i="2" s="1"/>
  <c r="I163" i="2"/>
  <c r="Q163" i="2"/>
  <c r="U163" i="2"/>
  <c r="U159" i="2" s="1"/>
  <c r="Y163" i="2"/>
  <c r="Z164" i="2"/>
  <c r="AK165" i="2"/>
  <c r="P167" i="2"/>
  <c r="X167" i="2"/>
  <c r="AF167" i="2"/>
  <c r="AC169" i="2"/>
  <c r="AC170" i="2" s="1"/>
  <c r="AC185" i="2" s="1"/>
  <c r="AB179" i="2"/>
  <c r="Z178" i="2"/>
  <c r="Z179" i="2" s="1"/>
  <c r="AD179" i="2"/>
  <c r="AH179" i="2"/>
  <c r="AL179" i="2"/>
  <c r="T179" i="2"/>
  <c r="P179" i="2"/>
  <c r="AO102" i="2"/>
  <c r="Z168" i="2"/>
  <c r="AO168" i="2" s="1"/>
  <c r="X168" i="2"/>
  <c r="X173" i="2"/>
  <c r="K178" i="2"/>
  <c r="K180" i="2"/>
  <c r="K169" i="2"/>
  <c r="O180" i="2"/>
  <c r="O169" i="2"/>
  <c r="S180" i="2"/>
  <c r="S169" i="2"/>
  <c r="S170" i="2" s="1"/>
  <c r="W180" i="2"/>
  <c r="W169" i="2"/>
  <c r="W170" i="2" s="1"/>
  <c r="W185" i="2" s="1"/>
  <c r="AA180" i="2"/>
  <c r="AA169" i="2"/>
  <c r="AA170" i="2" s="1"/>
  <c r="AA185" i="2" s="1"/>
  <c r="AE180" i="2"/>
  <c r="AE169" i="2"/>
  <c r="AE170" i="2" s="1"/>
  <c r="AE185" i="2" s="1"/>
  <c r="AI165" i="2"/>
  <c r="AI180" i="2"/>
  <c r="AI169" i="2"/>
  <c r="AI170" i="2" s="1"/>
  <c r="AI185" i="2" s="1"/>
  <c r="AM165" i="2"/>
  <c r="AM180" i="2"/>
  <c r="AM169" i="2"/>
  <c r="AM170" i="2" s="1"/>
  <c r="AM185" i="2" s="1"/>
  <c r="J181" i="2"/>
  <c r="J167" i="2"/>
  <c r="Q167" i="2"/>
  <c r="Q181" i="2"/>
  <c r="AD181" i="2"/>
  <c r="AD167" i="2"/>
  <c r="AH181" i="2"/>
  <c r="AH167" i="2"/>
  <c r="AL181" i="2"/>
  <c r="AL167" i="2"/>
  <c r="S181" i="2"/>
  <c r="S173" i="2"/>
  <c r="H161" i="2"/>
  <c r="H160" i="2" s="1"/>
  <c r="AF161" i="2"/>
  <c r="AF160" i="2" s="1"/>
  <c r="AF179" i="2" s="1"/>
  <c r="AJ161" i="2"/>
  <c r="AJ160" i="2" s="1"/>
  <c r="J163" i="2"/>
  <c r="N163" i="2"/>
  <c r="R163" i="2"/>
  <c r="V163" i="2"/>
  <c r="W164" i="2"/>
  <c r="L165" i="2"/>
  <c r="P165" i="2"/>
  <c r="T165" i="2"/>
  <c r="X165" i="2"/>
  <c r="AB165" i="2"/>
  <c r="AF165" i="2"/>
  <c r="AL165" i="2"/>
  <c r="K167" i="2"/>
  <c r="S167" i="2"/>
  <c r="AA167" i="2"/>
  <c r="AI167" i="2"/>
  <c r="M168" i="2"/>
  <c r="Q169" i="2"/>
  <c r="AG169" i="2"/>
  <c r="AG170" i="2" s="1"/>
  <c r="AG185" i="2" s="1"/>
  <c r="AO171" i="2"/>
  <c r="AO160" i="2" l="1"/>
  <c r="Z169" i="2"/>
  <c r="Z170" i="2" s="1"/>
  <c r="Z185" i="2" s="1"/>
  <c r="M180" i="2"/>
  <c r="AK86" i="2"/>
  <c r="AK89" i="2" s="1"/>
  <c r="AL88" i="2"/>
  <c r="Z180" i="2"/>
  <c r="G35" i="1"/>
  <c r="G37" i="1" s="1"/>
  <c r="M163" i="2"/>
  <c r="M178" i="2"/>
  <c r="M179" i="2" s="1"/>
  <c r="AD88" i="2"/>
  <c r="H35" i="1"/>
  <c r="D31" i="1"/>
  <c r="D33" i="1" s="1"/>
  <c r="D39" i="1" s="1"/>
  <c r="I19" i="1"/>
  <c r="I28" i="1" s="1"/>
  <c r="I26" i="1"/>
  <c r="I27" i="1" s="1"/>
  <c r="I35" i="1"/>
  <c r="Q26" i="1"/>
  <c r="Q27" i="1" s="1"/>
  <c r="Q35" i="1"/>
  <c r="AI86" i="2"/>
  <c r="AI89" i="2" s="1"/>
  <c r="AI88" i="2"/>
  <c r="AA86" i="2"/>
  <c r="AA89" i="2" s="1"/>
  <c r="AA88" i="2"/>
  <c r="Z91" i="2"/>
  <c r="Z92" i="2"/>
  <c r="Z37" i="2"/>
  <c r="Z24" i="2"/>
  <c r="J19" i="1"/>
  <c r="J28" i="1" s="1"/>
  <c r="J18" i="1"/>
  <c r="AC16" i="2"/>
  <c r="AB18" i="2"/>
  <c r="H19" i="1"/>
  <c r="H18" i="1"/>
  <c r="G19" i="1"/>
  <c r="G18" i="1"/>
  <c r="Y170" i="2"/>
  <c r="AO169" i="2"/>
  <c r="AJ179" i="2"/>
  <c r="AM179" i="2"/>
  <c r="F19" i="1"/>
  <c r="F18" i="1"/>
  <c r="AC7" i="2"/>
  <c r="AC2" i="2"/>
  <c r="AD6" i="2"/>
  <c r="H37" i="1"/>
  <c r="H31" i="1"/>
  <c r="H33" i="1" s="1"/>
  <c r="H39" i="1" s="1"/>
  <c r="F35" i="1"/>
  <c r="M35" i="1"/>
  <c r="AM86" i="2"/>
  <c r="AM89" i="2" s="1"/>
  <c r="AM88" i="2"/>
  <c r="AE86" i="2"/>
  <c r="AE89" i="2" s="1"/>
  <c r="AE88" i="2"/>
  <c r="AB32" i="2"/>
  <c r="AC30" i="2"/>
  <c r="P19" i="1"/>
  <c r="P28" i="1" s="1"/>
  <c r="P18" i="1"/>
  <c r="O19" i="1"/>
  <c r="O28" i="1" s="1"/>
  <c r="O18" i="1"/>
  <c r="AA179" i="2"/>
  <c r="Z181" i="2"/>
  <c r="Z90" i="2"/>
  <c r="M169" i="2"/>
  <c r="M91" i="2"/>
  <c r="M165" i="2"/>
  <c r="M92" i="2"/>
  <c r="N19" i="1"/>
  <c r="N28" i="1" s="1"/>
  <c r="N18" i="1"/>
  <c r="L19" i="1"/>
  <c r="L28" i="1" s="1"/>
  <c r="L18" i="1"/>
  <c r="K19" i="1"/>
  <c r="K28" i="1" s="1"/>
  <c r="K18" i="1"/>
  <c r="E35" i="1"/>
  <c r="H40" i="1" l="1"/>
  <c r="G31" i="1"/>
  <c r="G33" i="1" s="1"/>
  <c r="G39" i="1" s="1"/>
  <c r="O26" i="1"/>
  <c r="O27" i="1" s="1"/>
  <c r="O35" i="1"/>
  <c r="AA24" i="2"/>
  <c r="Z25" i="2"/>
  <c r="Q37" i="1"/>
  <c r="Q31" i="1"/>
  <c r="Q33" i="1" s="1"/>
  <c r="Q39" i="1" s="1"/>
  <c r="K26" i="1"/>
  <c r="K27" i="1" s="1"/>
  <c r="K35" i="1"/>
  <c r="N26" i="1"/>
  <c r="N27" i="1" s="1"/>
  <c r="N35" i="1"/>
  <c r="M37" i="1"/>
  <c r="M31" i="1"/>
  <c r="M33" i="1" s="1"/>
  <c r="AD16" i="2"/>
  <c r="AC18" i="2"/>
  <c r="AA37" i="2"/>
  <c r="Z38" i="2"/>
  <c r="P26" i="1"/>
  <c r="P27" i="1" s="1"/>
  <c r="P35" i="1"/>
  <c r="F37" i="1"/>
  <c r="F31" i="1"/>
  <c r="F33" i="1" s="1"/>
  <c r="G40" i="1"/>
  <c r="I37" i="1"/>
  <c r="I31" i="1"/>
  <c r="I33" i="1" s="1"/>
  <c r="I39" i="1" s="1"/>
  <c r="E37" i="1"/>
  <c r="E31" i="1"/>
  <c r="E33" i="1" s="1"/>
  <c r="L26" i="1"/>
  <c r="L27" i="1" s="1"/>
  <c r="L35" i="1"/>
  <c r="AC32" i="2"/>
  <c r="AD30" i="2"/>
  <c r="AD7" i="2"/>
  <c r="AD2" i="2"/>
  <c r="AE6" i="2"/>
  <c r="Y185" i="2"/>
  <c r="AO170" i="2"/>
  <c r="J26" i="1"/>
  <c r="J35" i="1"/>
  <c r="Q40" i="1" l="1"/>
  <c r="I40" i="1"/>
  <c r="J37" i="1"/>
  <c r="J31" i="1"/>
  <c r="J33" i="1" s="1"/>
  <c r="J27" i="1"/>
  <c r="S26" i="1"/>
  <c r="L37" i="1"/>
  <c r="L31" i="1"/>
  <c r="L33" i="1" s="1"/>
  <c r="L39" i="1" s="1"/>
  <c r="M39" i="1"/>
  <c r="M40" i="1"/>
  <c r="K37" i="1"/>
  <c r="K31" i="1"/>
  <c r="K33" i="1" s="1"/>
  <c r="K39" i="1" s="1"/>
  <c r="P37" i="1"/>
  <c r="P31" i="1"/>
  <c r="P33" i="1" s="1"/>
  <c r="P39" i="1" s="1"/>
  <c r="AA38" i="2"/>
  <c r="AB37" i="2"/>
  <c r="AB24" i="2"/>
  <c r="AA25" i="2"/>
  <c r="AE30" i="2"/>
  <c r="AD32" i="2"/>
  <c r="E39" i="1"/>
  <c r="E40" i="1"/>
  <c r="N37" i="1"/>
  <c r="N31" i="1"/>
  <c r="N33" i="1" s="1"/>
  <c r="N39" i="1" s="1"/>
  <c r="O37" i="1"/>
  <c r="O31" i="1"/>
  <c r="O33" i="1" s="1"/>
  <c r="O39" i="1" s="1"/>
  <c r="AF6" i="2"/>
  <c r="AE7" i="2"/>
  <c r="AE2" i="2"/>
  <c r="F39" i="1"/>
  <c r="F40" i="1"/>
  <c r="AE16" i="2"/>
  <c r="AD18" i="2"/>
  <c r="O40" i="1"/>
  <c r="J39" i="1" l="1"/>
  <c r="N40" i="1"/>
  <c r="P40" i="1"/>
  <c r="AG6" i="2"/>
  <c r="AF7" i="2"/>
  <c r="AF2" i="2"/>
  <c r="K40" i="1"/>
  <c r="AE32" i="2"/>
  <c r="AF30" i="2"/>
  <c r="AB38" i="2"/>
  <c r="AC37" i="2"/>
  <c r="L40" i="1"/>
  <c r="J40" i="1"/>
  <c r="AE18" i="2"/>
  <c r="AF16" i="2"/>
  <c r="AB25" i="2"/>
  <c r="AC24" i="2"/>
  <c r="AG16" i="2" l="1"/>
  <c r="AF18" i="2"/>
  <c r="AC38" i="2"/>
  <c r="AD37" i="2"/>
  <c r="AC25" i="2"/>
  <c r="AD24" i="2"/>
  <c r="AF32" i="2"/>
  <c r="AG30" i="2"/>
  <c r="AG7" i="2"/>
  <c r="AG2" i="2"/>
  <c r="AH6" i="2"/>
  <c r="AE37" i="2" l="1"/>
  <c r="AD38" i="2"/>
  <c r="AH7" i="2"/>
  <c r="AH2" i="2"/>
  <c r="AI6" i="2"/>
  <c r="AE24" i="2"/>
  <c r="AD25" i="2"/>
  <c r="AG32" i="2"/>
  <c r="AH30" i="2"/>
  <c r="AH16" i="2"/>
  <c r="AG18" i="2"/>
  <c r="AI30" i="2" l="1"/>
  <c r="AH32" i="2"/>
  <c r="AI16" i="2"/>
  <c r="AH18" i="2"/>
  <c r="AF24" i="2"/>
  <c r="AE25" i="2"/>
  <c r="AJ6" i="2"/>
  <c r="AI7" i="2"/>
  <c r="AI2" i="2"/>
  <c r="AE38" i="2"/>
  <c r="AF37" i="2"/>
  <c r="AK6" i="2" l="1"/>
  <c r="AJ7" i="2"/>
  <c r="AJ2" i="2"/>
  <c r="AI18" i="2"/>
  <c r="AJ16" i="2"/>
  <c r="AF38" i="2"/>
  <c r="AG37" i="2"/>
  <c r="AF25" i="2"/>
  <c r="AG24" i="2"/>
  <c r="AI32" i="2"/>
  <c r="AJ30" i="2"/>
  <c r="AJ32" i="2" l="1"/>
  <c r="AK30" i="2"/>
  <c r="AG38" i="2"/>
  <c r="AH37" i="2"/>
  <c r="AG25" i="2"/>
  <c r="AH24" i="2"/>
  <c r="AK16" i="2"/>
  <c r="AJ18" i="2"/>
  <c r="AK7" i="2"/>
  <c r="AK2" i="2"/>
  <c r="AL6" i="2"/>
  <c r="AI37" i="2" l="1"/>
  <c r="AH38" i="2"/>
  <c r="AL7" i="2"/>
  <c r="AL2" i="2"/>
  <c r="AM6" i="2"/>
  <c r="AL16" i="2"/>
  <c r="AK18" i="2"/>
  <c r="AI24" i="2"/>
  <c r="AH25" i="2"/>
  <c r="AK32" i="2"/>
  <c r="AL30" i="2"/>
  <c r="AJ24" i="2" l="1"/>
  <c r="AI25" i="2"/>
  <c r="AM30" i="2"/>
  <c r="AM32" i="2" s="1"/>
  <c r="AL32" i="2"/>
  <c r="AM16" i="2"/>
  <c r="AM18" i="2" s="1"/>
  <c r="AL18" i="2"/>
  <c r="AM7" i="2"/>
  <c r="AM2" i="2"/>
  <c r="AI38" i="2"/>
  <c r="AJ37" i="2"/>
  <c r="AJ38" i="2" l="1"/>
  <c r="AK37" i="2"/>
  <c r="AJ25" i="2"/>
  <c r="AK24" i="2"/>
  <c r="AK25" i="2" l="1"/>
  <c r="AL24" i="2"/>
  <c r="AK38" i="2"/>
  <c r="AL37" i="2"/>
  <c r="AM37" i="2" l="1"/>
  <c r="AM38" i="2" s="1"/>
  <c r="AL38" i="2"/>
  <c r="AM24" i="2"/>
  <c r="AM25" i="2" s="1"/>
  <c r="AL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s>
  <commentList>
    <comment ref="J8" authorId="0" shapeId="0" xr:uid="{00000000-0006-0000-0100-000001000000}">
      <text>
        <r>
          <rPr>
            <b/>
            <sz val="9"/>
            <color indexed="81"/>
            <rFont val="Tahoma"/>
            <family val="2"/>
          </rPr>
          <t>Quantumuser:</t>
        </r>
        <r>
          <rPr>
            <sz val="9"/>
            <color indexed="81"/>
            <rFont val="Tahoma"/>
            <family val="2"/>
          </rPr>
          <t xml:space="preserve">
rev0 = 26 KT
rev1 = 33 KT
</t>
        </r>
      </text>
    </comment>
    <comment ref="K8" authorId="0" shapeId="0" xr:uid="{00000000-0006-0000-0100-000002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00000000-0006-0000-0100-000003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00000000-0006-0000-0100-000004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xr:uid="{00000000-0006-0000-0100-000005000000}">
      <text>
        <r>
          <rPr>
            <b/>
            <sz val="9"/>
            <color indexed="81"/>
            <rFont val="Tahoma"/>
            <family val="2"/>
          </rPr>
          <t>Windows User:</t>
        </r>
        <r>
          <rPr>
            <sz val="9"/>
            <color indexed="81"/>
            <rFont val="Tahoma"/>
            <family val="2"/>
          </rPr>
          <t xml:space="preserve">
ดึง import ได้ max 3 KT</t>
        </r>
      </text>
    </comment>
    <comment ref="S8" authorId="1" shapeId="0" xr:uid="{00000000-0006-0000-0100-000006000000}">
      <text>
        <r>
          <rPr>
            <b/>
            <sz val="9"/>
            <color indexed="81"/>
            <rFont val="Tahoma"/>
            <family val="2"/>
          </rPr>
          <t>Windows User:</t>
        </r>
        <r>
          <rPr>
            <sz val="9"/>
            <color indexed="81"/>
            <rFont val="Tahoma"/>
            <family val="2"/>
          </rPr>
          <t xml:space="preserve">
import ที่สามารถดึงได้ 13 KT
</t>
        </r>
      </text>
    </comment>
    <comment ref="U8" authorId="1" shapeId="0" xr:uid="{00000000-0006-0000-0100-000007000000}">
      <text>
        <r>
          <rPr>
            <b/>
            <sz val="9"/>
            <color indexed="81"/>
            <rFont val="Tahoma"/>
            <family val="2"/>
          </rPr>
          <t>Windows User:</t>
        </r>
        <r>
          <rPr>
            <sz val="9"/>
            <color indexed="81"/>
            <rFont val="Tahoma"/>
            <family val="2"/>
          </rPr>
          <t xml:space="preserve">
GC 6 
PTTOR 4</t>
        </r>
      </text>
    </comment>
    <comment ref="Z8" authorId="1" shapeId="0" xr:uid="{00000000-0006-0000-0100-00000800000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U9" authorId="1" shapeId="0" xr:uid="{00000000-0006-0000-0100-00000900000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M46" authorId="0" shapeId="0" xr:uid="{00000000-0006-0000-0100-00000A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00000000-0006-0000-0100-00000B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G59" authorId="0" shapeId="0" xr:uid="{00000000-0006-0000-0100-00000C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00000000-0006-0000-0100-00000D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1" shapeId="0" xr:uid="{00000000-0006-0000-0100-00000E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1" shapeId="0" xr:uid="{00000000-0006-0000-0100-00000F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00000000-0006-0000-0100-000010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00000000-0006-0000-0100-000011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00000000-0006-0000-0100-000012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00000000-0006-0000-0100-000013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1" shapeId="0" xr:uid="{00000000-0006-0000-0100-000014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00000000-0006-0000-0100-000015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00000000-0006-0000-0100-000016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00000000-0006-0000-0100-000017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00000000-0006-0000-0100-000018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00000000-0006-0000-0100-000019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R60" authorId="1" shapeId="0" xr:uid="{00000000-0006-0000-0100-00001A000000}">
      <text>
        <r>
          <rPr>
            <b/>
            <sz val="9"/>
            <color indexed="81"/>
            <rFont val="Tahoma"/>
            <family val="2"/>
          </rPr>
          <t>Windows User:</t>
        </r>
        <r>
          <rPr>
            <sz val="9"/>
            <color indexed="81"/>
            <rFont val="Tahoma"/>
            <family val="2"/>
          </rPr>
          <t xml:space="preserve">
rev0= 0.6 KT
rev1 = 0 KT IRPC ESD
</t>
        </r>
      </text>
    </comment>
    <comment ref="V60" authorId="1" shapeId="0" xr:uid="{00000000-0006-0000-0100-00001B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1" shapeId="0" xr:uid="{00000000-0006-0000-0100-00001C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0" shapeId="0" xr:uid="{00000000-0006-0000-0100-00001D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00000000-0006-0000-0100-00001E000000}">
      <text>
        <r>
          <rPr>
            <b/>
            <sz val="9"/>
            <color indexed="81"/>
            <rFont val="Tahoma"/>
            <family val="2"/>
          </rPr>
          <t>Quantumuser:</t>
        </r>
        <r>
          <rPr>
            <sz val="9"/>
            <color indexed="81"/>
            <rFont val="Tahoma"/>
            <family val="2"/>
          </rPr>
          <t xml:space="preserve">
rev0 = 21
rev1= 23
</t>
        </r>
      </text>
    </comment>
    <comment ref="N61" authorId="0" shapeId="0" xr:uid="{00000000-0006-0000-0100-00001F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00000000-0006-0000-0100-000020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1" shapeId="0" xr:uid="{00000000-0006-0000-0100-000021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1" shapeId="0" xr:uid="{00000000-0006-0000-0100-000022000000}">
      <text>
        <r>
          <rPr>
            <b/>
            <sz val="9"/>
            <color indexed="81"/>
            <rFont val="Tahoma"/>
            <family val="2"/>
          </rPr>
          <t>Windows User:</t>
        </r>
        <r>
          <rPr>
            <sz val="9"/>
            <color indexed="81"/>
            <rFont val="Tahoma"/>
            <family val="2"/>
          </rPr>
          <t xml:space="preserve">
rev0 = 0
rev1 = 1.8
rev2 = 1.2</t>
        </r>
      </text>
    </comment>
    <comment ref="W61" authorId="0" shapeId="0" xr:uid="{00000000-0006-0000-0100-000023000000}">
      <text>
        <r>
          <rPr>
            <b/>
            <sz val="9"/>
            <color indexed="81"/>
            <rFont val="Tahoma"/>
            <family val="2"/>
          </rPr>
          <t>Quantumuser:</t>
        </r>
        <r>
          <rPr>
            <sz val="9"/>
            <color indexed="81"/>
            <rFont val="Tahoma"/>
            <family val="2"/>
          </rPr>
          <t xml:space="preserve">
rev0 = 11
rev1 = 13 GC ขอปรับเพิ่ม</t>
        </r>
      </text>
    </comment>
    <comment ref="X61" authorId="1" shapeId="0" xr:uid="{00000000-0006-0000-0100-000024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1" shapeId="0" xr:uid="{00000000-0006-0000-0100-000025000000}">
      <text>
        <r>
          <rPr>
            <b/>
            <sz val="9"/>
            <color indexed="81"/>
            <rFont val="Tahoma"/>
            <family val="2"/>
          </rPr>
          <t>Windows User:</t>
        </r>
        <r>
          <rPr>
            <sz val="9"/>
            <color indexed="81"/>
            <rFont val="Tahoma"/>
            <family val="2"/>
          </rPr>
          <t xml:space="preserve">
rev0 = 10
rev1 = 2.5 KT เหตุ GSP5 เลื่อน TD50% ถึง 21 Jan'21
</t>
        </r>
      </text>
    </comment>
    <comment ref="P62" authorId="1" shapeId="0" xr:uid="{00000000-0006-0000-0100-000026000000}">
      <text>
        <r>
          <rPr>
            <b/>
            <sz val="9"/>
            <color indexed="81"/>
            <rFont val="Tahoma"/>
            <family val="2"/>
          </rPr>
          <t>Windows User:</t>
        </r>
        <r>
          <rPr>
            <sz val="9"/>
            <color indexed="81"/>
            <rFont val="Tahoma"/>
            <family val="2"/>
          </rPr>
          <t xml:space="preserve">
rev0 = 6.3
rev1 = 5.1
rev2 = 4.3
</t>
        </r>
      </text>
    </comment>
    <comment ref="Q62" authorId="1" shapeId="0" xr:uid="{00000000-0006-0000-0100-000027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1" shapeId="0" xr:uid="{00000000-0006-0000-0100-000028000000}">
      <text>
        <r>
          <rPr>
            <b/>
            <sz val="9"/>
            <color indexed="81"/>
            <rFont val="Tahoma"/>
            <family val="2"/>
          </rPr>
          <t>Windows User:</t>
        </r>
        <r>
          <rPr>
            <sz val="9"/>
            <color indexed="81"/>
            <rFont val="Tahoma"/>
            <family val="2"/>
          </rPr>
          <t xml:space="preserve">
rev0 = 3.6
rev1 = 3.0 เนื่องจาก WP under </t>
        </r>
      </text>
    </comment>
    <comment ref="V62" authorId="1" shapeId="0" xr:uid="{00000000-0006-0000-0100-000029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00000000-0006-0000-0100-00002A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F63" authorId="0" shapeId="0" xr:uid="{00000000-0006-0000-0100-00002B000000}">
      <text>
        <r>
          <rPr>
            <b/>
            <sz val="9"/>
            <color indexed="81"/>
            <rFont val="Tahoma"/>
            <family val="2"/>
          </rPr>
          <t>Quantumuser:</t>
        </r>
        <r>
          <rPr>
            <sz val="9"/>
            <color indexed="81"/>
            <rFont val="Tahoma"/>
            <family val="2"/>
          </rPr>
          <t xml:space="preserve">
rrev0 = 5.7
rrev1 = 6.22</t>
        </r>
      </text>
    </comment>
    <comment ref="K63" authorId="0" shapeId="0" xr:uid="{00000000-0006-0000-0100-00002C000000}">
      <text>
        <r>
          <rPr>
            <b/>
            <sz val="9"/>
            <color indexed="81"/>
            <rFont val="Tahoma"/>
            <family val="2"/>
          </rPr>
          <t>Quantumuser:</t>
        </r>
        <r>
          <rPr>
            <sz val="9"/>
            <color indexed="81"/>
            <rFont val="Tahoma"/>
            <family val="2"/>
          </rPr>
          <t xml:space="preserve">
rev0 = 5.85
rev1 = 6.63
</t>
        </r>
      </text>
    </comment>
    <comment ref="R63" authorId="1" shapeId="0" xr:uid="{00000000-0006-0000-0100-00002D000000}">
      <text>
        <r>
          <rPr>
            <b/>
            <sz val="9"/>
            <color indexed="81"/>
            <rFont val="Tahoma"/>
            <family val="2"/>
          </rPr>
          <t>Windows User:</t>
        </r>
        <r>
          <rPr>
            <sz val="9"/>
            <color indexed="81"/>
            <rFont val="Tahoma"/>
            <family val="2"/>
          </rPr>
          <t xml:space="preserve">
rev0 = 5.4
rev 1= 5.7 PTTOR ขอรับเพิ่ม 0.3 KT
</t>
        </r>
      </text>
    </comment>
    <comment ref="V63" authorId="0" shapeId="0" xr:uid="{00000000-0006-0000-0100-00002E000000}">
      <text>
        <r>
          <rPr>
            <b/>
            <sz val="9"/>
            <color indexed="81"/>
            <rFont val="Tahoma"/>
            <family val="2"/>
          </rPr>
          <t>Quantumuser:</t>
        </r>
        <r>
          <rPr>
            <sz val="9"/>
            <color indexed="81"/>
            <rFont val="Tahoma"/>
            <family val="2"/>
          </rPr>
          <t xml:space="preserve">
rev0 = 5.58 
rev1 = 5.8 PTTEP : เพิ่มประมาณการจัดส่ง </t>
        </r>
      </text>
    </comment>
    <comment ref="K64" authorId="0" shapeId="0" xr:uid="{00000000-0006-0000-0100-00002F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1" shapeId="0" xr:uid="{00000000-0006-0000-0100-000030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1" shapeId="0" xr:uid="{00000000-0006-0000-0100-000031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1" shapeId="0" xr:uid="{00000000-0006-0000-0100-000032000000}">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00000000-0006-0000-0100-000033000000}">
      <text>
        <r>
          <rPr>
            <b/>
            <sz val="9"/>
            <color indexed="81"/>
            <rFont val="Tahoma"/>
            <family val="2"/>
          </rPr>
          <t>Quantumuser:</t>
        </r>
        <r>
          <rPr>
            <sz val="9"/>
            <color indexed="81"/>
            <rFont val="Tahoma"/>
            <family val="2"/>
          </rPr>
          <t xml:space="preserve">
GSP KHM ปรับลด ตาม demand โรงไฟฟ้าขนอม</t>
        </r>
      </text>
    </comment>
    <comment ref="D93" authorId="1" shapeId="0" xr:uid="{00000000-0006-0000-0100-000034000000}">
      <text>
        <r>
          <rPr>
            <b/>
            <sz val="9"/>
            <color indexed="81"/>
            <rFont val="Tahoma"/>
            <family val="2"/>
          </rPr>
          <t>Windows User:</t>
        </r>
        <r>
          <rPr>
            <sz val="9"/>
            <color indexed="81"/>
            <rFont val="Tahoma"/>
            <family val="2"/>
          </rPr>
          <t xml:space="preserve">
Port chart 4-6 $/Ton (split 22 KT)</t>
        </r>
      </text>
    </comment>
    <comment ref="E95" authorId="0" shapeId="0" xr:uid="{00000000-0006-0000-0100-000035000000}">
      <text>
        <r>
          <rPr>
            <b/>
            <sz val="9"/>
            <color indexed="81"/>
            <rFont val="Tahoma"/>
            <family val="2"/>
          </rPr>
          <t>Quantumuser:</t>
        </r>
        <r>
          <rPr>
            <sz val="9"/>
            <color indexed="81"/>
            <rFont val="Tahoma"/>
            <family val="2"/>
          </rPr>
          <t xml:space="preserve">
rev0 = 90.5 (import 14.5 KT)
rev1 = 95 KT</t>
        </r>
      </text>
    </comment>
    <comment ref="G95" authorId="1" shapeId="0" xr:uid="{00000000-0006-0000-0100-000036000000}">
      <text>
        <r>
          <rPr>
            <b/>
            <sz val="9"/>
            <color indexed="81"/>
            <rFont val="Tahoma"/>
            <family val="2"/>
          </rPr>
          <t>Windows User:</t>
        </r>
        <r>
          <rPr>
            <sz val="9"/>
            <color indexed="81"/>
            <rFont val="Tahoma"/>
            <family val="2"/>
          </rPr>
          <t xml:space="preserve">
rev0 =74 
rev1= 72 KT cause GSP3 trip</t>
        </r>
      </text>
    </comment>
    <comment ref="H95" authorId="1" shapeId="0" xr:uid="{00000000-0006-0000-0100-000037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95" authorId="0" shapeId="0" xr:uid="{00000000-0006-0000-0100-000038000000}">
      <text>
        <r>
          <rPr>
            <b/>
            <sz val="9"/>
            <color indexed="81"/>
            <rFont val="Tahoma"/>
            <family val="2"/>
          </rPr>
          <t>Quantumuser:</t>
        </r>
        <r>
          <rPr>
            <sz val="9"/>
            <color indexed="81"/>
            <rFont val="Tahoma"/>
            <family val="2"/>
          </rPr>
          <t xml:space="preserve">
rev0 = 61.5
rev1 = 62 KT เนื่องจาก carry over C3 from Aug 0.5 KT</t>
        </r>
      </text>
    </comment>
    <comment ref="J95" authorId="1" shapeId="0" xr:uid="{00000000-0006-0000-0100-000039000000}">
      <text>
        <r>
          <rPr>
            <b/>
            <sz val="9"/>
            <color indexed="81"/>
            <rFont val="Tahoma"/>
            <family val="2"/>
          </rPr>
          <t>Windows User:
rev0 = 62
rev1 = 65.6
rev2 = 66 KT
rev3 = 67 KT
rev4 = 63 KT (โยกไปพย 4 KT)</t>
        </r>
      </text>
    </comment>
    <comment ref="K95" authorId="0" shapeId="0" xr:uid="{00000000-0006-0000-0100-00003A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95" authorId="0" shapeId="0" xr:uid="{00000000-0006-0000-0100-00003B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95" authorId="0" shapeId="0" xr:uid="{00000000-0006-0000-0100-00003C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95" authorId="0" shapeId="0" xr:uid="{00000000-0006-0000-0100-00003D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95" authorId="0" shapeId="0" xr:uid="{00000000-0006-0000-0100-00003E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95" authorId="0" shapeId="0" xr:uid="{00000000-0006-0000-0100-00003F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95" authorId="1" shapeId="0" xr:uid="{00000000-0006-0000-0100-000040000000}">
      <text>
        <r>
          <rPr>
            <b/>
            <sz val="9"/>
            <color indexed="81"/>
            <rFont val="Tahoma"/>
            <family val="2"/>
          </rPr>
          <t xml:space="preserve">Windows User:
Feb </t>
        </r>
        <r>
          <rPr>
            <sz val="9"/>
            <color indexed="81"/>
            <rFont val="Tahoma"/>
            <family val="2"/>
          </rPr>
          <t>57.488
Mar 36.591</t>
        </r>
      </text>
    </comment>
    <comment ref="R95" authorId="0" shapeId="0" xr:uid="{00000000-0006-0000-0100-000041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95" authorId="1" shapeId="0" xr:uid="{00000000-0006-0000-0100-000042000000}">
      <text>
        <r>
          <rPr>
            <b/>
            <sz val="9"/>
            <color indexed="81"/>
            <rFont val="Tahoma"/>
            <family val="2"/>
          </rPr>
          <t>Windows User:</t>
        </r>
        <r>
          <rPr>
            <sz val="9"/>
            <color indexed="81"/>
            <rFont val="Tahoma"/>
            <family val="2"/>
          </rPr>
          <t xml:space="preserve">
Feb 61.541
Mar 25.252</t>
        </r>
      </text>
    </comment>
    <comment ref="Q97" authorId="1" shapeId="0" xr:uid="{00000000-0006-0000-0100-000043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97" authorId="1" shapeId="0" xr:uid="{00000000-0006-0000-0100-000044000000}">
      <text>
        <r>
          <rPr>
            <b/>
            <sz val="9"/>
            <color indexed="81"/>
            <rFont val="Tahoma"/>
            <family val="2"/>
          </rPr>
          <t>Windows User:</t>
        </r>
        <r>
          <rPr>
            <sz val="9"/>
            <color indexed="81"/>
            <rFont val="Tahoma"/>
            <family val="2"/>
          </rPr>
          <t xml:space="preserve">
ก่อนเกิดเหต GSP5 = 23 KT
</t>
        </r>
      </text>
    </comment>
    <comment ref="X97" authorId="1" shapeId="0" xr:uid="{00000000-0006-0000-0100-000045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97" authorId="1" shapeId="0" xr:uid="{00000000-0006-0000-0100-00004600000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t>
        </r>
      </text>
    </comment>
    <comment ref="AF97" authorId="0" shapeId="0" xr:uid="{00000000-0006-0000-0100-000047000000}">
      <text>
        <r>
          <rPr>
            <b/>
            <sz val="9"/>
            <color indexed="81"/>
            <rFont val="Tahoma"/>
            <family val="2"/>
          </rPr>
          <t>Quantumuser:</t>
        </r>
        <r>
          <rPr>
            <sz val="9"/>
            <color indexed="81"/>
            <rFont val="Tahoma"/>
            <family val="2"/>
          </rPr>
          <t xml:space="preserve">
Oleflex SD Aug'20 -Sep'20</t>
        </r>
      </text>
    </comment>
    <comment ref="AG97" authorId="0" shapeId="0" xr:uid="{00000000-0006-0000-0100-000048000000}">
      <text>
        <r>
          <rPr>
            <b/>
            <sz val="9"/>
            <color indexed="81"/>
            <rFont val="Tahoma"/>
            <family val="2"/>
          </rPr>
          <t>Quantumuser:</t>
        </r>
        <r>
          <rPr>
            <sz val="9"/>
            <color indexed="81"/>
            <rFont val="Tahoma"/>
            <family val="2"/>
          </rPr>
          <t xml:space="preserve">
Oleflex SD Aug'20 -Sep'20
BZ 20.7259301179628 KT
</t>
        </r>
      </text>
    </comment>
    <comment ref="R98" authorId="1" shapeId="0" xr:uid="{00000000-0006-0000-0100-000049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98" authorId="1" shapeId="0" xr:uid="{00000000-0006-0000-0100-00004A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98" authorId="0" shapeId="0" xr:uid="{00000000-0006-0000-0100-00004B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98" authorId="1" shapeId="0" xr:uid="{00000000-0006-0000-0100-00004C000000}">
      <text>
        <r>
          <rPr>
            <b/>
            <sz val="9"/>
            <color indexed="81"/>
            <rFont val="Tahoma"/>
            <family val="2"/>
          </rPr>
          <t>Windows User:</t>
        </r>
        <r>
          <rPr>
            <sz val="9"/>
            <color indexed="81"/>
            <rFont val="Tahoma"/>
            <family val="2"/>
          </rPr>
          <t xml:space="preserve">
25
</t>
        </r>
      </text>
    </comment>
    <comment ref="W98" authorId="1" shapeId="0" xr:uid="{00000000-0006-0000-0100-00004D000000}">
      <text>
        <r>
          <rPr>
            <b/>
            <sz val="9"/>
            <color indexed="81"/>
            <rFont val="Tahoma"/>
            <family val="2"/>
          </rPr>
          <t>Windows User:</t>
        </r>
        <r>
          <rPr>
            <sz val="9"/>
            <color indexed="81"/>
            <rFont val="Tahoma"/>
            <family val="2"/>
          </rPr>
          <t xml:space="preserve">
ก่อนเกิดเหต GSP5 = 18.5 KT
 </t>
        </r>
      </text>
    </comment>
    <comment ref="X98" authorId="1" shapeId="0" xr:uid="{00000000-0006-0000-0100-00004E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98" authorId="1" shapeId="0" xr:uid="{00000000-0006-0000-0100-00004F000000}">
      <text>
        <r>
          <rPr>
            <b/>
            <sz val="9"/>
            <color indexed="81"/>
            <rFont val="Tahoma"/>
            <family val="2"/>
          </rPr>
          <t>Windows User:</t>
        </r>
        <r>
          <rPr>
            <sz val="9"/>
            <color indexed="81"/>
            <rFont val="Tahoma"/>
            <family val="2"/>
          </rPr>
          <t xml:space="preserve">
rev0 = 34.1
rev1 = 33.1 GC แจ้ง drop -1 KT โดยยังอยู่ใน 3%</t>
        </r>
      </text>
    </comment>
    <comment ref="Z98" authorId="1" shapeId="0" xr:uid="{00000000-0006-0000-0100-000050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Z99" authorId="1" shapeId="0" xr:uid="{00000000-0006-0000-0100-000051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E99" authorId="0" shapeId="0" xr:uid="{00000000-0006-0000-0100-000052000000}">
      <text>
        <r>
          <rPr>
            <b/>
            <sz val="9"/>
            <color indexed="81"/>
            <rFont val="Tahoma"/>
            <family val="2"/>
          </rPr>
          <t>Quantumuser:</t>
        </r>
        <r>
          <rPr>
            <sz val="9"/>
            <color indexed="81"/>
            <rFont val="Tahoma"/>
            <family val="2"/>
          </rPr>
          <t xml:space="preserve">
GSP6 TA</t>
        </r>
      </text>
    </comment>
    <comment ref="E101" authorId="0" shapeId="0" xr:uid="{00000000-0006-0000-0100-000053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01" authorId="0" shapeId="0" xr:uid="{00000000-0006-0000-0100-000054000000}">
      <text>
        <r>
          <rPr>
            <b/>
            <sz val="9"/>
            <color indexed="81"/>
            <rFont val="Tahoma"/>
            <family val="2"/>
          </rPr>
          <t>Quantumuser:</t>
        </r>
        <r>
          <rPr>
            <sz val="9"/>
            <color indexed="81"/>
            <rFont val="Tahoma"/>
            <family val="2"/>
          </rPr>
          <t xml:space="preserve">
rev0 = 35
rev1 = 32 โยกไปรับเดือน พค. ก่อน 3 KT
</t>
        </r>
      </text>
    </comment>
    <comment ref="G101" authorId="1" shapeId="0" xr:uid="{00000000-0006-0000-0100-000055000000}">
      <text>
        <r>
          <rPr>
            <b/>
            <sz val="9"/>
            <color indexed="81"/>
            <rFont val="Tahoma"/>
            <family val="2"/>
          </rPr>
          <t>Windows User:</t>
        </r>
        <r>
          <rPr>
            <sz val="9"/>
            <color indexed="81"/>
            <rFont val="Tahoma"/>
            <family val="2"/>
          </rPr>
          <t xml:space="preserve">
rev0 = 19 
rev1= 15 KT cause GSP3 trip</t>
        </r>
      </text>
    </comment>
    <comment ref="L101" authorId="0" shapeId="0" xr:uid="{00000000-0006-0000-0100-000056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01" authorId="0" shapeId="0" xr:uid="{00000000-0006-0000-0100-000057000000}">
      <text>
        <r>
          <rPr>
            <b/>
            <sz val="9"/>
            <color indexed="81"/>
            <rFont val="Tahoma"/>
            <family val="2"/>
          </rPr>
          <t>Quantumuser:</t>
        </r>
        <r>
          <rPr>
            <sz val="9"/>
            <color indexed="81"/>
            <rFont val="Tahoma"/>
            <family val="2"/>
          </rPr>
          <t xml:space="preserve">
roc base 12 kt
roc spot 9 kt (MOP’J -80)</t>
        </r>
      </text>
    </comment>
    <comment ref="Q101" authorId="0" shapeId="0" xr:uid="{00000000-0006-0000-0100-000058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01" authorId="0" shapeId="0" xr:uid="{00000000-0006-0000-0100-000059000000}">
      <text>
        <r>
          <rPr>
            <b/>
            <sz val="9"/>
            <color indexed="81"/>
            <rFont val="Tahoma"/>
            <family val="2"/>
          </rPr>
          <t>Quantumuser:</t>
        </r>
        <r>
          <rPr>
            <sz val="9"/>
            <color indexed="81"/>
            <rFont val="Tahoma"/>
            <family val="2"/>
          </rPr>
          <t xml:space="preserve">
MOC TA May- Jun'20
</t>
        </r>
      </text>
    </comment>
    <comment ref="V101" authorId="1" shapeId="0" xr:uid="{00000000-0006-0000-0100-00005A000000}">
      <text>
        <r>
          <rPr>
            <b/>
            <sz val="9"/>
            <color indexed="81"/>
            <rFont val="Tahoma"/>
            <family val="2"/>
          </rPr>
          <t>Windows User:</t>
        </r>
        <r>
          <rPr>
            <sz val="9"/>
            <color indexed="81"/>
            <rFont val="Tahoma"/>
            <family val="2"/>
          </rPr>
          <t xml:space="preserve">
rev0 = 33.4 
rev1 = 39.4 KT โยกมาจากเดือน May +6 KT
MOC TA</t>
        </r>
      </text>
    </comment>
    <comment ref="W101" authorId="1" shapeId="0" xr:uid="{00000000-0006-0000-0100-00005B000000}">
      <text>
        <r>
          <rPr>
            <b/>
            <sz val="9"/>
            <color indexed="81"/>
            <rFont val="Tahoma"/>
            <family val="2"/>
          </rPr>
          <t>Windows User:</t>
        </r>
        <r>
          <rPr>
            <sz val="9"/>
            <color indexed="81"/>
            <rFont val="Tahoma"/>
            <family val="2"/>
          </rPr>
          <t xml:space="preserve">
MOC TA</t>
        </r>
      </text>
    </comment>
    <comment ref="Z101" authorId="1" shapeId="0" xr:uid="{00000000-0006-0000-0100-00005C000000}">
      <text>
        <r>
          <rPr>
            <b/>
            <sz val="9"/>
            <color indexed="81"/>
            <rFont val="Tahoma"/>
            <family val="2"/>
          </rPr>
          <t>Windows User:</t>
        </r>
        <r>
          <rPr>
            <sz val="9"/>
            <color indexed="81"/>
            <rFont val="Tahoma"/>
            <family val="2"/>
          </rPr>
          <t xml:space="preserve">
17.6 KT เป็น Spot price : MOP'J-70</t>
        </r>
      </text>
    </comment>
    <comment ref="G102" authorId="0" shapeId="0" xr:uid="{00000000-0006-0000-0100-00005D000000}">
      <text>
        <r>
          <rPr>
            <b/>
            <sz val="9"/>
            <color indexed="81"/>
            <rFont val="Tahoma"/>
            <family val="2"/>
          </rPr>
          <t xml:space="preserve">Quantumuser:
rev0  =27.8
rev1 = 24.5   HMC delay start up
</t>
        </r>
      </text>
    </comment>
    <comment ref="H102" authorId="0" shapeId="0" xr:uid="{00000000-0006-0000-0100-00005E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02" authorId="0" shapeId="0" xr:uid="{00000000-0006-0000-0100-00005F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02" authorId="0" shapeId="0" xr:uid="{00000000-0006-0000-0100-000060000000}">
      <text>
        <r>
          <rPr>
            <b/>
            <sz val="9"/>
            <color indexed="81"/>
            <rFont val="Tahoma"/>
            <family val="2"/>
          </rPr>
          <t>Quantumuser:</t>
        </r>
        <r>
          <rPr>
            <sz val="9"/>
            <color indexed="81"/>
            <rFont val="Tahoma"/>
            <family val="2"/>
          </rPr>
          <t xml:space="preserve">
rev0 = 32.55 KT
rev1 = 33.48 KT HMC run 100% @1,080 Ton/day</t>
        </r>
      </text>
    </comment>
    <comment ref="K102" authorId="0" shapeId="0" xr:uid="{00000000-0006-0000-0100-000061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02" authorId="0" shapeId="0" xr:uid="{00000000-0006-0000-0100-000062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02" authorId="0" shapeId="0" xr:uid="{00000000-0006-0000-0100-000063000000}">
      <text>
        <r>
          <rPr>
            <b/>
            <sz val="9"/>
            <color indexed="81"/>
            <rFont val="Tahoma"/>
            <family val="2"/>
          </rPr>
          <t>Quantumuser
HMC has planned to receive Propane at 1,060 Ton/day (98%) เพื่อรักษา catalyst ใน reactor</t>
        </r>
      </text>
    </comment>
    <comment ref="N102" authorId="0" shapeId="0" xr:uid="{00000000-0006-0000-0100-000064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02" authorId="0" shapeId="0" xr:uid="{00000000-0006-0000-0100-000065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02" authorId="0" shapeId="0" xr:uid="{00000000-0006-0000-0100-000066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02" authorId="0" shapeId="0" xr:uid="{00000000-0006-0000-0100-000067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02" authorId="0" shapeId="0" xr:uid="{00000000-0006-0000-0100-000068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02" authorId="0" shapeId="0" xr:uid="{00000000-0006-0000-0100-000069000000}">
      <text>
        <r>
          <rPr>
            <b/>
            <sz val="9"/>
            <color indexed="81"/>
            <rFont val="Tahoma"/>
            <family val="2"/>
          </rPr>
          <t xml:space="preserve">Quantumuser
rev0 =27
rev1 = 25.8
</t>
        </r>
      </text>
    </comment>
    <comment ref="U102" authorId="0" shapeId="0" xr:uid="{00000000-0006-0000-0100-00006A000000}">
      <text>
        <r>
          <rPr>
            <b/>
            <sz val="9"/>
            <color indexed="81"/>
            <rFont val="Tahoma"/>
            <family val="2"/>
          </rPr>
          <t xml:space="preserve">rev0 = 31.8
rev1 = 30.3 </t>
        </r>
      </text>
    </comment>
    <comment ref="V102" authorId="0" shapeId="0" xr:uid="{00000000-0006-0000-0100-00006B000000}">
      <text>
        <r>
          <rPr>
            <b/>
            <sz val="9"/>
            <color indexed="81"/>
            <rFont val="Tahoma"/>
            <family val="2"/>
          </rPr>
          <t>HMC รับลดลงเหลือ 1000 - 1040 จากแผน 1060 เนื่องจากReactor no3 has high different pressure.</t>
        </r>
      </text>
    </comment>
    <comment ref="W102" authorId="0" shapeId="0" xr:uid="{00000000-0006-0000-0100-00006C000000}">
      <text>
        <r>
          <rPr>
            <b/>
            <sz val="9"/>
            <color indexed="81"/>
            <rFont val="Tahoma"/>
            <family val="2"/>
          </rPr>
          <t xml:space="preserve">Quantumuser
HMC has planned to receive Propane at 1,080 Ton/day (100%) เนื่องจากเปลี่ยน catalyst ใน reactor ใหม่แล้ว
</t>
        </r>
      </text>
    </comment>
    <comment ref="X102" authorId="0" shapeId="0" xr:uid="{00000000-0006-0000-0100-00006D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02" authorId="1" shapeId="0" xr:uid="{00000000-0006-0000-0100-00006E000000}">
      <text>
        <r>
          <rPr>
            <b/>
            <sz val="9"/>
            <color indexed="81"/>
            <rFont val="Tahoma"/>
            <family val="2"/>
          </rPr>
          <t>Windows User:</t>
        </r>
        <r>
          <rPr>
            <sz val="9"/>
            <color indexed="81"/>
            <rFont val="Tahoma"/>
            <family val="2"/>
          </rPr>
          <t xml:space="preserve">
HMC รับ 1,040 Ton/hr.</t>
        </r>
      </text>
    </comment>
    <comment ref="Z102" authorId="1" shapeId="0" xr:uid="{00000000-0006-0000-0100-00006F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02" authorId="1" shapeId="0" xr:uid="{00000000-0006-0000-0100-000070000000}">
      <text>
        <r>
          <rPr>
            <b/>
            <sz val="9"/>
            <color indexed="81"/>
            <rFont val="Tahoma"/>
            <family val="2"/>
          </rPr>
          <t>Windows User:</t>
        </r>
        <r>
          <rPr>
            <sz val="9"/>
            <color indexed="81"/>
            <rFont val="Tahoma"/>
            <family val="2"/>
          </rPr>
          <t xml:space="preserve">
HMC รับ 1,040 Ton/day</t>
        </r>
      </text>
    </comment>
    <comment ref="AE102" authorId="0" shapeId="0" xr:uid="{00000000-0006-0000-0100-000071000000}">
      <text>
        <r>
          <rPr>
            <b/>
            <sz val="9"/>
            <color indexed="81"/>
            <rFont val="Tahoma"/>
            <family val="2"/>
          </rPr>
          <t>Quantumuser:</t>
        </r>
        <r>
          <rPr>
            <sz val="9"/>
            <color indexed="81"/>
            <rFont val="Tahoma"/>
            <family val="2"/>
          </rPr>
          <t xml:space="preserve">
GSP6 TA แบ่งตามสัดส่วน</t>
        </r>
      </text>
    </comment>
    <comment ref="AH102" authorId="0" shapeId="0" xr:uid="{00000000-0006-0000-0100-000072000000}">
      <text>
        <r>
          <rPr>
            <b/>
            <sz val="9"/>
            <color indexed="81"/>
            <rFont val="Tahoma"/>
            <family val="2"/>
          </rPr>
          <t>Quantumuser:</t>
        </r>
        <r>
          <rPr>
            <sz val="9"/>
            <color indexed="81"/>
            <rFont val="Tahoma"/>
            <family val="2"/>
          </rPr>
          <t xml:space="preserve">
HMC SD 10 days</t>
        </r>
      </text>
    </comment>
    <comment ref="AI102" authorId="0" shapeId="0" xr:uid="{00000000-0006-0000-0100-000073000000}">
      <text>
        <r>
          <rPr>
            <b/>
            <sz val="9"/>
            <color indexed="81"/>
            <rFont val="Tahoma"/>
            <family val="2"/>
          </rPr>
          <t>Quantumuser:</t>
        </r>
        <r>
          <rPr>
            <sz val="9"/>
            <color indexed="81"/>
            <rFont val="Tahoma"/>
            <family val="2"/>
          </rPr>
          <t xml:space="preserve">
HMC SD 30 days</t>
        </r>
      </text>
    </comment>
    <comment ref="F103" authorId="0" shapeId="0" xr:uid="{00000000-0006-0000-0100-000074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03" authorId="1" shapeId="0" xr:uid="{00000000-0006-0000-0100-000075000000}">
      <text>
        <r>
          <rPr>
            <b/>
            <sz val="9"/>
            <color indexed="81"/>
            <rFont val="Tahoma"/>
            <family val="2"/>
          </rPr>
          <t>Windows User:</t>
        </r>
        <r>
          <rPr>
            <sz val="9"/>
            <color indexed="81"/>
            <rFont val="Tahoma"/>
            <family val="2"/>
          </rPr>
          <t xml:space="preserve">
rev0 = 31.837
rev1= 30.837 KT cause GSP3 trip</t>
        </r>
      </text>
    </comment>
    <comment ref="L103" authorId="0" shapeId="0" xr:uid="{00000000-0006-0000-0100-000076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03" authorId="0" shapeId="0" xr:uid="{00000000-0006-0000-0100-000077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03" authorId="1" shapeId="0" xr:uid="{00000000-0006-0000-0100-000078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03" authorId="1" shapeId="0" xr:uid="{00000000-0006-0000-0100-000079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03" authorId="1" shapeId="0" xr:uid="{00000000-0006-0000-0100-00007A000000}">
      <text>
        <r>
          <rPr>
            <b/>
            <sz val="9"/>
            <color indexed="81"/>
            <rFont val="Tahoma"/>
            <family val="2"/>
          </rPr>
          <t>Windows User:</t>
        </r>
        <r>
          <rPr>
            <sz val="9"/>
            <color indexed="81"/>
            <rFont val="Tahoma"/>
            <family val="2"/>
          </rPr>
          <t xml:space="preserve">
rev0 = 27.118
rev1 = 20.55 PTTAC plan to S/D 1 Reactor on 1 Apr’202
</t>
        </r>
      </text>
    </comment>
    <comment ref="Q103" authorId="1" shapeId="0" xr:uid="{00000000-0006-0000-0100-00007B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03" authorId="1" shapeId="0" xr:uid="{00000000-0006-0000-0100-00007C000000}">
      <text>
        <r>
          <rPr>
            <b/>
            <sz val="9"/>
            <color indexed="81"/>
            <rFont val="Tahoma"/>
            <family val="2"/>
          </rPr>
          <t>Windows User:</t>
        </r>
        <r>
          <rPr>
            <sz val="9"/>
            <color indexed="81"/>
            <rFont val="Tahoma"/>
            <family val="2"/>
          </rPr>
          <t xml:space="preserve">
rev0 28.032 
rev1 27.120
May
18.486 
rev0= 20 KT</t>
        </r>
      </text>
    </comment>
    <comment ref="T103" authorId="1" shapeId="0" xr:uid="{00000000-0006-0000-0100-00007D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03" authorId="1" shapeId="0" xr:uid="{00000000-0006-0000-0100-00007E000000}">
      <text>
        <r>
          <rPr>
            <b/>
            <sz val="9"/>
            <color indexed="81"/>
            <rFont val="Tahoma"/>
            <family val="2"/>
          </rPr>
          <t>Windows User:</t>
        </r>
        <r>
          <rPr>
            <sz val="9"/>
            <color indexed="81"/>
            <rFont val="Tahoma"/>
            <family val="2"/>
          </rPr>
          <t xml:space="preserve">
ปรับลดจากผลกระทบ GSP5 แล้ว -8%</t>
        </r>
      </text>
    </comment>
    <comment ref="Z103" authorId="1" shapeId="0" xr:uid="{00000000-0006-0000-0100-00007F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E103" authorId="0" shapeId="0" xr:uid="{00000000-0006-0000-0100-000080000000}">
      <text>
        <r>
          <rPr>
            <b/>
            <sz val="9"/>
            <color indexed="81"/>
            <rFont val="Tahoma"/>
            <family val="2"/>
          </rPr>
          <t>Quantumuser:</t>
        </r>
        <r>
          <rPr>
            <sz val="9"/>
            <color indexed="81"/>
            <rFont val="Tahoma"/>
            <family val="2"/>
          </rPr>
          <t xml:space="preserve">
PTTAC TA</t>
        </r>
      </text>
    </comment>
    <comment ref="AF103" authorId="0" shapeId="0" xr:uid="{00000000-0006-0000-0100-000081000000}">
      <text>
        <r>
          <rPr>
            <b/>
            <sz val="9"/>
            <color indexed="81"/>
            <rFont val="Tahoma"/>
            <family val="2"/>
          </rPr>
          <t>Quantumuser:</t>
        </r>
        <r>
          <rPr>
            <sz val="9"/>
            <color indexed="81"/>
            <rFont val="Tahoma"/>
            <family val="2"/>
          </rPr>
          <t xml:space="preserve">
PTTAC TA</t>
        </r>
      </text>
    </comment>
    <comment ref="U105" authorId="1" shapeId="0" xr:uid="{00000000-0006-0000-0100-000082000000}">
      <text>
        <r>
          <rPr>
            <b/>
            <sz val="9"/>
            <color indexed="81"/>
            <rFont val="Tahoma"/>
            <family val="2"/>
          </rPr>
          <t>Windows User:</t>
        </r>
        <r>
          <rPr>
            <sz val="9"/>
            <color indexed="81"/>
            <rFont val="Tahoma"/>
            <family val="2"/>
          </rPr>
          <t xml:space="preserve">
rev0 = 0.27
rev1 = 0.7 KT Ordemand เพิ่ม</t>
        </r>
      </text>
    </comment>
    <comment ref="I111" authorId="1" shapeId="0" xr:uid="{00000000-0006-0000-0100-000083000000}">
      <text>
        <r>
          <rPr>
            <b/>
            <sz val="9"/>
            <color indexed="81"/>
            <rFont val="Tahoma"/>
            <family val="2"/>
          </rPr>
          <t>Windows User:</t>
        </r>
        <r>
          <rPr>
            <sz val="9"/>
            <color indexed="81"/>
            <rFont val="Tahoma"/>
            <family val="2"/>
          </rPr>
          <t xml:space="preserve">
rev0 = 32
rev1 = 33.28 SGP ขอรับเพิ่ม 4%</t>
        </r>
      </text>
    </comment>
    <comment ref="J111" authorId="1" shapeId="0" xr:uid="{00000000-0006-0000-0100-000084000000}">
      <text>
        <r>
          <rPr>
            <b/>
            <sz val="9"/>
            <color indexed="81"/>
            <rFont val="Tahoma"/>
            <family val="2"/>
          </rPr>
          <t>Windows User:</t>
        </r>
        <r>
          <rPr>
            <sz val="9"/>
            <color indexed="81"/>
            <rFont val="Tahoma"/>
            <family val="2"/>
          </rPr>
          <t xml:space="preserve">
rev0 = 32
rev1 = 33.6 SGP ขอรับเพิ่ม 5%</t>
        </r>
      </text>
    </comment>
    <comment ref="K111" authorId="1" shapeId="0" xr:uid="{00000000-0006-0000-0100-000085000000}">
      <text>
        <r>
          <rPr>
            <b/>
            <sz val="9"/>
            <color indexed="81"/>
            <rFont val="Tahoma"/>
            <family val="2"/>
          </rPr>
          <t>Windows User:</t>
        </r>
        <r>
          <rPr>
            <sz val="9"/>
            <color indexed="81"/>
            <rFont val="Tahoma"/>
            <family val="2"/>
          </rPr>
          <t xml:space="preserve">
rev0 = 32
rev1 = 33.6 SGP ขอรับเพิ่ม 5%</t>
        </r>
      </text>
    </comment>
    <comment ref="L111" authorId="1" shapeId="0" xr:uid="{00000000-0006-0000-0100-000086000000}">
      <text>
        <r>
          <rPr>
            <b/>
            <sz val="9"/>
            <color indexed="81"/>
            <rFont val="Tahoma"/>
            <family val="2"/>
          </rPr>
          <t>Windows User:</t>
        </r>
        <r>
          <rPr>
            <sz val="9"/>
            <color indexed="81"/>
            <rFont val="Tahoma"/>
            <family val="2"/>
          </rPr>
          <t xml:space="preserve">
rev0 = 32
rev1 = 33.6 SGP ขอรับเพิ่ม 5%</t>
        </r>
      </text>
    </comment>
    <comment ref="I112" authorId="1" shapeId="0" xr:uid="{00000000-0006-0000-0100-000087000000}">
      <text>
        <r>
          <rPr>
            <b/>
            <sz val="9"/>
            <color indexed="81"/>
            <rFont val="Tahoma"/>
            <family val="2"/>
          </rPr>
          <t>Windows User:</t>
        </r>
        <r>
          <rPr>
            <sz val="9"/>
            <color indexed="81"/>
            <rFont val="Tahoma"/>
            <family val="2"/>
          </rPr>
          <t xml:space="preserve">
rev0 = 12 KT
rev1 = 12.48 KT SGP ขอรับเพิ่ม 4%</t>
        </r>
      </text>
    </comment>
    <comment ref="J112" authorId="1" shapeId="0" xr:uid="{00000000-0006-0000-0100-000088000000}">
      <text>
        <r>
          <rPr>
            <b/>
            <sz val="9"/>
            <color indexed="81"/>
            <rFont val="Tahoma"/>
            <family val="2"/>
          </rPr>
          <t>Windows User:</t>
        </r>
        <r>
          <rPr>
            <sz val="9"/>
            <color indexed="81"/>
            <rFont val="Tahoma"/>
            <family val="2"/>
          </rPr>
          <t xml:space="preserve">
rev0 = 12 KT
rev1 = 12.6 KT SGP ขอรับเพิ่ม 5%</t>
        </r>
      </text>
    </comment>
    <comment ref="K112" authorId="1" shapeId="0" xr:uid="{00000000-0006-0000-0100-000089000000}">
      <text>
        <r>
          <rPr>
            <b/>
            <sz val="9"/>
            <color indexed="81"/>
            <rFont val="Tahoma"/>
            <family val="2"/>
          </rPr>
          <t>Windows User:</t>
        </r>
        <r>
          <rPr>
            <sz val="9"/>
            <color indexed="81"/>
            <rFont val="Tahoma"/>
            <family val="2"/>
          </rPr>
          <t xml:space="preserve">
rev0 = 12 KT
rev1 = 12.6 KT SGP ขอรับเพิ่ม 5%</t>
        </r>
      </text>
    </comment>
    <comment ref="L112" authorId="1" shapeId="0" xr:uid="{00000000-0006-0000-0100-00008A000000}">
      <text>
        <r>
          <rPr>
            <b/>
            <sz val="9"/>
            <color indexed="81"/>
            <rFont val="Tahoma"/>
            <family val="2"/>
          </rPr>
          <t>Windows User:</t>
        </r>
        <r>
          <rPr>
            <sz val="9"/>
            <color indexed="81"/>
            <rFont val="Tahoma"/>
            <family val="2"/>
          </rPr>
          <t xml:space="preserve">
rev0 = 12 KT
rev1 = 12.6 KT SGP ขอรับเพิ่ม 5%</t>
        </r>
      </text>
    </comment>
    <comment ref="J124" authorId="0" shapeId="0" xr:uid="{00000000-0006-0000-0100-00008B000000}">
      <text>
        <r>
          <rPr>
            <b/>
            <sz val="9"/>
            <color indexed="81"/>
            <rFont val="Tahoma"/>
            <family val="2"/>
          </rPr>
          <t>Quantumuser:</t>
        </r>
        <r>
          <rPr>
            <sz val="9"/>
            <color indexed="81"/>
            <rFont val="Tahoma"/>
            <family val="2"/>
          </rPr>
          <t xml:space="preserve">
rev0 = 2
rev 1 = 1.2 KT</t>
        </r>
      </text>
    </comment>
    <comment ref="K124" authorId="0" shapeId="0" xr:uid="{00000000-0006-0000-0100-00008C000000}">
      <text>
        <r>
          <rPr>
            <b/>
            <sz val="9"/>
            <color indexed="81"/>
            <rFont val="Tahoma"/>
            <family val="2"/>
          </rPr>
          <t>Quantumuser:</t>
        </r>
        <r>
          <rPr>
            <sz val="9"/>
            <color indexed="81"/>
            <rFont val="Tahoma"/>
            <family val="2"/>
          </rPr>
          <t xml:space="preserve">
rev0 3 KT
rev1 = 3.4 KT โยกมาจากเดือน ธค. 62 = 0.4 KT</t>
        </r>
      </text>
    </comment>
    <comment ref="L124" authorId="0" shapeId="0" xr:uid="{00000000-0006-0000-0100-00008D00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J129" authorId="1" shapeId="0" xr:uid="{00000000-0006-0000-0100-00008E000000}">
      <text>
        <r>
          <rPr>
            <b/>
            <sz val="9"/>
            <color indexed="81"/>
            <rFont val="Tahoma"/>
            <family val="2"/>
          </rPr>
          <t>Windows User:</t>
        </r>
        <r>
          <rPr>
            <sz val="9"/>
            <color indexed="81"/>
            <rFont val="Tahoma"/>
            <family val="2"/>
          </rPr>
          <t xml:space="preserve">
rev0 = 4
rev1 = 4.2</t>
        </r>
      </text>
    </comment>
    <comment ref="G135" authorId="0" shapeId="0" xr:uid="{00000000-0006-0000-0100-00008F000000}">
      <text>
        <r>
          <rPr>
            <b/>
            <sz val="9"/>
            <color indexed="81"/>
            <rFont val="Tahoma"/>
            <family val="2"/>
          </rPr>
          <t>Quantumuser:
rev0=0
rev1=2  GC ปรับเพิ่มจาก 19 เป็น 21 KT</t>
        </r>
      </text>
    </comment>
    <comment ref="L141" authorId="1" shapeId="0" xr:uid="{00000000-0006-0000-0100-000090000000}">
      <text>
        <r>
          <rPr>
            <b/>
            <sz val="9"/>
            <color indexed="81"/>
            <rFont val="Tahoma"/>
            <family val="2"/>
          </rPr>
          <t xml:space="preserve">Windows User:
</t>
        </r>
        <r>
          <rPr>
            <sz val="9"/>
            <color indexed="81"/>
            <rFont val="Tahoma"/>
            <family val="2"/>
          </rPr>
          <t>rev0 = 1.8
rev1 = 2.4  ตช ขายเพิ่ม</t>
        </r>
      </text>
    </comment>
    <comment ref="J144" authorId="1" shapeId="0" xr:uid="{00000000-0006-0000-0100-000091000000}">
      <text>
        <r>
          <rPr>
            <b/>
            <sz val="9"/>
            <color indexed="81"/>
            <rFont val="Tahoma"/>
            <family val="2"/>
          </rPr>
          <t>Windows User:</t>
        </r>
        <r>
          <rPr>
            <sz val="9"/>
            <color indexed="81"/>
            <rFont val="Tahoma"/>
            <family val="2"/>
          </rPr>
          <t xml:space="preserve">
rev0 = 5
rev1 = 6.4</t>
        </r>
      </text>
    </comment>
    <comment ref="K144" authorId="1" shapeId="0" xr:uid="{00000000-0006-0000-0100-000092000000}">
      <text>
        <r>
          <rPr>
            <b/>
            <sz val="9"/>
            <color indexed="81"/>
            <rFont val="Tahoma"/>
            <family val="2"/>
          </rPr>
          <t>Windows User:</t>
        </r>
        <r>
          <rPr>
            <sz val="9"/>
            <color indexed="81"/>
            <rFont val="Tahoma"/>
            <family val="2"/>
          </rPr>
          <t xml:space="preserve">
rev0 = 5
rev1 = 6.4
rev2 = 5.6
</t>
        </r>
      </text>
    </comment>
    <comment ref="L144" authorId="1" shapeId="0" xr:uid="{00000000-0006-0000-0100-000093000000}">
      <text>
        <r>
          <rPr>
            <b/>
            <sz val="9"/>
            <color indexed="81"/>
            <rFont val="Tahoma"/>
            <family val="2"/>
          </rPr>
          <t>Windows User:</t>
        </r>
        <r>
          <rPr>
            <sz val="9"/>
            <color indexed="81"/>
            <rFont val="Tahoma"/>
            <family val="2"/>
          </rPr>
          <t xml:space="preserve">
rev0 = 5
rev1 = 5.7
</t>
        </r>
      </text>
    </comment>
  </commentList>
</comments>
</file>

<file path=xl/sharedStrings.xml><?xml version="1.0" encoding="utf-8"?>
<sst xmlns="http://schemas.openxmlformats.org/spreadsheetml/2006/main" count="476" uniqueCount="153">
  <si>
    <t>Total C2 (Ability 3rev2_19Feb'21)</t>
  </si>
  <si>
    <t>KT</t>
  </si>
  <si>
    <t xml:space="preserve">Diff New - Old </t>
  </si>
  <si>
    <t>Low CO2 (ETU 65 Ton/hr.)</t>
  </si>
  <si>
    <t>GSP C2 Production</t>
  </si>
  <si>
    <t>Unit</t>
  </si>
  <si>
    <t>SUM</t>
  </si>
  <si>
    <t>Total C2 (Ability 4rev0_2Mar'21)</t>
  </si>
  <si>
    <t>Ton/hr.</t>
  </si>
  <si>
    <t>Standard Rate</t>
  </si>
  <si>
    <t>Low CO2 GC</t>
  </si>
  <si>
    <t>Low CO2 SCG</t>
  </si>
  <si>
    <t>GSP C2 Low CO2 Production &lt; 65 Ton/hr.</t>
  </si>
  <si>
    <t>Allocate ลดลงตามสัดส่วน</t>
  </si>
  <si>
    <t>GC</t>
  </si>
  <si>
    <t>SCG</t>
  </si>
  <si>
    <t>C2 SCG</t>
  </si>
  <si>
    <t>SCG Demand (Updated on 26/2/64)</t>
  </si>
  <si>
    <t>TON</t>
  </si>
  <si>
    <t>Ton/day</t>
  </si>
  <si>
    <t>Allo C2 Low CO2 to SCG</t>
  </si>
  <si>
    <t>C2 GC</t>
  </si>
  <si>
    <t>Allo C2 Low CO2 to GC</t>
  </si>
  <si>
    <t>Allo C2 High CO2 to GC</t>
  </si>
  <si>
    <t>Total C2 to GC</t>
  </si>
  <si>
    <t xml:space="preserve">Balance Total C2 </t>
  </si>
  <si>
    <t>Balance C2 Low CO2</t>
  </si>
  <si>
    <t>จำนวนวัน</t>
  </si>
  <si>
    <t>Balance C3/LPG</t>
  </si>
  <si>
    <t>Supply Source</t>
  </si>
  <si>
    <t>GSP RY</t>
  </si>
  <si>
    <t>C3/LPG Tank capacity (47,475.6 TON)</t>
  </si>
  <si>
    <t>C3/LPG End Inventory</t>
  </si>
  <si>
    <t>% C3/LPG Inventory</t>
  </si>
  <si>
    <t>%</t>
  </si>
  <si>
    <t>SUM Y2021</t>
  </si>
  <si>
    <t>Import จ่ายแทน GSP</t>
  </si>
  <si>
    <t>รอจำหน่าย</t>
  </si>
  <si>
    <t>ดึง Unknow untax</t>
  </si>
  <si>
    <t>ดึง Import จ่ายเพิ่ม</t>
  </si>
  <si>
    <t>Balance C3</t>
  </si>
  <si>
    <t>C3 Tank capacity (10,820.4 TON)</t>
  </si>
  <si>
    <t>C3 End Inventory</t>
  </si>
  <si>
    <t>Cross to LPG (normal cross C3 to aerosal 1,000 Ton/เดือน)</t>
  </si>
  <si>
    <t>% Inventory</t>
  </si>
  <si>
    <t xml:space="preserve">Balance C3 (Directly) --&gt; (-) ผลิตน้อยกว่าขาย </t>
  </si>
  <si>
    <t>Balance LPG</t>
  </si>
  <si>
    <t>LPG Tank capacity (36,655.2 TON)</t>
  </si>
  <si>
    <t>LPG End Inventory</t>
  </si>
  <si>
    <t>% Inventory (&lt;30% จจ. พิจารณาดึง import แทน C3 Cross to LPG)</t>
  </si>
  <si>
    <t>Balance LPG Petro</t>
  </si>
  <si>
    <t>LPG Petro Tank capacity (11,502 TON)</t>
  </si>
  <si>
    <t>LPG Petro End Inventory</t>
  </si>
  <si>
    <t>LPG Petro Cross to LPG Dom</t>
  </si>
  <si>
    <t>% LPG Petro Inventory (&gt;30%)</t>
  </si>
  <si>
    <t>Balance LPG Dom</t>
  </si>
  <si>
    <t>LPG Dom Tank capacity (25,153.2 TON)</t>
  </si>
  <si>
    <t>LPG Dom End Inventory</t>
  </si>
  <si>
    <t>% LPG Dom Inventory (&gt;30%)</t>
  </si>
  <si>
    <t>Supply</t>
  </si>
  <si>
    <t>Old</t>
  </si>
  <si>
    <t>Updated</t>
  </si>
  <si>
    <t>C3 GSP RY</t>
  </si>
  <si>
    <t>Ability 3rev2_19Feb'21</t>
  </si>
  <si>
    <t>LPG GSP RY</t>
  </si>
  <si>
    <t>LPG GSP RY - Petro</t>
  </si>
  <si>
    <t>LPG GSP RY - Dom</t>
  </si>
  <si>
    <t>C3/LPG GSP RY</t>
  </si>
  <si>
    <t>IRPC</t>
  </si>
  <si>
    <t>SPRC</t>
  </si>
  <si>
    <t xml:space="preserve">PTTEP/LKB </t>
  </si>
  <si>
    <t>GSP KHM</t>
  </si>
  <si>
    <t>Total Supply</t>
  </si>
  <si>
    <t>Lastest</t>
  </si>
  <si>
    <t>Ability 4rev0_2Mar'21</t>
  </si>
  <si>
    <t>Diff</t>
  </si>
  <si>
    <t>เพื่อใส่ใน New balance</t>
  </si>
  <si>
    <t>PTTOR</t>
  </si>
  <si>
    <t>SGP</t>
  </si>
  <si>
    <t>UGP</t>
  </si>
  <si>
    <t>Import</t>
  </si>
  <si>
    <t>MT</t>
  </si>
  <si>
    <t>MT (หัก import แล้ว)</t>
  </si>
  <si>
    <t>เพื่อดูไฟล์ Daily LPG GSP to MT/BRP/PTT TANK</t>
  </si>
  <si>
    <t>(LPG GSP to MT,BRP)-GC-import</t>
  </si>
  <si>
    <t>เพื่อดู Limit max cap ท่อ</t>
  </si>
  <si>
    <t>LPG limit @MT/BRP 184 KT</t>
  </si>
  <si>
    <t>เพื่อดู การเสนอราคา import to PTTOR</t>
  </si>
  <si>
    <t>LPG GSP RY + KHM (156 + 5%) 161 KT</t>
  </si>
  <si>
    <t>C3 import</t>
  </si>
  <si>
    <t>SCG (Sum C3)</t>
  </si>
  <si>
    <t>Demand</t>
  </si>
  <si>
    <t>GC (C3/LPG)</t>
  </si>
  <si>
    <t>Customer</t>
  </si>
  <si>
    <t>Source</t>
  </si>
  <si>
    <t>Delivery Point</t>
  </si>
  <si>
    <t>Petro</t>
  </si>
  <si>
    <t>GC (C3)</t>
  </si>
  <si>
    <t>GC (LPG)</t>
  </si>
  <si>
    <t>SCG (C3)</t>
  </si>
  <si>
    <t>MOC (Sub C3)</t>
  </si>
  <si>
    <t>SCG/ROC (LPG)</t>
  </si>
  <si>
    <t>HMC (C3)</t>
  </si>
  <si>
    <t>PTTAC (C3)</t>
  </si>
  <si>
    <t>PTTAC (C3 Spot)</t>
  </si>
  <si>
    <t>M.7</t>
  </si>
  <si>
    <t>PTTOR (C3)</t>
  </si>
  <si>
    <t>PTTOR (LPG ไม่มีกลิ่น)</t>
  </si>
  <si>
    <t>MT ก่อนหัก import</t>
  </si>
  <si>
    <t xml:space="preserve">BRP </t>
  </si>
  <si>
    <t>PTT TANK</t>
  </si>
  <si>
    <t>PTT TANK (Truck)</t>
  </si>
  <si>
    <t>BCP</t>
  </si>
  <si>
    <t>Big gas</t>
  </si>
  <si>
    <t>PAP</t>
  </si>
  <si>
    <t>WP</t>
  </si>
  <si>
    <t>Chevron</t>
  </si>
  <si>
    <t>Atlas</t>
  </si>
  <si>
    <t>ESSO</t>
  </si>
  <si>
    <t>UNO</t>
  </si>
  <si>
    <t>Orchid</t>
  </si>
  <si>
    <t xml:space="preserve">SPRC </t>
  </si>
  <si>
    <t>PTTEP (LKB)</t>
  </si>
  <si>
    <t>PTTEP/LKB (Truck)</t>
  </si>
  <si>
    <t>Demand Petro</t>
  </si>
  <si>
    <t>Petro M.7</t>
  </si>
  <si>
    <t>GC+ROC</t>
  </si>
  <si>
    <t>Petro Non M.7</t>
  </si>
  <si>
    <t>HMC+PTTAC</t>
  </si>
  <si>
    <t>Demand M.7</t>
  </si>
  <si>
    <t>All Source</t>
  </si>
  <si>
    <t>M.7 C3+LPG Total Demand</t>
  </si>
  <si>
    <t>All Delivery Point</t>
  </si>
  <si>
    <t>M.7 LPG Total Demand</t>
  </si>
  <si>
    <t>MT+BRP</t>
  </si>
  <si>
    <t>หน้า GSP RY</t>
  </si>
  <si>
    <t>SPRC+EP+KHM</t>
  </si>
  <si>
    <t>All Refinery</t>
  </si>
  <si>
    <r>
      <t xml:space="preserve">M.7 </t>
    </r>
    <r>
      <rPr>
        <b/>
        <sz val="11"/>
        <color theme="1"/>
        <rFont val="Tahoma"/>
        <family val="2"/>
        <scheme val="minor"/>
      </rPr>
      <t xml:space="preserve">LPG Total Demand </t>
    </r>
  </si>
  <si>
    <r>
      <rPr>
        <b/>
        <sz val="11"/>
        <color theme="1"/>
        <rFont val="Tahoma"/>
        <family val="2"/>
        <scheme val="minor"/>
      </rPr>
      <t>PTTOR</t>
    </r>
    <r>
      <rPr>
        <sz val="11"/>
        <color theme="1"/>
        <rFont val="Tahoma"/>
        <family val="2"/>
        <scheme val="minor"/>
      </rPr>
      <t xml:space="preserve"> C3+LPG Total Demand</t>
    </r>
  </si>
  <si>
    <r>
      <rPr>
        <b/>
        <sz val="8"/>
        <color theme="0" tint="-0.499984740745262"/>
        <rFont val="Tahoma"/>
        <family val="2"/>
        <scheme val="minor"/>
      </rPr>
      <t>PTTOR</t>
    </r>
    <r>
      <rPr>
        <sz val="8"/>
        <color theme="0" tint="-0.499984740745262"/>
        <rFont val="Tahoma"/>
        <family val="2"/>
        <scheme val="minor"/>
      </rPr>
      <t xml:space="preserve"> C3+LPG หัก C3 Truck/Ordourant</t>
    </r>
  </si>
  <si>
    <r>
      <rPr>
        <b/>
        <sz val="11"/>
        <color theme="1"/>
        <rFont val="Tahoma"/>
        <family val="2"/>
        <scheme val="minor"/>
      </rPr>
      <t xml:space="preserve">SGP+UGP </t>
    </r>
    <r>
      <rPr>
        <sz val="11"/>
        <color theme="1"/>
        <rFont val="Tahoma"/>
        <family val="2"/>
        <scheme val="minor"/>
      </rPr>
      <t>LPG Total Demand</t>
    </r>
  </si>
  <si>
    <r>
      <rPr>
        <b/>
        <sz val="11"/>
        <color theme="1"/>
        <rFont val="Tahoma"/>
        <family val="2"/>
        <scheme val="minor"/>
      </rPr>
      <t xml:space="preserve">PAP </t>
    </r>
    <r>
      <rPr>
        <sz val="11"/>
        <color theme="1"/>
        <rFont val="Tahoma"/>
        <family val="2"/>
        <scheme val="minor"/>
      </rPr>
      <t>LPG Total Demand</t>
    </r>
  </si>
  <si>
    <r>
      <rPr>
        <b/>
        <sz val="11"/>
        <color theme="1"/>
        <rFont val="Tahoma"/>
        <family val="2"/>
        <scheme val="minor"/>
      </rPr>
      <t xml:space="preserve">WP </t>
    </r>
    <r>
      <rPr>
        <sz val="11"/>
        <color theme="1"/>
        <rFont val="Tahoma"/>
        <family val="2"/>
        <scheme val="minor"/>
      </rPr>
      <t>LPG Total Demand</t>
    </r>
  </si>
  <si>
    <r>
      <rPr>
        <b/>
        <sz val="11"/>
        <color theme="1"/>
        <rFont val="Tahoma"/>
        <family val="2"/>
        <scheme val="minor"/>
      </rPr>
      <t xml:space="preserve">Chevron </t>
    </r>
    <r>
      <rPr>
        <sz val="11"/>
        <color theme="1"/>
        <rFont val="Tahoma"/>
        <family val="2"/>
        <scheme val="minor"/>
      </rPr>
      <t>LPG Total Demand</t>
    </r>
  </si>
  <si>
    <r>
      <rPr>
        <b/>
        <sz val="11"/>
        <color theme="1"/>
        <rFont val="Tahoma"/>
        <family val="2"/>
        <scheme val="minor"/>
      </rPr>
      <t xml:space="preserve">BCP </t>
    </r>
    <r>
      <rPr>
        <sz val="11"/>
        <color theme="1"/>
        <rFont val="Tahoma"/>
        <family val="2"/>
        <scheme val="minor"/>
      </rPr>
      <t>LPG Total Demand</t>
    </r>
  </si>
  <si>
    <r>
      <rPr>
        <b/>
        <sz val="11"/>
        <color theme="1"/>
        <rFont val="Tahoma"/>
        <family val="2"/>
        <scheme val="minor"/>
      </rPr>
      <t xml:space="preserve">Big Gas </t>
    </r>
    <r>
      <rPr>
        <sz val="11"/>
        <color theme="1"/>
        <rFont val="Tahoma"/>
        <family val="2"/>
        <scheme val="minor"/>
      </rPr>
      <t>LPG Total Demand</t>
    </r>
  </si>
  <si>
    <r>
      <rPr>
        <b/>
        <sz val="11"/>
        <color theme="1"/>
        <rFont val="Tahoma"/>
        <family val="2"/>
        <scheme val="minor"/>
      </rPr>
      <t xml:space="preserve">Atlas </t>
    </r>
    <r>
      <rPr>
        <sz val="11"/>
        <color theme="1"/>
        <rFont val="Tahoma"/>
        <family val="2"/>
        <scheme val="minor"/>
      </rPr>
      <t>LPG Total Demand</t>
    </r>
  </si>
  <si>
    <t>Demand Petro + M.7</t>
  </si>
  <si>
    <t>All</t>
  </si>
  <si>
    <t xml:space="preserve">Total Demand Petro + M.7 </t>
  </si>
  <si>
    <t>Check</t>
  </si>
  <si>
    <t>เสนอ import 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</si>
</sst>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87" formatCode="_(* #,##0.00_);_(* \(#,##0.00\);_(* &quot;-&quot;??_);_(@_)"/>
    <numFmt numFmtId="188" formatCode="B1mmm\-yy"/>
    <numFmt numFmtId="189" formatCode="_(* #,##0_);_(* \(#,##0\);_(* &quot;-&quot;??_);_(@_)"/>
    <numFmt numFmtId="190" formatCode="_-* #,##0_-;\-* #,##0_-;_-* &quot;-&quot;??_-;_-@_-"/>
    <numFmt numFmtId="191" formatCode="B1d\-mmm"/>
    <numFmt numFmtId="192" formatCode="_-* #,##0.0_-;\-* #,##0.0_-;_-* &quot;-&quot;??_-;_-@_-"/>
    <numFmt numFmtId="193" formatCode="_(* #,##0.0_);_(* \(#,##0.0\);_(* &quot;-&quot;??_);_(@_)"/>
  </numFmts>
  <fonts count="46" x14ac:knownFonts="1">
    <font>
      <sz val="11"/>
      <color theme="1"/>
      <name val="Tahoma"/>
      <family val="2"/>
      <charset val="222"/>
      <scheme val="minor"/>
    </font>
    <font>
      <sz val="11"/>
      <color theme="1"/>
      <name val="Tahoma"/>
      <family val="2"/>
      <charset val="222"/>
      <scheme val="minor"/>
    </font>
    <font>
      <b/>
      <sz val="11"/>
      <color theme="1"/>
      <name val="Tahoma"/>
      <family val="2"/>
      <charset val="222"/>
      <scheme val="minor"/>
    </font>
    <font>
      <b/>
      <sz val="11"/>
      <color theme="1"/>
      <name val="Tahoma"/>
      <family val="2"/>
      <scheme val="minor"/>
    </font>
    <font>
      <sz val="10"/>
      <color theme="1"/>
      <name val="Tahoma"/>
      <family val="2"/>
    </font>
    <font>
      <sz val="10"/>
      <color rgb="FFFF0000"/>
      <name val="Tahoma"/>
      <family val="2"/>
    </font>
    <font>
      <b/>
      <sz val="10"/>
      <name val="Tahoma"/>
      <family val="2"/>
    </font>
    <font>
      <b/>
      <sz val="11"/>
      <color rgb="FF0033CC"/>
      <name val="Tahoma"/>
      <family val="2"/>
      <charset val="222"/>
      <scheme val="minor"/>
    </font>
    <font>
      <sz val="11"/>
      <color rgb="FF0000FF"/>
      <name val="Tahoma"/>
      <family val="2"/>
      <charset val="222"/>
      <scheme val="minor"/>
    </font>
    <font>
      <sz val="11"/>
      <color rgb="FF0033CC"/>
      <name val="Tahoma"/>
      <family val="2"/>
      <charset val="222"/>
      <scheme val="minor"/>
    </font>
    <font>
      <sz val="11"/>
      <name val="Tahoma"/>
      <family val="2"/>
      <charset val="222"/>
      <scheme val="minor"/>
    </font>
    <font>
      <b/>
      <sz val="11"/>
      <color rgb="FF0000FF"/>
      <name val="Tahoma"/>
      <family val="2"/>
      <charset val="222"/>
      <scheme val="minor"/>
    </font>
    <font>
      <sz val="11"/>
      <color rgb="FFFF0000"/>
      <name val="Tahoma"/>
      <family val="2"/>
      <charset val="222"/>
      <scheme val="minor"/>
    </font>
    <font>
      <b/>
      <sz val="10"/>
      <color rgb="FF0000FF"/>
      <name val="Tahoma"/>
      <family val="2"/>
    </font>
    <font>
      <b/>
      <sz val="10"/>
      <color theme="0" tint="-0.499984740745262"/>
      <name val="Tahoma"/>
      <family val="2"/>
    </font>
    <font>
      <sz val="11"/>
      <color theme="0" tint="-0.499984740745262"/>
      <name val="Tahoma"/>
      <family val="2"/>
      <charset val="222"/>
      <scheme val="minor"/>
    </font>
    <font>
      <sz val="11"/>
      <color theme="0" tint="-0.499984740745262"/>
      <name val="Tahoma"/>
      <family val="2"/>
      <scheme val="minor"/>
    </font>
    <font>
      <sz val="11"/>
      <color theme="0" tint="-0.499984740745262"/>
      <name val="Tahoma"/>
      <family val="2"/>
      <charset val="222"/>
    </font>
    <font>
      <b/>
      <sz val="11"/>
      <color theme="0" tint="-0.499984740745262"/>
      <name val="Tahoma"/>
      <family val="2"/>
      <charset val="222"/>
      <scheme val="minor"/>
    </font>
    <font>
      <sz val="11"/>
      <color theme="1"/>
      <name val="Tahoma"/>
      <family val="2"/>
      <charset val="222"/>
    </font>
    <font>
      <sz val="11"/>
      <color theme="1"/>
      <name val="Tahoma"/>
      <family val="2"/>
      <scheme val="minor"/>
    </font>
    <font>
      <b/>
      <sz val="11"/>
      <name val="Tahoma"/>
      <family val="2"/>
      <charset val="222"/>
      <scheme val="minor"/>
    </font>
    <font>
      <sz val="11"/>
      <name val="Tahoma"/>
      <family val="2"/>
      <charset val="222"/>
    </font>
    <font>
      <sz val="11"/>
      <name val="Tahoma"/>
      <family val="2"/>
      <scheme val="minor"/>
    </font>
    <font>
      <b/>
      <sz val="18"/>
      <color rgb="FF0000FF"/>
      <name val="Tahoma"/>
      <family val="2"/>
      <scheme val="minor"/>
    </font>
    <font>
      <b/>
      <sz val="11"/>
      <color theme="8" tint="-0.249977111117893"/>
      <name val="Tahoma"/>
      <family val="2"/>
      <scheme val="minor"/>
    </font>
    <font>
      <b/>
      <sz val="11"/>
      <color rgb="FFFF0000"/>
      <name val="Tahoma"/>
      <family val="2"/>
      <scheme val="minor"/>
    </font>
    <font>
      <sz val="11"/>
      <color theme="8" tint="-0.249977111117893"/>
      <name val="Tahoma"/>
      <family val="2"/>
      <scheme val="minor"/>
    </font>
    <font>
      <sz val="11"/>
      <color rgb="FFC00000"/>
      <name val="Tahoma"/>
      <family val="2"/>
      <charset val="222"/>
      <scheme val="minor"/>
    </font>
    <font>
      <b/>
      <sz val="11"/>
      <color theme="0"/>
      <name val="Tahoma"/>
      <family val="2"/>
      <scheme val="minor"/>
    </font>
    <font>
      <b/>
      <sz val="11"/>
      <name val="Tahoma"/>
      <family val="2"/>
      <scheme val="minor"/>
    </font>
    <font>
      <sz val="12"/>
      <color rgb="FF0000FF"/>
      <name val="Tahoma"/>
      <family val="2"/>
      <scheme val="minor"/>
    </font>
    <font>
      <b/>
      <sz val="11"/>
      <color rgb="FFC00000"/>
      <name val="Tahoma"/>
      <family val="2"/>
      <scheme val="minor"/>
    </font>
    <font>
      <sz val="11"/>
      <color rgb="FF0000FF"/>
      <name val="Tahoma"/>
      <family val="2"/>
      <scheme val="minor"/>
    </font>
    <font>
      <sz val="11"/>
      <color rgb="FFFF0000"/>
      <name val="Tahoma"/>
      <family val="2"/>
      <scheme val="minor"/>
    </font>
    <font>
      <sz val="11"/>
      <color rgb="FFC00000"/>
      <name val="Tahoma"/>
      <family val="2"/>
      <scheme val="minor"/>
    </font>
    <font>
      <b/>
      <sz val="9"/>
      <color theme="1"/>
      <name val="Tahoma"/>
      <family val="2"/>
      <scheme val="minor"/>
    </font>
    <font>
      <sz val="11"/>
      <color rgb="FF00B050"/>
      <name val="Tahoma"/>
      <family val="2"/>
      <charset val="222"/>
      <scheme val="minor"/>
    </font>
    <font>
      <sz val="9"/>
      <color rgb="FF0000FF"/>
      <name val="Tahoma"/>
      <family val="2"/>
      <scheme val="minor"/>
    </font>
    <font>
      <sz val="11"/>
      <color theme="5" tint="-0.249977111117893"/>
      <name val="Tahoma"/>
      <family val="2"/>
      <scheme val="minor"/>
    </font>
    <font>
      <sz val="11"/>
      <color rgb="FF7030A0"/>
      <name val="Tahoma"/>
      <family val="2"/>
      <scheme val="minor"/>
    </font>
    <font>
      <sz val="11"/>
      <color rgb="FF00B050"/>
      <name val="Tahoma"/>
      <family val="2"/>
      <scheme val="minor"/>
    </font>
    <font>
      <sz val="8"/>
      <color theme="0" tint="-0.499984740745262"/>
      <name val="Tahoma"/>
      <family val="2"/>
      <scheme val="minor"/>
    </font>
    <font>
      <b/>
      <sz val="8"/>
      <color theme="0" tint="-0.499984740745262"/>
      <name val="Tahoma"/>
      <family val="2"/>
      <scheme val="minor"/>
    </font>
    <font>
      <b/>
      <sz val="9"/>
      <color indexed="81"/>
      <name val="Tahoma"/>
      <family val="2"/>
    </font>
    <font>
      <sz val="9"/>
      <color indexed="81"/>
      <name val="Tahoma"/>
      <family val="2"/>
    </font>
  </fonts>
  <fills count="23">
    <fill>
      <patternFill patternType="none"/>
    </fill>
    <fill>
      <patternFill patternType="gray125"/>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8ADFF6"/>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E5FF"/>
        <bgColor indexed="64"/>
      </patternFill>
    </fill>
    <fill>
      <patternFill patternType="solid">
        <fgColor theme="2"/>
        <bgColor indexed="64"/>
      </patternFill>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187" fontId="1" fillId="0" borderId="0" applyFont="0" applyFill="0" applyBorder="0" applyAlignment="0" applyProtection="0"/>
    <xf numFmtId="9" fontId="1" fillId="0" borderId="0" applyFont="0" applyFill="0" applyBorder="0" applyAlignment="0" applyProtection="0"/>
  </cellStyleXfs>
  <cellXfs count="435">
    <xf numFmtId="0" fontId="0" fillId="0" borderId="0" xfId="0"/>
    <xf numFmtId="0" fontId="2" fillId="0" borderId="0" xfId="0" applyFont="1"/>
    <xf numFmtId="0" fontId="0" fillId="0" borderId="0" xfId="0" applyAlignment="1">
      <alignment horizontal="center"/>
    </xf>
    <xf numFmtId="187" fontId="3" fillId="0" borderId="0" xfId="1" applyFont="1"/>
    <xf numFmtId="187" fontId="0" fillId="0" borderId="0" xfId="1" applyFont="1" applyFill="1"/>
    <xf numFmtId="187" fontId="0" fillId="0" borderId="0" xfId="1" applyFont="1"/>
    <xf numFmtId="0" fontId="0" fillId="0" borderId="0" xfId="0" applyFill="1"/>
    <xf numFmtId="0" fontId="2" fillId="0" borderId="0" xfId="0" applyFont="1" applyBorder="1"/>
    <xf numFmtId="0" fontId="0" fillId="0" borderId="0" xfId="0" applyBorder="1"/>
    <xf numFmtId="0" fontId="4" fillId="0" borderId="0" xfId="0" applyFont="1" applyBorder="1" applyAlignment="1">
      <alignment vertical="center"/>
    </xf>
    <xf numFmtId="0" fontId="5" fillId="0" borderId="0" xfId="0" applyFont="1" applyBorder="1" applyAlignment="1">
      <alignment vertical="center"/>
    </xf>
    <xf numFmtId="0" fontId="4" fillId="0" borderId="0" xfId="0" applyFont="1" applyFill="1" applyBorder="1" applyAlignment="1">
      <alignment vertical="center"/>
    </xf>
    <xf numFmtId="0" fontId="6" fillId="2" borderId="0" xfId="0" applyFont="1" applyFill="1" applyBorder="1" applyAlignment="1">
      <alignment horizontal="center" vertical="center"/>
    </xf>
    <xf numFmtId="188" fontId="6" fillId="3" borderId="0" xfId="0" applyNumberFormat="1" applyFont="1" applyFill="1" applyBorder="1" applyAlignment="1">
      <alignment horizontal="center" vertical="center"/>
    </xf>
    <xf numFmtId="188" fontId="6" fillId="4" borderId="0" xfId="0" applyNumberFormat="1" applyFont="1" applyFill="1" applyBorder="1" applyAlignment="1">
      <alignment horizontal="center" vertical="center"/>
    </xf>
    <xf numFmtId="188" fontId="6" fillId="0" borderId="0" xfId="0" applyNumberFormat="1" applyFont="1" applyFill="1" applyBorder="1" applyAlignment="1">
      <alignment horizontal="center" vertical="center"/>
    </xf>
    <xf numFmtId="188" fontId="6" fillId="2" borderId="0" xfId="0" applyNumberFormat="1" applyFont="1" applyFill="1" applyBorder="1" applyAlignment="1">
      <alignment horizontal="center" vertical="center"/>
    </xf>
    <xf numFmtId="0" fontId="7" fillId="0" borderId="0" xfId="0" applyFont="1" applyBorder="1"/>
    <xf numFmtId="0" fontId="0" fillId="0" borderId="0" xfId="0" applyBorder="1" applyAlignment="1">
      <alignment horizontal="center"/>
    </xf>
    <xf numFmtId="187" fontId="8" fillId="5" borderId="0" xfId="1" applyFont="1" applyFill="1" applyBorder="1"/>
    <xf numFmtId="187" fontId="9" fillId="5" borderId="0" xfId="1" applyFont="1" applyFill="1" applyBorder="1"/>
    <xf numFmtId="187" fontId="9" fillId="0" borderId="0" xfId="1" applyFont="1" applyFill="1" applyBorder="1"/>
    <xf numFmtId="189" fontId="6" fillId="0" borderId="0" xfId="1" applyNumberFormat="1" applyFont="1" applyBorder="1" applyAlignment="1">
      <alignment vertical="center"/>
    </xf>
    <xf numFmtId="187" fontId="10" fillId="0" borderId="0" xfId="1" applyFont="1" applyBorder="1"/>
    <xf numFmtId="187" fontId="10" fillId="0" borderId="0" xfId="1" applyFont="1" applyFill="1" applyBorder="1"/>
    <xf numFmtId="189" fontId="0" fillId="0" borderId="0" xfId="1" applyNumberFormat="1" applyFont="1" applyBorder="1"/>
    <xf numFmtId="0" fontId="11" fillId="0" borderId="0" xfId="0" applyFont="1" applyBorder="1"/>
    <xf numFmtId="187" fontId="0" fillId="0" borderId="0" xfId="1" applyFont="1" applyFill="1" applyBorder="1"/>
    <xf numFmtId="190" fontId="0" fillId="0" borderId="0" xfId="1" applyNumberFormat="1" applyFont="1" applyBorder="1"/>
    <xf numFmtId="190" fontId="0" fillId="0" borderId="0" xfId="1" applyNumberFormat="1" applyFont="1" applyFill="1" applyBorder="1"/>
    <xf numFmtId="187" fontId="12" fillId="0" borderId="0" xfId="1" applyFont="1" applyBorder="1"/>
    <xf numFmtId="187" fontId="12" fillId="0" borderId="0" xfId="1" applyFont="1" applyFill="1" applyBorder="1"/>
    <xf numFmtId="187" fontId="0" fillId="0" borderId="0" xfId="1" applyFont="1" applyBorder="1"/>
    <xf numFmtId="0" fontId="13" fillId="0" borderId="0" xfId="0" applyFont="1" applyBorder="1" applyAlignment="1">
      <alignment horizontal="left" vertical="center"/>
    </xf>
    <xf numFmtId="0" fontId="0" fillId="0" borderId="0" xfId="0" applyFont="1" applyBorder="1" applyAlignment="1">
      <alignment horizontal="center"/>
    </xf>
    <xf numFmtId="189" fontId="8" fillId="5" borderId="0" xfId="1" applyNumberFormat="1" applyFont="1" applyFill="1" applyBorder="1"/>
    <xf numFmtId="0" fontId="14" fillId="0" borderId="0" xfId="0" applyFont="1" applyBorder="1" applyAlignment="1">
      <alignment horizontal="left" vertical="center"/>
    </xf>
    <xf numFmtId="0" fontId="15" fillId="0" borderId="0" xfId="0" applyFont="1" applyBorder="1" applyAlignment="1">
      <alignment horizontal="center"/>
    </xf>
    <xf numFmtId="187" fontId="15" fillId="5" borderId="0" xfId="1" applyFont="1" applyFill="1" applyBorder="1"/>
    <xf numFmtId="187" fontId="16" fillId="0" borderId="0" xfId="1" applyFont="1" applyFill="1" applyBorder="1"/>
    <xf numFmtId="187" fontId="17" fillId="0" borderId="0" xfId="1" applyFont="1" applyBorder="1" applyAlignment="1">
      <alignment vertical="center"/>
    </xf>
    <xf numFmtId="187" fontId="16" fillId="0" borderId="0" xfId="1" applyFont="1" applyBorder="1" applyAlignment="1">
      <alignment vertical="center"/>
    </xf>
    <xf numFmtId="189" fontId="16" fillId="0" borderId="0" xfId="1" applyNumberFormat="1" applyFont="1" applyBorder="1" applyAlignment="1">
      <alignment vertical="center"/>
    </xf>
    <xf numFmtId="0" fontId="18" fillId="0" borderId="0" xfId="0" applyFont="1" applyBorder="1"/>
    <xf numFmtId="187" fontId="19" fillId="0" borderId="0" xfId="1" applyFont="1" applyBorder="1" applyAlignment="1">
      <alignment vertical="center"/>
    </xf>
    <xf numFmtId="187" fontId="20" fillId="0" borderId="0" xfId="1" applyFont="1" applyBorder="1" applyAlignment="1">
      <alignment vertical="center"/>
    </xf>
    <xf numFmtId="189" fontId="15" fillId="0" borderId="0" xfId="1" applyNumberFormat="1" applyFont="1"/>
    <xf numFmtId="189" fontId="15" fillId="0" borderId="0" xfId="1" applyNumberFormat="1" applyFont="1" applyBorder="1" applyAlignment="1">
      <alignment vertical="center"/>
    </xf>
    <xf numFmtId="0" fontId="21" fillId="0" borderId="0" xfId="0" applyFont="1" applyBorder="1"/>
    <xf numFmtId="0" fontId="10" fillId="0" borderId="0" xfId="0" applyFont="1" applyBorder="1" applyAlignment="1">
      <alignment horizontal="center"/>
    </xf>
    <xf numFmtId="187" fontId="22" fillId="0" borderId="0" xfId="1" applyFont="1" applyBorder="1" applyAlignment="1">
      <alignment vertical="center"/>
    </xf>
    <xf numFmtId="189" fontId="23" fillId="0" borderId="0" xfId="1" applyNumberFormat="1" applyFont="1" applyBorder="1" applyAlignment="1">
      <alignment vertical="center"/>
    </xf>
    <xf numFmtId="0" fontId="18" fillId="0" borderId="0" xfId="0" applyFont="1"/>
    <xf numFmtId="0" fontId="15" fillId="0" borderId="0" xfId="0" applyFont="1" applyFill="1" applyBorder="1" applyAlignment="1">
      <alignment horizontal="center"/>
    </xf>
    <xf numFmtId="0" fontId="3" fillId="6" borderId="0" xfId="0" applyFont="1" applyFill="1"/>
    <xf numFmtId="0" fontId="0" fillId="6" borderId="0" xfId="0" applyFill="1" applyAlignment="1">
      <alignment horizontal="center"/>
    </xf>
    <xf numFmtId="0" fontId="0" fillId="6" borderId="0" xfId="0" applyFill="1"/>
    <xf numFmtId="0" fontId="12" fillId="6" borderId="0" xfId="0" applyFont="1" applyFill="1" applyAlignment="1">
      <alignment horizontal="right"/>
    </xf>
    <xf numFmtId="0" fontId="12" fillId="6" borderId="0" xfId="0" applyFont="1" applyFill="1"/>
    <xf numFmtId="0" fontId="24" fillId="6" borderId="0" xfId="0" applyFont="1" applyFill="1"/>
    <xf numFmtId="187" fontId="0" fillId="6" borderId="0" xfId="1" applyFont="1" applyFill="1"/>
    <xf numFmtId="191" fontId="0" fillId="6" borderId="0" xfId="0" applyNumberFormat="1" applyFill="1"/>
    <xf numFmtId="189" fontId="0" fillId="6" borderId="0" xfId="1" applyNumberFormat="1" applyFont="1" applyFill="1" applyAlignment="1">
      <alignment horizontal="center"/>
    </xf>
    <xf numFmtId="0" fontId="25" fillId="7" borderId="2" xfId="0" applyFont="1" applyFill="1" applyBorder="1" applyAlignment="1">
      <alignment horizontal="center"/>
    </xf>
    <xf numFmtId="0" fontId="25" fillId="7" borderId="3" xfId="0" applyFont="1" applyFill="1" applyBorder="1" applyAlignment="1">
      <alignment horizontal="center"/>
    </xf>
    <xf numFmtId="188" fontId="25" fillId="7" borderId="2" xfId="0" applyNumberFormat="1" applyFont="1" applyFill="1" applyBorder="1" applyAlignment="1">
      <alignment horizontal="center" vertical="center"/>
    </xf>
    <xf numFmtId="188" fontId="25" fillId="8" borderId="2" xfId="0" applyNumberFormat="1" applyFont="1" applyFill="1" applyBorder="1" applyAlignment="1">
      <alignment horizontal="center" vertical="center"/>
    </xf>
    <xf numFmtId="188" fontId="26" fillId="8" borderId="2" xfId="0" applyNumberFormat="1" applyFont="1" applyFill="1" applyBorder="1" applyAlignment="1">
      <alignment horizontal="center" vertical="center"/>
    </xf>
    <xf numFmtId="0" fontId="27" fillId="6" borderId="4" xfId="0" applyFont="1" applyFill="1" applyBorder="1"/>
    <xf numFmtId="0" fontId="27" fillId="6" borderId="0" xfId="0" applyFont="1" applyFill="1"/>
    <xf numFmtId="0" fontId="27" fillId="0" borderId="0" xfId="0" applyFont="1"/>
    <xf numFmtId="0" fontId="3" fillId="6" borderId="5" xfId="0" applyFont="1" applyFill="1" applyBorder="1"/>
    <xf numFmtId="0" fontId="0" fillId="6" borderId="6" xfId="0" applyFill="1" applyBorder="1" applyAlignment="1">
      <alignment horizontal="center"/>
    </xf>
    <xf numFmtId="0" fontId="0" fillId="6" borderId="6" xfId="0" applyFill="1" applyBorder="1"/>
    <xf numFmtId="0" fontId="0" fillId="6" borderId="7" xfId="0" applyFill="1" applyBorder="1" applyAlignment="1">
      <alignment horizontal="right"/>
    </xf>
    <xf numFmtId="192" fontId="0" fillId="0" borderId="6" xfId="1" applyNumberFormat="1" applyFont="1" applyBorder="1"/>
    <xf numFmtId="192" fontId="0" fillId="6" borderId="6" xfId="1" applyNumberFormat="1" applyFont="1" applyFill="1" applyBorder="1"/>
    <xf numFmtId="0" fontId="0" fillId="6" borderId="0" xfId="0" applyFill="1" applyBorder="1"/>
    <xf numFmtId="9" fontId="0" fillId="0" borderId="0" xfId="0" applyNumberFormat="1"/>
    <xf numFmtId="9" fontId="0" fillId="0" borderId="0" xfId="2" applyFont="1"/>
    <xf numFmtId="0" fontId="3" fillId="6" borderId="8" xfId="0" applyFont="1" applyFill="1" applyBorder="1" applyAlignment="1">
      <alignment horizontal="left" indent="1"/>
    </xf>
    <xf numFmtId="0" fontId="0" fillId="6" borderId="0" xfId="0" applyFill="1" applyBorder="1" applyAlignment="1">
      <alignment horizontal="center"/>
    </xf>
    <xf numFmtId="0" fontId="0" fillId="6" borderId="9" xfId="0" applyFill="1" applyBorder="1" applyAlignment="1">
      <alignment horizontal="right"/>
    </xf>
    <xf numFmtId="192" fontId="0" fillId="6" borderId="0" xfId="1" applyNumberFormat="1" applyFont="1" applyFill="1" applyBorder="1"/>
    <xf numFmtId="192" fontId="28" fillId="6" borderId="0" xfId="1" applyNumberFormat="1" applyFont="1" applyFill="1" applyBorder="1"/>
    <xf numFmtId="192" fontId="12" fillId="6" borderId="0" xfId="1" applyNumberFormat="1" applyFont="1" applyFill="1" applyBorder="1"/>
    <xf numFmtId="192" fontId="10" fillId="6" borderId="0" xfId="1" applyNumberFormat="1" applyFont="1" applyFill="1" applyBorder="1"/>
    <xf numFmtId="0" fontId="3" fillId="0" borderId="8" xfId="0" applyFont="1" applyBorder="1" applyAlignment="1">
      <alignment horizontal="left" indent="1"/>
    </xf>
    <xf numFmtId="190" fontId="0" fillId="6" borderId="0" xfId="1" applyNumberFormat="1" applyFont="1" applyFill="1" applyBorder="1"/>
    <xf numFmtId="0" fontId="3" fillId="9" borderId="8" xfId="0" applyFont="1" applyFill="1" applyBorder="1" applyAlignment="1">
      <alignment horizontal="left" indent="1"/>
    </xf>
    <xf numFmtId="9" fontId="3" fillId="6" borderId="0" xfId="2" applyFont="1" applyFill="1" applyBorder="1"/>
    <xf numFmtId="9" fontId="3" fillId="6" borderId="0" xfId="2" applyNumberFormat="1" applyFont="1" applyFill="1" applyBorder="1"/>
    <xf numFmtId="9" fontId="3" fillId="9" borderId="0" xfId="2" applyNumberFormat="1" applyFont="1" applyFill="1" applyBorder="1"/>
    <xf numFmtId="0" fontId="25" fillId="6" borderId="0" xfId="0" applyFont="1" applyFill="1"/>
    <xf numFmtId="0" fontId="29" fillId="10" borderId="8" xfId="0" applyFont="1" applyFill="1" applyBorder="1" applyAlignment="1">
      <alignment horizontal="left" indent="1"/>
    </xf>
    <xf numFmtId="190" fontId="29" fillId="10" borderId="0" xfId="1" applyNumberFormat="1" applyFont="1" applyFill="1" applyBorder="1"/>
    <xf numFmtId="192" fontId="29" fillId="10" borderId="0" xfId="1" applyNumberFormat="1" applyFont="1" applyFill="1" applyBorder="1"/>
    <xf numFmtId="187" fontId="29" fillId="10" borderId="0" xfId="1" applyNumberFormat="1" applyFont="1" applyFill="1" applyBorder="1"/>
    <xf numFmtId="189" fontId="29" fillId="10" borderId="0" xfId="1" applyNumberFormat="1" applyFont="1" applyFill="1" applyBorder="1"/>
    <xf numFmtId="193" fontId="29" fillId="10" borderId="0" xfId="1" applyNumberFormat="1" applyFont="1" applyFill="1" applyBorder="1"/>
    <xf numFmtId="187" fontId="29" fillId="10" borderId="0" xfId="1" applyFont="1" applyFill="1" applyBorder="1"/>
    <xf numFmtId="189" fontId="3" fillId="6" borderId="0" xfId="1" applyNumberFormat="1" applyFont="1" applyFill="1"/>
    <xf numFmtId="0" fontId="29" fillId="11" borderId="10" xfId="0" applyFont="1" applyFill="1" applyBorder="1" applyAlignment="1">
      <alignment horizontal="left" indent="1"/>
    </xf>
    <xf numFmtId="0" fontId="0" fillId="6" borderId="11" xfId="0" applyFill="1" applyBorder="1" applyAlignment="1">
      <alignment horizontal="center"/>
    </xf>
    <xf numFmtId="0" fontId="0" fillId="6" borderId="11" xfId="0" applyFill="1" applyBorder="1"/>
    <xf numFmtId="0" fontId="0" fillId="6" borderId="12" xfId="0" applyFill="1" applyBorder="1" applyAlignment="1">
      <alignment horizontal="right"/>
    </xf>
    <xf numFmtId="190" fontId="29" fillId="12" borderId="11" xfId="1" applyNumberFormat="1" applyFont="1" applyFill="1" applyBorder="1"/>
    <xf numFmtId="192" fontId="29" fillId="12" borderId="11" xfId="1" applyNumberFormat="1" applyFont="1" applyFill="1" applyBorder="1"/>
    <xf numFmtId="187" fontId="29" fillId="12" borderId="11" xfId="1" applyNumberFormat="1" applyFont="1" applyFill="1" applyBorder="1"/>
    <xf numFmtId="189" fontId="29" fillId="12" borderId="11" xfId="1" applyNumberFormat="1" applyFont="1" applyFill="1" applyBorder="1"/>
    <xf numFmtId="0" fontId="0" fillId="6" borderId="0" xfId="0" applyFill="1" applyBorder="1" applyAlignment="1">
      <alignment horizontal="right"/>
    </xf>
    <xf numFmtId="190" fontId="30" fillId="6" borderId="0" xfId="1" applyNumberFormat="1" applyFont="1" applyFill="1" applyBorder="1"/>
    <xf numFmtId="187" fontId="30" fillId="6" borderId="0" xfId="1" applyFont="1" applyFill="1" applyBorder="1"/>
    <xf numFmtId="192" fontId="30" fillId="6" borderId="0" xfId="1" applyNumberFormat="1" applyFont="1" applyFill="1" applyBorder="1"/>
    <xf numFmtId="0" fontId="27" fillId="6" borderId="0" xfId="0" applyFont="1" applyFill="1" applyBorder="1"/>
    <xf numFmtId="192" fontId="0" fillId="6" borderId="5" xfId="1" applyNumberFormat="1" applyFont="1" applyFill="1" applyBorder="1"/>
    <xf numFmtId="192" fontId="10" fillId="6" borderId="8" xfId="1" applyNumberFormat="1" applyFont="1" applyFill="1" applyBorder="1"/>
    <xf numFmtId="190" fontId="0" fillId="6" borderId="8" xfId="1" applyNumberFormat="1" applyFont="1" applyFill="1" applyBorder="1"/>
    <xf numFmtId="0" fontId="3" fillId="6" borderId="10" xfId="0" applyFont="1" applyFill="1" applyBorder="1" applyAlignment="1">
      <alignment horizontal="left" indent="1"/>
    </xf>
    <xf numFmtId="9" fontId="3" fillId="13" borderId="10" xfId="2" applyNumberFormat="1" applyFont="1" applyFill="1" applyBorder="1"/>
    <xf numFmtId="9" fontId="3" fillId="13" borderId="11" xfId="2" applyNumberFormat="1" applyFont="1" applyFill="1" applyBorder="1"/>
    <xf numFmtId="9" fontId="3" fillId="14" borderId="11" xfId="2" applyNumberFormat="1" applyFont="1" applyFill="1" applyBorder="1"/>
    <xf numFmtId="187" fontId="0" fillId="6" borderId="0" xfId="0" applyNumberFormat="1" applyFill="1"/>
    <xf numFmtId="188" fontId="25" fillId="7" borderId="1" xfId="0" applyNumberFormat="1" applyFont="1" applyFill="1" applyBorder="1" applyAlignment="1">
      <alignment horizontal="center" vertical="center"/>
    </xf>
    <xf numFmtId="0" fontId="31" fillId="13" borderId="0" xfId="0" applyFont="1" applyFill="1" applyAlignment="1">
      <alignment horizontal="left" indent="1"/>
    </xf>
    <xf numFmtId="0" fontId="0" fillId="13" borderId="0" xfId="0" applyFill="1" applyAlignment="1">
      <alignment horizontal="center"/>
    </xf>
    <xf numFmtId="0" fontId="0" fillId="13" borderId="0" xfId="0" applyFill="1"/>
    <xf numFmtId="187" fontId="0" fillId="13" borderId="0" xfId="1" applyFont="1" applyFill="1"/>
    <xf numFmtId="0" fontId="25" fillId="13" borderId="2" xfId="0" applyFont="1" applyFill="1" applyBorder="1" applyAlignment="1">
      <alignment horizontal="center"/>
    </xf>
    <xf numFmtId="0" fontId="25" fillId="13" borderId="3" xfId="0" applyFont="1" applyFill="1" applyBorder="1" applyAlignment="1">
      <alignment horizontal="center"/>
    </xf>
    <xf numFmtId="0" fontId="3" fillId="13" borderId="5" xfId="0" applyFont="1" applyFill="1" applyBorder="1"/>
    <xf numFmtId="0" fontId="0" fillId="13" borderId="6" xfId="0" applyFill="1" applyBorder="1" applyAlignment="1">
      <alignment horizontal="center"/>
    </xf>
    <xf numFmtId="0" fontId="0" fillId="13" borderId="6" xfId="0" applyFill="1" applyBorder="1"/>
    <xf numFmtId="0" fontId="0" fillId="13" borderId="7" xfId="0" applyFill="1" applyBorder="1" applyAlignment="1">
      <alignment horizontal="right"/>
    </xf>
    <xf numFmtId="0" fontId="3" fillId="13" borderId="8" xfId="0" applyFont="1" applyFill="1" applyBorder="1" applyAlignment="1">
      <alignment horizontal="left" indent="1"/>
    </xf>
    <xf numFmtId="0" fontId="0" fillId="13" borderId="0" xfId="0" applyFill="1" applyBorder="1" applyAlignment="1">
      <alignment horizontal="center"/>
    </xf>
    <xf numFmtId="0" fontId="0" fillId="13" borderId="0" xfId="0" applyFill="1" applyBorder="1"/>
    <xf numFmtId="0" fontId="0" fillId="13" borderId="9" xfId="0" applyFill="1" applyBorder="1" applyAlignment="1">
      <alignment horizontal="right"/>
    </xf>
    <xf numFmtId="0" fontId="3" fillId="13" borderId="10" xfId="0" applyFont="1" applyFill="1" applyBorder="1" applyAlignment="1">
      <alignment horizontal="left" indent="1"/>
    </xf>
    <xf numFmtId="0" fontId="0" fillId="13" borderId="11" xfId="0" applyFill="1" applyBorder="1" applyAlignment="1">
      <alignment horizontal="center"/>
    </xf>
    <xf numFmtId="0" fontId="0" fillId="13" borderId="11" xfId="0" applyFill="1" applyBorder="1"/>
    <xf numFmtId="0" fontId="0" fillId="13" borderId="12" xfId="0" applyFill="1" applyBorder="1" applyAlignment="1">
      <alignment horizontal="right"/>
    </xf>
    <xf numFmtId="0" fontId="32" fillId="6" borderId="0" xfId="0" applyFont="1" applyFill="1"/>
    <xf numFmtId="0" fontId="3" fillId="6" borderId="5" xfId="0" applyFont="1" applyFill="1" applyBorder="1" applyAlignment="1"/>
    <xf numFmtId="0" fontId="3" fillId="6" borderId="6" xfId="0" applyFont="1" applyFill="1" applyBorder="1" applyAlignment="1"/>
    <xf numFmtId="188" fontId="25" fillId="7" borderId="0" xfId="0" applyNumberFormat="1" applyFont="1" applyFill="1" applyBorder="1" applyAlignment="1">
      <alignment horizontal="center" vertical="center"/>
    </xf>
    <xf numFmtId="187" fontId="20" fillId="6" borderId="0" xfId="1" applyFont="1" applyFill="1" applyBorder="1" applyAlignment="1">
      <alignment horizontal="center" vertical="center"/>
    </xf>
    <xf numFmtId="189" fontId="20" fillId="6" borderId="0" xfId="1" applyNumberFormat="1" applyFont="1" applyFill="1" applyBorder="1" applyAlignment="1">
      <alignment horizontal="center" vertical="center"/>
    </xf>
    <xf numFmtId="0" fontId="3" fillId="6" borderId="8" xfId="0" applyFont="1" applyFill="1" applyBorder="1" applyAlignment="1"/>
    <xf numFmtId="0" fontId="3" fillId="6" borderId="0" xfId="0" applyFont="1" applyFill="1" applyBorder="1" applyAlignment="1"/>
    <xf numFmtId="0" fontId="20" fillId="6" borderId="8" xfId="0" applyFont="1" applyFill="1" applyBorder="1" applyAlignment="1"/>
    <xf numFmtId="0" fontId="0" fillId="6" borderId="0" xfId="0" applyFill="1" applyBorder="1" applyAlignment="1"/>
    <xf numFmtId="187" fontId="23" fillId="6" borderId="0" xfId="1" applyFont="1" applyFill="1" applyBorder="1" applyAlignment="1">
      <alignment horizontal="center" vertical="center"/>
    </xf>
    <xf numFmtId="187" fontId="20" fillId="6" borderId="0" xfId="1" applyFont="1" applyFill="1" applyBorder="1"/>
    <xf numFmtId="0" fontId="3" fillId="6" borderId="10" xfId="0" applyFont="1" applyFill="1" applyBorder="1" applyAlignment="1"/>
    <xf numFmtId="0" fontId="0" fillId="6" borderId="11" xfId="0" applyFill="1" applyBorder="1" applyAlignment="1"/>
    <xf numFmtId="187" fontId="3" fillId="6" borderId="1" xfId="0" applyNumberFormat="1" applyFont="1" applyFill="1" applyBorder="1"/>
    <xf numFmtId="187" fontId="3" fillId="6" borderId="2" xfId="0" applyNumberFormat="1" applyFont="1" applyFill="1" applyBorder="1"/>
    <xf numFmtId="189" fontId="20" fillId="15" borderId="0" xfId="1" applyNumberFormat="1" applyFont="1" applyFill="1" applyBorder="1" applyAlignment="1">
      <alignment horizontal="center" vertical="center"/>
    </xf>
    <xf numFmtId="189" fontId="33" fillId="15" borderId="0" xfId="1" applyNumberFormat="1" applyFont="1" applyFill="1" applyBorder="1" applyAlignment="1">
      <alignment horizontal="center" vertical="center"/>
    </xf>
    <xf numFmtId="189" fontId="27" fillId="6" borderId="0" xfId="0" applyNumberFormat="1" applyFont="1" applyFill="1"/>
    <xf numFmtId="189" fontId="16" fillId="15" borderId="0" xfId="1" applyNumberFormat="1" applyFont="1" applyFill="1" applyBorder="1" applyAlignment="1">
      <alignment horizontal="center" vertical="center"/>
    </xf>
    <xf numFmtId="187" fontId="23" fillId="15" borderId="0" xfId="1" applyFont="1" applyFill="1" applyBorder="1" applyAlignment="1">
      <alignment horizontal="center" vertical="center"/>
    </xf>
    <xf numFmtId="187" fontId="34" fillId="15" borderId="0" xfId="1" applyFont="1" applyFill="1" applyBorder="1" applyAlignment="1">
      <alignment horizontal="center" vertical="center"/>
    </xf>
    <xf numFmtId="187" fontId="20" fillId="15" borderId="0" xfId="1" applyFont="1" applyFill="1" applyBorder="1" applyAlignment="1">
      <alignment horizontal="center" vertical="center"/>
    </xf>
    <xf numFmtId="189" fontId="34" fillId="15" borderId="0" xfId="1" applyNumberFormat="1" applyFont="1" applyFill="1" applyBorder="1" applyAlignment="1">
      <alignment horizontal="center" vertical="center"/>
    </xf>
    <xf numFmtId="189" fontId="20" fillId="4" borderId="0" xfId="1" applyNumberFormat="1" applyFont="1" applyFill="1" applyBorder="1" applyAlignment="1">
      <alignment horizontal="center" vertical="center"/>
    </xf>
    <xf numFmtId="193" fontId="34" fillId="15" borderId="0" xfId="1" applyNumberFormat="1" applyFont="1" applyFill="1" applyBorder="1" applyAlignment="1">
      <alignment horizontal="center" vertical="center"/>
    </xf>
    <xf numFmtId="193" fontId="20" fillId="15" borderId="0" xfId="1" applyNumberFormat="1" applyFont="1" applyFill="1" applyBorder="1" applyAlignment="1">
      <alignment horizontal="center" vertical="center"/>
    </xf>
    <xf numFmtId="193" fontId="20" fillId="13" borderId="0" xfId="1" applyNumberFormat="1" applyFont="1" applyFill="1" applyBorder="1" applyAlignment="1">
      <alignment horizontal="center" vertical="center"/>
    </xf>
    <xf numFmtId="193" fontId="35" fillId="13" borderId="0" xfId="1" applyNumberFormat="1" applyFont="1" applyFill="1" applyBorder="1" applyAlignment="1">
      <alignment horizontal="center" vertical="center"/>
    </xf>
    <xf numFmtId="193" fontId="34" fillId="13" borderId="0" xfId="1" applyNumberFormat="1" applyFont="1" applyFill="1" applyBorder="1" applyAlignment="1">
      <alignment horizontal="center" vertical="center"/>
    </xf>
    <xf numFmtId="193" fontId="23" fillId="13" borderId="0" xfId="1" applyNumberFormat="1" applyFont="1" applyFill="1" applyBorder="1" applyAlignment="1">
      <alignment horizontal="center" vertical="center"/>
    </xf>
    <xf numFmtId="193" fontId="23" fillId="15" borderId="0" xfId="1" applyNumberFormat="1" applyFont="1" applyFill="1" applyBorder="1" applyAlignment="1">
      <alignment horizontal="center" vertical="center"/>
    </xf>
    <xf numFmtId="187" fontId="20" fillId="15" borderId="0" xfId="1" applyFont="1" applyFill="1" applyBorder="1"/>
    <xf numFmtId="187" fontId="34" fillId="15" borderId="0" xfId="1" applyFont="1" applyFill="1" applyBorder="1"/>
    <xf numFmtId="189" fontId="34" fillId="15" borderId="0" xfId="1" applyNumberFormat="1" applyFont="1" applyFill="1" applyBorder="1"/>
    <xf numFmtId="189" fontId="23" fillId="15" borderId="0" xfId="1" applyNumberFormat="1" applyFont="1" applyFill="1" applyBorder="1" applyAlignment="1">
      <alignment horizontal="center" vertical="center"/>
    </xf>
    <xf numFmtId="189" fontId="20" fillId="15" borderId="0" xfId="1" applyNumberFormat="1" applyFont="1" applyFill="1" applyBorder="1"/>
    <xf numFmtId="193" fontId="20" fillId="15" borderId="0" xfId="1" applyNumberFormat="1" applyFont="1" applyFill="1" applyBorder="1"/>
    <xf numFmtId="193" fontId="34" fillId="15" borderId="0" xfId="1" applyNumberFormat="1" applyFont="1" applyFill="1" applyBorder="1"/>
    <xf numFmtId="187" fontId="23" fillId="15" borderId="0" xfId="1" applyFont="1" applyFill="1" applyBorder="1"/>
    <xf numFmtId="193" fontId="23" fillId="15" borderId="0" xfId="1" applyNumberFormat="1" applyFont="1" applyFill="1" applyBorder="1"/>
    <xf numFmtId="0" fontId="3" fillId="6" borderId="11" xfId="0" applyFont="1" applyFill="1" applyBorder="1" applyAlignment="1"/>
    <xf numFmtId="189" fontId="0" fillId="6" borderId="0" xfId="0" applyNumberFormat="1" applyFill="1"/>
    <xf numFmtId="188" fontId="25" fillId="7" borderId="5" xfId="0" applyNumberFormat="1" applyFont="1" applyFill="1" applyBorder="1" applyAlignment="1">
      <alignment horizontal="center" vertical="center"/>
    </xf>
    <xf numFmtId="188" fontId="25" fillId="7" borderId="6" xfId="0" applyNumberFormat="1" applyFont="1" applyFill="1" applyBorder="1" applyAlignment="1">
      <alignment horizontal="center" vertical="center"/>
    </xf>
    <xf numFmtId="187" fontId="23" fillId="6" borderId="6" xfId="1" applyFont="1" applyFill="1" applyBorder="1" applyAlignment="1">
      <alignment horizontal="center" vertical="center"/>
    </xf>
    <xf numFmtId="0" fontId="0" fillId="6" borderId="9" xfId="0" applyFill="1" applyBorder="1" applyAlignment="1">
      <alignment horizontal="center"/>
    </xf>
    <xf numFmtId="187" fontId="23" fillId="6" borderId="5" xfId="1" applyFont="1" applyFill="1" applyBorder="1" applyAlignment="1">
      <alignment horizontal="center" vertical="center"/>
    </xf>
    <xf numFmtId="187" fontId="23" fillId="6" borderId="8" xfId="1" applyFont="1" applyFill="1" applyBorder="1" applyAlignment="1">
      <alignment horizontal="center" vertical="center"/>
    </xf>
    <xf numFmtId="187" fontId="23" fillId="6" borderId="10" xfId="1" applyFont="1" applyFill="1" applyBorder="1" applyAlignment="1">
      <alignment horizontal="center" vertical="center"/>
    </xf>
    <xf numFmtId="187" fontId="23" fillId="6" borderId="11" xfId="1" applyFont="1" applyFill="1" applyBorder="1" applyAlignment="1">
      <alignment horizontal="center" vertical="center"/>
    </xf>
    <xf numFmtId="187" fontId="3" fillId="6" borderId="10" xfId="0" applyNumberFormat="1" applyFont="1" applyFill="1" applyBorder="1"/>
    <xf numFmtId="187" fontId="3" fillId="6" borderId="11" xfId="0" applyNumberFormat="1" applyFont="1" applyFill="1" applyBorder="1"/>
    <xf numFmtId="0" fontId="3" fillId="16" borderId="0" xfId="0" applyFont="1" applyFill="1" applyBorder="1" applyAlignment="1">
      <alignment horizontal="right"/>
    </xf>
    <xf numFmtId="0" fontId="16" fillId="6" borderId="0" xfId="0" applyFont="1" applyFill="1" applyBorder="1" applyAlignment="1">
      <alignment horizontal="center"/>
    </xf>
    <xf numFmtId="187" fontId="3" fillId="6" borderId="0" xfId="0" applyNumberFormat="1" applyFont="1" applyFill="1" applyBorder="1"/>
    <xf numFmtId="187" fontId="23" fillId="6" borderId="0" xfId="0" applyNumberFormat="1" applyFont="1" applyFill="1" applyBorder="1"/>
    <xf numFmtId="0" fontId="3" fillId="16" borderId="0" xfId="0" applyFont="1" applyFill="1" applyBorder="1" applyAlignment="1">
      <alignment horizontal="center"/>
    </xf>
    <xf numFmtId="0" fontId="20" fillId="17" borderId="0" xfId="0" applyFont="1" applyFill="1" applyBorder="1" applyAlignment="1">
      <alignment horizontal="center"/>
    </xf>
    <xf numFmtId="187" fontId="34" fillId="17" borderId="0" xfId="0" applyNumberFormat="1" applyFont="1" applyFill="1" applyBorder="1"/>
    <xf numFmtId="0" fontId="15" fillId="6" borderId="0" xfId="0" applyFont="1" applyFill="1" applyAlignment="1">
      <alignment horizontal="center"/>
    </xf>
    <xf numFmtId="187" fontId="20" fillId="16" borderId="0" xfId="0" applyNumberFormat="1" applyFont="1" applyFill="1" applyBorder="1"/>
    <xf numFmtId="187" fontId="20" fillId="0" borderId="0" xfId="0" applyNumberFormat="1" applyFont="1" applyFill="1" applyBorder="1"/>
    <xf numFmtId="0" fontId="20" fillId="16" borderId="0" xfId="0" applyFont="1" applyFill="1" applyBorder="1" applyAlignment="1">
      <alignment horizontal="center"/>
    </xf>
    <xf numFmtId="0" fontId="3" fillId="18" borderId="0" xfId="0" applyFont="1" applyFill="1" applyBorder="1" applyAlignment="1">
      <alignment horizontal="center"/>
    </xf>
    <xf numFmtId="0" fontId="3" fillId="18" borderId="0" xfId="0" applyFont="1" applyFill="1" applyBorder="1" applyAlignment="1">
      <alignment horizontal="right"/>
    </xf>
    <xf numFmtId="187" fontId="3" fillId="18" borderId="0" xfId="0" applyNumberFormat="1" applyFont="1" applyFill="1" applyBorder="1"/>
    <xf numFmtId="0" fontId="3" fillId="5" borderId="0" xfId="0" applyFont="1" applyFill="1" applyBorder="1" applyAlignment="1">
      <alignment horizontal="center"/>
    </xf>
    <xf numFmtId="0" fontId="3" fillId="5" borderId="0" xfId="0" applyFont="1" applyFill="1" applyBorder="1" applyAlignment="1">
      <alignment horizontal="right"/>
    </xf>
    <xf numFmtId="0" fontId="36" fillId="5" borderId="0" xfId="0" applyFont="1" applyFill="1" applyBorder="1" applyAlignment="1">
      <alignment horizontal="right"/>
    </xf>
    <xf numFmtId="187" fontId="3" fillId="5" borderId="0" xfId="0" applyNumberFormat="1" applyFont="1" applyFill="1" applyBorder="1"/>
    <xf numFmtId="0" fontId="3" fillId="6" borderId="0" xfId="0" applyFont="1" applyFill="1" applyBorder="1" applyAlignment="1">
      <alignment horizontal="center"/>
    </xf>
    <xf numFmtId="0" fontId="34" fillId="6" borderId="0" xfId="0" applyFont="1" applyFill="1" applyBorder="1" applyAlignment="1">
      <alignment horizontal="center"/>
    </xf>
    <xf numFmtId="0" fontId="34" fillId="6" borderId="0" xfId="0" applyFont="1" applyFill="1" applyBorder="1" applyAlignment="1">
      <alignment horizontal="center" vertical="center"/>
    </xf>
    <xf numFmtId="187" fontId="3" fillId="0" borderId="0" xfId="0" applyNumberFormat="1" applyFont="1" applyFill="1" applyBorder="1"/>
    <xf numFmtId="187" fontId="34" fillId="8" borderId="0" xfId="0" applyNumberFormat="1" applyFont="1" applyFill="1" applyBorder="1"/>
    <xf numFmtId="0" fontId="0" fillId="0" borderId="0" xfId="0" applyFill="1" applyBorder="1"/>
    <xf numFmtId="0" fontId="20" fillId="6" borderId="0" xfId="0" applyFont="1" applyFill="1" applyBorder="1" applyAlignment="1">
      <alignment horizontal="center"/>
    </xf>
    <xf numFmtId="0" fontId="20" fillId="6" borderId="0" xfId="0" applyFont="1" applyFill="1" applyBorder="1" applyAlignment="1">
      <alignment horizontal="center" vertical="center"/>
    </xf>
    <xf numFmtId="0" fontId="24" fillId="6" borderId="0" xfId="0" applyFont="1" applyFill="1" applyBorder="1"/>
    <xf numFmtId="187" fontId="0" fillId="6" borderId="0" xfId="1" applyFont="1" applyFill="1" applyBorder="1"/>
    <xf numFmtId="187" fontId="10" fillId="6" borderId="0" xfId="1" applyFont="1" applyFill="1" applyBorder="1"/>
    <xf numFmtId="187" fontId="12" fillId="6" borderId="0" xfId="1" applyFont="1" applyFill="1" applyBorder="1"/>
    <xf numFmtId="0" fontId="25" fillId="7" borderId="1" xfId="0" applyFont="1" applyFill="1" applyBorder="1"/>
    <xf numFmtId="0" fontId="25" fillId="7" borderId="1" xfId="0" applyFont="1" applyFill="1" applyBorder="1" applyAlignment="1">
      <alignment horizontal="center"/>
    </xf>
    <xf numFmtId="188" fontId="25" fillId="7" borderId="11" xfId="0" applyNumberFormat="1" applyFont="1" applyFill="1" applyBorder="1" applyAlignment="1">
      <alignment horizontal="center" vertical="center"/>
    </xf>
    <xf numFmtId="0" fontId="30" fillId="6" borderId="0" xfId="0" applyFont="1" applyFill="1"/>
    <xf numFmtId="0" fontId="20" fillId="6" borderId="8" xfId="0" applyFont="1" applyFill="1" applyBorder="1" applyAlignment="1">
      <alignment horizontal="center"/>
    </xf>
    <xf numFmtId="0" fontId="20" fillId="6" borderId="6" xfId="0" applyFont="1" applyFill="1" applyBorder="1" applyAlignment="1">
      <alignment horizontal="center"/>
    </xf>
    <xf numFmtId="0" fontId="20" fillId="19" borderId="9" xfId="0" applyFont="1" applyFill="1" applyBorder="1" applyAlignment="1">
      <alignment horizontal="center" vertical="center"/>
    </xf>
    <xf numFmtId="187" fontId="20" fillId="6" borderId="0" xfId="0" applyNumberFormat="1" applyFont="1" applyFill="1" applyBorder="1"/>
    <xf numFmtId="187" fontId="23" fillId="20" borderId="0" xfId="0" applyNumberFormat="1" applyFont="1" applyFill="1" applyBorder="1"/>
    <xf numFmtId="187" fontId="34" fillId="20" borderId="0" xfId="0" applyNumberFormat="1" applyFont="1" applyFill="1" applyBorder="1"/>
    <xf numFmtId="187" fontId="23" fillId="19" borderId="5" xfId="0" applyNumberFormat="1" applyFont="1" applyFill="1" applyBorder="1"/>
    <xf numFmtId="187" fontId="23" fillId="19" borderId="6" xfId="0" applyNumberFormat="1" applyFont="1" applyFill="1" applyBorder="1"/>
    <xf numFmtId="187" fontId="12" fillId="19" borderId="6" xfId="0" applyNumberFormat="1" applyFont="1" applyFill="1" applyBorder="1"/>
    <xf numFmtId="187" fontId="20" fillId="19" borderId="6" xfId="0" applyNumberFormat="1" applyFont="1" applyFill="1" applyBorder="1"/>
    <xf numFmtId="187" fontId="33" fillId="19" borderId="6" xfId="0" applyNumberFormat="1" applyFont="1" applyFill="1" applyBorder="1"/>
    <xf numFmtId="187" fontId="33" fillId="19" borderId="5" xfId="0" applyNumberFormat="1" applyFont="1" applyFill="1" applyBorder="1"/>
    <xf numFmtId="187" fontId="26" fillId="6" borderId="0" xfId="0" applyNumberFormat="1" applyFont="1" applyFill="1" applyBorder="1"/>
    <xf numFmtId="187" fontId="23" fillId="4" borderId="0" xfId="0" applyNumberFormat="1" applyFont="1" applyFill="1" applyBorder="1"/>
    <xf numFmtId="187" fontId="34" fillId="6" borderId="0" xfId="0" applyNumberFormat="1" applyFont="1" applyFill="1"/>
    <xf numFmtId="187" fontId="34" fillId="6" borderId="0" xfId="0" applyNumberFormat="1" applyFont="1" applyFill="1" applyBorder="1"/>
    <xf numFmtId="187" fontId="34" fillId="4" borderId="0" xfId="0" applyNumberFormat="1" applyFont="1" applyFill="1" applyBorder="1"/>
    <xf numFmtId="187" fontId="10" fillId="6" borderId="8" xfId="1" applyFont="1" applyFill="1" applyBorder="1"/>
    <xf numFmtId="187" fontId="33" fillId="6" borderId="0" xfId="1" applyFont="1" applyFill="1" applyBorder="1"/>
    <xf numFmtId="187" fontId="33" fillId="6" borderId="8" xfId="1" applyFont="1" applyFill="1" applyBorder="1"/>
    <xf numFmtId="0" fontId="3" fillId="6" borderId="8" xfId="0" applyFont="1" applyFill="1" applyBorder="1"/>
    <xf numFmtId="187" fontId="12" fillId="8" borderId="0" xfId="1" applyFont="1" applyFill="1" applyBorder="1"/>
    <xf numFmtId="187" fontId="8" fillId="19" borderId="8" xfId="1" applyFont="1" applyFill="1" applyBorder="1"/>
    <xf numFmtId="187" fontId="12" fillId="19" borderId="0" xfId="1" applyFont="1" applyFill="1" applyBorder="1"/>
    <xf numFmtId="187" fontId="10" fillId="19" borderId="0" xfId="1" applyFont="1" applyFill="1" applyBorder="1"/>
    <xf numFmtId="187" fontId="8" fillId="8" borderId="0" xfId="1" applyFont="1" applyFill="1" applyBorder="1"/>
    <xf numFmtId="187" fontId="8" fillId="19" borderId="0" xfId="1" applyFont="1" applyFill="1" applyBorder="1"/>
    <xf numFmtId="187" fontId="1" fillId="6" borderId="0" xfId="1" applyFont="1" applyFill="1" applyBorder="1"/>
    <xf numFmtId="187" fontId="1" fillId="4" borderId="0" xfId="1" applyFont="1" applyFill="1" applyBorder="1"/>
    <xf numFmtId="187" fontId="15" fillId="6" borderId="0" xfId="1" applyFont="1" applyFill="1" applyBorder="1"/>
    <xf numFmtId="187" fontId="37" fillId="6" borderId="0" xfId="1" applyFont="1" applyFill="1" applyBorder="1"/>
    <xf numFmtId="187" fontId="8" fillId="6" borderId="8" xfId="1" applyFont="1" applyFill="1" applyBorder="1"/>
    <xf numFmtId="187" fontId="8" fillId="6" borderId="0" xfId="1" applyFont="1" applyFill="1" applyBorder="1"/>
    <xf numFmtId="187" fontId="0" fillId="4" borderId="0" xfId="1" applyFont="1" applyFill="1" applyBorder="1"/>
    <xf numFmtId="187" fontId="12" fillId="4" borderId="0" xfId="1" applyFont="1" applyFill="1" applyBorder="1"/>
    <xf numFmtId="187" fontId="10" fillId="19" borderId="8" xfId="1" applyFont="1" applyFill="1" applyBorder="1"/>
    <xf numFmtId="187" fontId="0" fillId="8" borderId="0" xfId="1" applyFont="1" applyFill="1" applyBorder="1"/>
    <xf numFmtId="187" fontId="10" fillId="4" borderId="0" xfId="1" applyFont="1" applyFill="1" applyBorder="1"/>
    <xf numFmtId="187" fontId="8" fillId="4" borderId="0" xfId="1" applyFont="1" applyFill="1" applyBorder="1"/>
    <xf numFmtId="187" fontId="12" fillId="4" borderId="10" xfId="1" applyFont="1" applyFill="1" applyBorder="1"/>
    <xf numFmtId="0" fontId="3" fillId="6" borderId="0" xfId="0" applyFont="1" applyFill="1" applyBorder="1"/>
    <xf numFmtId="187" fontId="12" fillId="4" borderId="8" xfId="1" applyFont="1" applyFill="1" applyBorder="1"/>
    <xf numFmtId="187" fontId="8" fillId="6" borderId="10" xfId="1" applyFont="1" applyFill="1" applyBorder="1"/>
    <xf numFmtId="187" fontId="8" fillId="6" borderId="11" xfId="1" applyFont="1" applyFill="1" applyBorder="1"/>
    <xf numFmtId="0" fontId="3" fillId="6" borderId="13" xfId="0" applyFont="1" applyFill="1" applyBorder="1"/>
    <xf numFmtId="0" fontId="20" fillId="6" borderId="14" xfId="0" applyFont="1" applyFill="1" applyBorder="1" applyAlignment="1">
      <alignment horizontal="center"/>
    </xf>
    <xf numFmtId="0" fontId="33" fillId="6" borderId="15" xfId="0" applyFont="1" applyFill="1" applyBorder="1" applyAlignment="1">
      <alignment horizontal="center" vertical="center"/>
    </xf>
    <xf numFmtId="0" fontId="20" fillId="19" borderId="16" xfId="0" applyFont="1" applyFill="1" applyBorder="1" applyAlignment="1">
      <alignment horizontal="center" vertical="center"/>
    </xf>
    <xf numFmtId="187" fontId="0" fillId="6" borderId="15" xfId="1" applyFont="1" applyFill="1" applyBorder="1"/>
    <xf numFmtId="187" fontId="12" fillId="6" borderId="15" xfId="1" applyFont="1" applyFill="1" applyBorder="1"/>
    <xf numFmtId="187" fontId="0" fillId="6" borderId="17" xfId="1" applyFont="1" applyFill="1" applyBorder="1"/>
    <xf numFmtId="187" fontId="0" fillId="6" borderId="18" xfId="1" applyFont="1" applyFill="1" applyBorder="1"/>
    <xf numFmtId="187" fontId="0" fillId="6" borderId="5" xfId="1" applyFont="1" applyFill="1" applyBorder="1"/>
    <xf numFmtId="187" fontId="0" fillId="6" borderId="6" xfId="1" applyFont="1" applyFill="1" applyBorder="1"/>
    <xf numFmtId="0" fontId="38" fillId="6" borderId="15" xfId="0" applyFont="1" applyFill="1" applyBorder="1" applyAlignment="1">
      <alignment horizontal="center" vertical="center"/>
    </xf>
    <xf numFmtId="187" fontId="10" fillId="6" borderId="15" xfId="1" applyFont="1" applyFill="1" applyBorder="1"/>
    <xf numFmtId="187" fontId="0" fillId="6" borderId="14" xfId="1" applyFont="1" applyFill="1" applyBorder="1"/>
    <xf numFmtId="0" fontId="33" fillId="6" borderId="0" xfId="0" applyFont="1" applyFill="1" applyBorder="1" applyAlignment="1">
      <alignment horizontal="center" vertical="center"/>
    </xf>
    <xf numFmtId="0" fontId="20" fillId="5" borderId="9" xfId="0" applyFont="1" applyFill="1" applyBorder="1" applyAlignment="1">
      <alignment horizontal="center" vertical="center"/>
    </xf>
    <xf numFmtId="187" fontId="8" fillId="6" borderId="0" xfId="1" applyFont="1" applyFill="1"/>
    <xf numFmtId="187" fontId="12" fillId="6" borderId="0" xfId="1" applyFont="1" applyFill="1"/>
    <xf numFmtId="187" fontId="8" fillId="4" borderId="0" xfId="1" applyFont="1" applyFill="1"/>
    <xf numFmtId="187" fontId="10" fillId="6" borderId="0" xfId="1" applyFont="1" applyFill="1"/>
    <xf numFmtId="187" fontId="12" fillId="8" borderId="0" xfId="1" applyFont="1" applyFill="1"/>
    <xf numFmtId="187" fontId="12" fillId="6" borderId="8" xfId="1" applyFont="1" applyFill="1" applyBorder="1"/>
    <xf numFmtId="187" fontId="10" fillId="6" borderId="19" xfId="1" applyFont="1" applyFill="1" applyBorder="1"/>
    <xf numFmtId="187" fontId="10" fillId="6" borderId="20" xfId="1" applyFont="1" applyFill="1" applyBorder="1"/>
    <xf numFmtId="0" fontId="20" fillId="15" borderId="9" xfId="0" applyFont="1" applyFill="1" applyBorder="1" applyAlignment="1">
      <alignment horizontal="center" vertical="center"/>
    </xf>
    <xf numFmtId="187" fontId="0" fillId="6" borderId="8" xfId="1" applyFont="1" applyFill="1" applyBorder="1"/>
    <xf numFmtId="0" fontId="20" fillId="6" borderId="21" xfId="0" applyFont="1" applyFill="1" applyBorder="1" applyAlignment="1">
      <alignment horizontal="center"/>
    </xf>
    <xf numFmtId="0" fontId="33" fillId="6" borderId="22" xfId="0" applyFont="1" applyFill="1" applyBorder="1" applyAlignment="1">
      <alignment horizontal="center" vertical="center"/>
    </xf>
    <xf numFmtId="0" fontId="20" fillId="21" borderId="23" xfId="0" applyFont="1" applyFill="1" applyBorder="1" applyAlignment="1">
      <alignment horizontal="center" vertical="center"/>
    </xf>
    <xf numFmtId="187" fontId="0" fillId="4" borderId="0" xfId="1" applyFont="1" applyFill="1"/>
    <xf numFmtId="187" fontId="0" fillId="6" borderId="21" xfId="1" applyFont="1" applyFill="1" applyBorder="1"/>
    <xf numFmtId="187" fontId="0" fillId="6" borderId="22" xfId="1" applyFont="1" applyFill="1" applyBorder="1"/>
    <xf numFmtId="0" fontId="20" fillId="6" borderId="19" xfId="0" applyFont="1" applyFill="1" applyBorder="1" applyAlignment="1">
      <alignment horizontal="center"/>
    </xf>
    <xf numFmtId="0" fontId="20" fillId="6" borderId="20" xfId="0" applyFont="1" applyFill="1" applyBorder="1" applyAlignment="1">
      <alignment horizontal="center" vertical="center"/>
    </xf>
    <xf numFmtId="0" fontId="20" fillId="5" borderId="24" xfId="0" applyFont="1" applyFill="1" applyBorder="1" applyAlignment="1">
      <alignment horizontal="center" vertical="center"/>
    </xf>
    <xf numFmtId="187" fontId="0" fillId="6" borderId="20" xfId="1" applyFont="1" applyFill="1" applyBorder="1"/>
    <xf numFmtId="187" fontId="12" fillId="20" borderId="20" xfId="1" applyFont="1" applyFill="1" applyBorder="1"/>
    <xf numFmtId="187" fontId="12" fillId="6" borderId="20" xfId="1" applyFont="1" applyFill="1" applyBorder="1"/>
    <xf numFmtId="187" fontId="12" fillId="6" borderId="19" xfId="1" applyFont="1" applyFill="1" applyBorder="1"/>
    <xf numFmtId="3" fontId="27" fillId="6" borderId="0" xfId="0" applyNumberFormat="1" applyFont="1" applyFill="1"/>
    <xf numFmtId="0" fontId="20" fillId="6" borderId="22" xfId="0" applyFont="1" applyFill="1" applyBorder="1" applyAlignment="1">
      <alignment horizontal="center" vertical="center"/>
    </xf>
    <xf numFmtId="0" fontId="20" fillId="5" borderId="23" xfId="0" applyFont="1" applyFill="1" applyBorder="1" applyAlignment="1">
      <alignment horizontal="center" vertical="center"/>
    </xf>
    <xf numFmtId="187" fontId="12" fillId="20" borderId="22" xfId="1" applyFont="1" applyFill="1" applyBorder="1"/>
    <xf numFmtId="187" fontId="10" fillId="6" borderId="22" xfId="1" applyFont="1" applyFill="1" applyBorder="1"/>
    <xf numFmtId="187" fontId="12" fillId="6" borderId="22" xfId="1" applyFont="1" applyFill="1" applyBorder="1"/>
    <xf numFmtId="0" fontId="39" fillId="6" borderId="20" xfId="0" applyFont="1" applyFill="1" applyBorder="1" applyAlignment="1">
      <alignment horizontal="center" vertical="center"/>
    </xf>
    <xf numFmtId="187" fontId="37" fillId="6" borderId="20" xfId="1" applyFont="1" applyFill="1" applyBorder="1"/>
    <xf numFmtId="187" fontId="0" fillId="6" borderId="19" xfId="1" applyFont="1" applyFill="1" applyBorder="1"/>
    <xf numFmtId="0" fontId="39" fillId="6" borderId="22" xfId="0" applyFont="1" applyFill="1" applyBorder="1" applyAlignment="1">
      <alignment horizontal="center" vertical="center"/>
    </xf>
    <xf numFmtId="0" fontId="40" fillId="6" borderId="20" xfId="0" applyFont="1" applyFill="1" applyBorder="1" applyAlignment="1">
      <alignment horizontal="center" vertical="center"/>
    </xf>
    <xf numFmtId="0" fontId="40" fillId="6" borderId="0" xfId="0" applyFont="1" applyFill="1" applyBorder="1" applyAlignment="1">
      <alignment horizontal="center" vertical="center"/>
    </xf>
    <xf numFmtId="0" fontId="20" fillId="21" borderId="9" xfId="0" applyFont="1" applyFill="1" applyBorder="1" applyAlignment="1">
      <alignment horizontal="center" vertical="center"/>
    </xf>
    <xf numFmtId="0" fontId="34" fillId="6" borderId="20" xfId="0" applyFont="1" applyFill="1" applyBorder="1" applyAlignment="1">
      <alignment horizontal="center" vertical="center"/>
    </xf>
    <xf numFmtId="0" fontId="34" fillId="6" borderId="22" xfId="0" applyFont="1" applyFill="1" applyBorder="1" applyAlignment="1">
      <alignment horizontal="center" vertical="center"/>
    </xf>
    <xf numFmtId="0" fontId="41" fillId="6" borderId="0" xfId="0" applyFont="1" applyFill="1" applyBorder="1" applyAlignment="1">
      <alignment horizontal="center" vertical="center"/>
    </xf>
    <xf numFmtId="0" fontId="40" fillId="6" borderId="15" xfId="0" applyFont="1" applyFill="1" applyBorder="1" applyAlignment="1">
      <alignment horizontal="center" vertical="center"/>
    </xf>
    <xf numFmtId="0" fontId="20" fillId="21" borderId="16" xfId="0" applyFont="1" applyFill="1" applyBorder="1" applyAlignment="1">
      <alignment horizontal="center" vertical="center"/>
    </xf>
    <xf numFmtId="0" fontId="23" fillId="6" borderId="20" xfId="0" applyFont="1" applyFill="1" applyBorder="1" applyAlignment="1">
      <alignment horizontal="center" vertical="center"/>
    </xf>
    <xf numFmtId="0" fontId="23" fillId="6" borderId="22" xfId="0" applyFont="1" applyFill="1" applyBorder="1" applyAlignment="1">
      <alignment horizontal="center" vertical="center"/>
    </xf>
    <xf numFmtId="187" fontId="0" fillId="0" borderId="22" xfId="1" applyFont="1" applyFill="1" applyBorder="1"/>
    <xf numFmtId="0" fontId="23" fillId="6" borderId="0" xfId="0" applyFont="1" applyFill="1" applyBorder="1" applyAlignment="1">
      <alignment horizontal="center" vertical="center"/>
    </xf>
    <xf numFmtId="0" fontId="23" fillId="6" borderId="15" xfId="0" applyFont="1" applyFill="1" applyBorder="1" applyAlignment="1">
      <alignment horizontal="center" vertical="center"/>
    </xf>
    <xf numFmtId="0" fontId="20" fillId="21" borderId="24" xfId="0" applyFont="1" applyFill="1" applyBorder="1" applyAlignment="1">
      <alignment horizontal="center" vertical="center"/>
    </xf>
    <xf numFmtId="0" fontId="0" fillId="6" borderId="5" xfId="0" applyFill="1" applyBorder="1" applyAlignment="1">
      <alignment horizontal="center"/>
    </xf>
    <xf numFmtId="0" fontId="33" fillId="6" borderId="6" xfId="0" applyFont="1" applyFill="1" applyBorder="1" applyAlignment="1">
      <alignment horizontal="center" vertical="center"/>
    </xf>
    <xf numFmtId="0" fontId="0" fillId="6" borderId="7" xfId="0" applyFill="1" applyBorder="1" applyAlignment="1">
      <alignment horizontal="center"/>
    </xf>
    <xf numFmtId="187" fontId="8" fillId="6" borderId="20" xfId="1" applyFont="1" applyFill="1" applyBorder="1"/>
    <xf numFmtId="187" fontId="10" fillId="6" borderId="5" xfId="1" applyFont="1" applyFill="1" applyBorder="1"/>
    <xf numFmtId="187" fontId="10" fillId="6" borderId="6" xfId="1" applyFont="1" applyFill="1" applyBorder="1"/>
    <xf numFmtId="0" fontId="0" fillId="6" borderId="8" xfId="0" applyFill="1" applyBorder="1" applyAlignment="1">
      <alignment horizontal="center"/>
    </xf>
    <xf numFmtId="0" fontId="3" fillId="0" borderId="0" xfId="0" applyFont="1"/>
    <xf numFmtId="0" fontId="0" fillId="6" borderId="10" xfId="0" applyFill="1" applyBorder="1" applyAlignment="1">
      <alignment horizontal="center"/>
    </xf>
    <xf numFmtId="0" fontId="40" fillId="6" borderId="11" xfId="0" applyFont="1" applyFill="1" applyBorder="1" applyAlignment="1">
      <alignment horizontal="center" vertical="center"/>
    </xf>
    <xf numFmtId="0" fontId="0" fillId="6" borderId="12" xfId="0" applyFill="1" applyBorder="1" applyAlignment="1">
      <alignment horizontal="center"/>
    </xf>
    <xf numFmtId="187" fontId="10" fillId="6" borderId="10" xfId="1" applyFont="1" applyFill="1" applyBorder="1"/>
    <xf numFmtId="187" fontId="10" fillId="6" borderId="11" xfId="1" applyFont="1" applyFill="1" applyBorder="1"/>
    <xf numFmtId="187" fontId="0" fillId="4" borderId="20" xfId="1" applyFont="1" applyFill="1" applyBorder="1"/>
    <xf numFmtId="187" fontId="28" fillId="6" borderId="20" xfId="1" applyFont="1" applyFill="1" applyBorder="1"/>
    <xf numFmtId="0" fontId="0" fillId="6" borderId="21" xfId="0" applyFill="1" applyBorder="1" applyAlignment="1">
      <alignment horizontal="center"/>
    </xf>
    <xf numFmtId="0" fontId="39" fillId="6" borderId="0" xfId="0" applyFont="1" applyFill="1" applyBorder="1" applyAlignment="1">
      <alignment horizontal="center" vertical="center"/>
    </xf>
    <xf numFmtId="0" fontId="0" fillId="6" borderId="19" xfId="0" applyFill="1" applyBorder="1" applyAlignment="1">
      <alignment horizontal="center"/>
    </xf>
    <xf numFmtId="187" fontId="0" fillId="6" borderId="25" xfId="1" applyFont="1" applyFill="1" applyBorder="1"/>
    <xf numFmtId="187" fontId="10" fillId="4" borderId="22" xfId="1" applyFont="1" applyFill="1" applyBorder="1"/>
    <xf numFmtId="187" fontId="10" fillId="6" borderId="4" xfId="1" applyFont="1" applyFill="1" applyBorder="1"/>
    <xf numFmtId="187" fontId="10" fillId="6" borderId="26" xfId="1" applyFont="1" applyFill="1" applyBorder="1"/>
    <xf numFmtId="187" fontId="10" fillId="6" borderId="21" xfId="1" applyFont="1" applyFill="1" applyBorder="1"/>
    <xf numFmtId="187" fontId="10" fillId="20" borderId="0" xfId="1" applyFont="1" applyFill="1"/>
    <xf numFmtId="0" fontId="0" fillId="6" borderId="14" xfId="0" applyFill="1" applyBorder="1" applyAlignment="1">
      <alignment horizontal="center"/>
    </xf>
    <xf numFmtId="0" fontId="20" fillId="6" borderId="9" xfId="0" applyFont="1" applyFill="1" applyBorder="1" applyAlignment="1">
      <alignment horizontal="center" vertical="center"/>
    </xf>
    <xf numFmtId="187" fontId="1" fillId="6" borderId="0" xfId="1" applyFont="1" applyFill="1"/>
    <xf numFmtId="0" fontId="23" fillId="6" borderId="9" xfId="0" applyFont="1" applyFill="1" applyBorder="1" applyAlignment="1">
      <alignment horizontal="center" vertical="center"/>
    </xf>
    <xf numFmtId="0" fontId="0" fillId="0" borderId="16" xfId="0" applyBorder="1" applyAlignment="1">
      <alignment horizontal="center"/>
    </xf>
    <xf numFmtId="187" fontId="8" fillId="6" borderId="15" xfId="1" applyFont="1" applyFill="1" applyBorder="1"/>
    <xf numFmtId="187" fontId="8" fillId="6" borderId="14" xfId="1" applyFont="1" applyFill="1" applyBorder="1"/>
    <xf numFmtId="0" fontId="3" fillId="6" borderId="10" xfId="0" applyFont="1" applyFill="1" applyBorder="1"/>
    <xf numFmtId="0" fontId="20" fillId="6" borderId="27" xfId="0" applyFont="1" applyFill="1" applyBorder="1" applyAlignment="1">
      <alignment horizontal="center"/>
    </xf>
    <xf numFmtId="0" fontId="33" fillId="6" borderId="28" xfId="0" applyFont="1" applyFill="1" applyBorder="1" applyAlignment="1">
      <alignment horizontal="center" vertical="center"/>
    </xf>
    <xf numFmtId="0" fontId="20" fillId="3" borderId="29" xfId="0" applyFont="1" applyFill="1" applyBorder="1" applyAlignment="1">
      <alignment horizontal="center" vertical="center"/>
    </xf>
    <xf numFmtId="187" fontId="0" fillId="6" borderId="11" xfId="1" applyFont="1" applyFill="1" applyBorder="1"/>
    <xf numFmtId="187" fontId="0" fillId="6" borderId="11" xfId="0" applyNumberFormat="1" applyFill="1" applyBorder="1"/>
    <xf numFmtId="0" fontId="3" fillId="6" borderId="5" xfId="0" applyFont="1" applyFill="1" applyBorder="1" applyAlignment="1">
      <alignment horizontal="left" vertical="center"/>
    </xf>
    <xf numFmtId="187" fontId="3" fillId="6" borderId="6" xfId="1" applyFont="1" applyFill="1" applyBorder="1"/>
    <xf numFmtId="0" fontId="3" fillId="6" borderId="8" xfId="0" applyFont="1" applyFill="1" applyBorder="1" applyAlignment="1">
      <alignment horizontal="left" vertical="center" indent="1"/>
    </xf>
    <xf numFmtId="0" fontId="3" fillId="6" borderId="30" xfId="0" applyFont="1" applyFill="1" applyBorder="1"/>
    <xf numFmtId="0" fontId="20" fillId="6" borderId="6" xfId="0" applyFont="1" applyFill="1" applyBorder="1" applyAlignment="1">
      <alignment horizontal="center" vertical="center"/>
    </xf>
    <xf numFmtId="0" fontId="20" fillId="6" borderId="7" xfId="0" applyFont="1" applyFill="1" applyBorder="1" applyAlignment="1">
      <alignment horizontal="center" vertical="center"/>
    </xf>
    <xf numFmtId="0" fontId="3" fillId="6" borderId="31" xfId="0" applyFont="1" applyFill="1" applyBorder="1"/>
    <xf numFmtId="0" fontId="0" fillId="6" borderId="9" xfId="0" applyFill="1" applyBorder="1" applyAlignment="1">
      <alignment horizontal="center" vertical="center"/>
    </xf>
    <xf numFmtId="187" fontId="0" fillId="6" borderId="0" xfId="0" applyNumberFormat="1" applyFill="1" applyBorder="1"/>
    <xf numFmtId="189" fontId="0" fillId="6" borderId="0" xfId="0" applyNumberFormat="1" applyFill="1" applyBorder="1"/>
    <xf numFmtId="0" fontId="0" fillId="6" borderId="0" xfId="0" applyFill="1" applyBorder="1" applyAlignment="1">
      <alignment horizontal="center" vertical="center"/>
    </xf>
    <xf numFmtId="0" fontId="3" fillId="6" borderId="5" xfId="0" applyFont="1" applyFill="1" applyBorder="1" applyAlignment="1">
      <alignment horizontal="center" vertical="center"/>
    </xf>
    <xf numFmtId="0" fontId="0" fillId="6" borderId="7" xfId="0" applyFill="1" applyBorder="1" applyAlignment="1">
      <alignment horizontal="center" vertical="center"/>
    </xf>
    <xf numFmtId="187" fontId="0" fillId="22" borderId="7" xfId="1" applyFont="1" applyFill="1" applyBorder="1"/>
    <xf numFmtId="187" fontId="0" fillId="22" borderId="30" xfId="1" applyFont="1" applyFill="1" applyBorder="1"/>
    <xf numFmtId="187" fontId="0" fillId="22" borderId="0" xfId="1" applyFont="1" applyFill="1" applyBorder="1"/>
    <xf numFmtId="0" fontId="20" fillId="6" borderId="8" xfId="0" applyFont="1" applyFill="1" applyBorder="1" applyAlignment="1">
      <alignment horizontal="center" vertical="center"/>
    </xf>
    <xf numFmtId="0" fontId="16" fillId="6" borderId="8" xfId="0" applyFont="1" applyFill="1" applyBorder="1" applyAlignment="1">
      <alignment horizontal="center" vertical="center"/>
    </xf>
    <xf numFmtId="0" fontId="42" fillId="6" borderId="0" xfId="0" applyFont="1" applyFill="1" applyBorder="1" applyAlignment="1">
      <alignment horizontal="center" vertical="center"/>
    </xf>
    <xf numFmtId="0" fontId="16" fillId="6" borderId="9" xfId="0" applyFont="1" applyFill="1" applyBorder="1" applyAlignment="1">
      <alignment horizontal="center" vertical="center"/>
    </xf>
    <xf numFmtId="187" fontId="16" fillId="16" borderId="0" xfId="0" applyNumberFormat="1" applyFont="1" applyFill="1" applyBorder="1"/>
    <xf numFmtId="0" fontId="20" fillId="6" borderId="10" xfId="0" applyFont="1" applyFill="1" applyBorder="1" applyAlignment="1">
      <alignment horizontal="center" vertical="center"/>
    </xf>
    <xf numFmtId="0" fontId="20" fillId="6" borderId="11" xfId="0" applyFont="1" applyFill="1" applyBorder="1" applyAlignment="1">
      <alignment horizontal="center" vertical="center"/>
    </xf>
    <xf numFmtId="0" fontId="0" fillId="6" borderId="12" xfId="0" applyFill="1" applyBorder="1" applyAlignment="1">
      <alignment horizontal="center" vertical="center"/>
    </xf>
    <xf numFmtId="189" fontId="3" fillId="6" borderId="1" xfId="1" applyNumberFormat="1" applyFont="1" applyFill="1" applyBorder="1"/>
    <xf numFmtId="189" fontId="3" fillId="6" borderId="2" xfId="1" applyNumberFormat="1" applyFont="1" applyFill="1" applyBorder="1"/>
    <xf numFmtId="0" fontId="3" fillId="3" borderId="5" xfId="0" applyFont="1" applyFill="1" applyBorder="1" applyAlignment="1"/>
    <xf numFmtId="0" fontId="0" fillId="3" borderId="6" xfId="0" applyFill="1" applyBorder="1" applyAlignment="1">
      <alignment horizontal="center"/>
    </xf>
    <xf numFmtId="0" fontId="0" fillId="3" borderId="6" xfId="0" applyFill="1" applyBorder="1"/>
    <xf numFmtId="0" fontId="0" fillId="3" borderId="7" xfId="0" applyFill="1" applyBorder="1"/>
    <xf numFmtId="0" fontId="3" fillId="3" borderId="8" xfId="0" applyFont="1" applyFill="1" applyBorder="1" applyAlignment="1"/>
    <xf numFmtId="0" fontId="0" fillId="3" borderId="0" xfId="0" applyFill="1" applyBorder="1" applyAlignment="1">
      <alignment horizontal="center"/>
    </xf>
    <xf numFmtId="0" fontId="0" fillId="3" borderId="0" xfId="0" applyFill="1" applyBorder="1"/>
    <xf numFmtId="0" fontId="0" fillId="3" borderId="9" xfId="0" applyFill="1" applyBorder="1"/>
    <xf numFmtId="187" fontId="0" fillId="6" borderId="8" xfId="0" applyNumberFormat="1" applyFill="1" applyBorder="1"/>
    <xf numFmtId="0" fontId="3" fillId="3" borderId="10" xfId="0" applyFont="1" applyFill="1" applyBorder="1" applyAlignment="1"/>
    <xf numFmtId="0" fontId="0" fillId="3" borderId="11" xfId="0" applyFill="1" applyBorder="1" applyAlignment="1">
      <alignment horizontal="center"/>
    </xf>
    <xf numFmtId="0" fontId="0" fillId="3" borderId="11" xfId="0" applyFill="1" applyBorder="1"/>
    <xf numFmtId="0" fontId="0" fillId="3" borderId="12" xfId="0" applyFill="1" applyBorder="1"/>
    <xf numFmtId="187" fontId="0" fillId="6" borderId="10" xfId="0" applyNumberFormat="1" applyFill="1" applyBorder="1"/>
    <xf numFmtId="187" fontId="0" fillId="0" borderId="0" xfId="0" applyNumberFormat="1"/>
    <xf numFmtId="191" fontId="0" fillId="6" borderId="0" xfId="0" applyNumberFormat="1" applyFill="1" applyBorder="1" applyAlignment="1">
      <alignment horizontal="center"/>
    </xf>
    <xf numFmtId="0" fontId="0" fillId="6" borderId="0" xfId="0" applyFill="1" applyBorder="1" applyAlignment="1">
      <alignment horizontal="center"/>
    </xf>
    <xf numFmtId="191" fontId="0" fillId="6" borderId="11" xfId="0" applyNumberFormat="1" applyFill="1" applyBorder="1" applyAlignment="1">
      <alignment horizontal="center"/>
    </xf>
    <xf numFmtId="0" fontId="0" fillId="6" borderId="11" xfId="0" applyFill="1" applyBorder="1" applyAlignment="1">
      <alignment horizontal="center"/>
    </xf>
    <xf numFmtId="0" fontId="3" fillId="6" borderId="10" xfId="0" applyFont="1" applyFill="1" applyBorder="1" applyAlignment="1">
      <alignment horizontal="center"/>
    </xf>
    <xf numFmtId="0" fontId="3" fillId="6" borderId="11" xfId="0" applyFont="1" applyFill="1" applyBorder="1" applyAlignment="1">
      <alignment horizontal="center"/>
    </xf>
    <xf numFmtId="0" fontId="25" fillId="7" borderId="1" xfId="0" applyFont="1" applyFill="1" applyBorder="1" applyAlignment="1">
      <alignment horizontal="center"/>
    </xf>
    <xf numFmtId="0" fontId="25" fillId="7" borderId="2" xfId="0" applyFont="1" applyFill="1" applyBorder="1" applyAlignment="1">
      <alignment horizontal="center"/>
    </xf>
    <xf numFmtId="0" fontId="0" fillId="6" borderId="6" xfId="0" applyFill="1" applyBorder="1" applyAlignment="1">
      <alignment horizontal="center"/>
    </xf>
    <xf numFmtId="0" fontId="0" fillId="6" borderId="7" xfId="0" applyFill="1" applyBorder="1" applyAlignment="1">
      <alignment horizontal="center"/>
    </xf>
    <xf numFmtId="0" fontId="0" fillId="6" borderId="9" xfId="0" applyFill="1" applyBorder="1" applyAlignment="1">
      <alignment horizontal="center"/>
    </xf>
    <xf numFmtId="191" fontId="0" fillId="6" borderId="9" xfId="0" applyNumberFormat="1" applyFill="1" applyBorder="1" applyAlignment="1">
      <alignment horizontal="center"/>
    </xf>
    <xf numFmtId="0" fontId="0" fillId="6" borderId="12" xfId="0" applyFill="1" applyBorder="1" applyAlignment="1">
      <alignment horizontal="center"/>
    </xf>
    <xf numFmtId="0" fontId="25" fillId="7" borderId="5" xfId="0" applyFont="1" applyFill="1" applyBorder="1" applyAlignment="1">
      <alignment horizontal="center"/>
    </xf>
    <xf numFmtId="0" fontId="25" fillId="7" borderId="6" xfId="0" applyFont="1" applyFill="1" applyBorder="1" applyAlignment="1">
      <alignment horizontal="center"/>
    </xf>
    <xf numFmtId="0" fontId="15" fillId="6" borderId="0" xfId="0" applyFont="1" applyFill="1" applyBorder="1" applyAlignment="1">
      <alignment horizontal="center"/>
    </xf>
    <xf numFmtId="0" fontId="15" fillId="6" borderId="9" xfId="0" applyFont="1" applyFill="1" applyBorder="1" applyAlignment="1">
      <alignment horizontal="center"/>
    </xf>
    <xf numFmtId="191" fontId="0" fillId="6" borderId="12" xfId="0" applyNumberFormat="1" applyFill="1" applyBorder="1" applyAlignment="1">
      <alignment horizontal="center"/>
    </xf>
    <xf numFmtId="0" fontId="3" fillId="6" borderId="12" xfId="0" applyFont="1" applyFill="1" applyBorder="1" applyAlignment="1">
      <alignment horizontal="center"/>
    </xf>
    <xf numFmtId="0" fontId="25" fillId="7" borderId="7" xfId="0" applyFont="1" applyFill="1" applyBorder="1" applyAlignment="1">
      <alignment horizontal="center"/>
    </xf>
    <xf numFmtId="0" fontId="25" fillId="13" borderId="1" xfId="0" applyFont="1" applyFill="1" applyBorder="1" applyAlignment="1">
      <alignment horizontal="center"/>
    </xf>
    <xf numFmtId="0" fontId="25" fillId="13" borderId="2" xfId="0" applyFont="1" applyFill="1" applyBorder="1" applyAlignment="1">
      <alignment horizontal="center"/>
    </xf>
  </cellXfs>
  <cellStyles count="3">
    <cellStyle name="Comma" xfId="1" builtinId="3"/>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th-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13A3-4FD5-8C5C-2671B4DBD797}"/>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th-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13A3-4FD5-8C5C-2671B4DBD797}"/>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th-TH"/>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th-TH"/>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th-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'C3LPG'!$L$59:$X$59</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6="http://schemas.microsoft.com/office/drawing/2014/chart" uri="{C3380CC4-5D6E-409C-BE32-E72D297353CC}">
              <c16:uniqueId val="{00000000-A185-43A2-8073-8DDE9A13E5D7}"/>
            </c:ext>
          </c:extLst>
        </c:ser>
        <c:ser>
          <c:idx val="1"/>
          <c:order val="1"/>
          <c:tx>
            <c:strRef>
              <c:f>'C3LPG'!$A$61</c:f>
              <c:strCache>
                <c:ptCount val="1"/>
                <c:pt idx="0">
                  <c:v>GC</c:v>
                </c:pt>
              </c:strCache>
            </c:strRef>
          </c:tx>
          <c:spPr>
            <a:solidFill>
              <a:schemeClr val="accent2">
                <a:lumMod val="60000"/>
                <a:lumOff val="40000"/>
              </a:schemeClr>
            </a:solidFill>
            <a:ln>
              <a:noFill/>
            </a:ln>
            <a:effectLst/>
          </c:spPr>
          <c:invertIfNegative val="0"/>
          <c:dLbls>
            <c:dLbl>
              <c:idx val="0"/>
              <c:layout>
                <c:manualLayout>
                  <c:x val="-4.6765697032749911E-6"/>
                  <c:y val="7.311197534592851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85-43A2-8073-8DDE9A13E5D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'C3LPG'!$L$61:$X$61</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6="http://schemas.microsoft.com/office/drawing/2014/chart" uri="{C3380CC4-5D6E-409C-BE32-E72D297353CC}">
              <c16:uniqueId val="{00000002-A185-43A2-8073-8DDE9A13E5D7}"/>
            </c:ext>
          </c:extLst>
        </c:ser>
        <c:ser>
          <c:idx val="2"/>
          <c:order val="2"/>
          <c:tx>
            <c:strRef>
              <c:f>'C3LPG'!$A$62</c:f>
              <c:strCache>
                <c:ptCount val="1"/>
                <c:pt idx="0">
                  <c:v>SPRC</c:v>
                </c:pt>
              </c:strCache>
            </c:strRef>
          </c:tx>
          <c:spPr>
            <a:solidFill>
              <a:schemeClr val="accent3"/>
            </a:solidFill>
            <a:ln>
              <a:noFill/>
            </a:ln>
            <a:effectLst/>
          </c:spPr>
          <c:invertIfNegative val="0"/>
          <c:dLbls>
            <c:dLbl>
              <c:idx val="0"/>
              <c:layout>
                <c:manualLayout>
                  <c:x val="-9.617311766995507E-3"/>
                  <c:y val="4.36760691537761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85-43A2-8073-8DDE9A13E5D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'C3LPG'!$K$62:$X$62</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6="http://schemas.microsoft.com/office/drawing/2014/chart" uri="{C3380CC4-5D6E-409C-BE32-E72D297353CC}">
              <c16:uniqueId val="{00000004-A185-43A2-8073-8DDE9A13E5D7}"/>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'C3LPG'!$L$63:$X$63</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6="http://schemas.microsoft.com/office/drawing/2014/chart" uri="{C3380CC4-5D6E-409C-BE32-E72D297353CC}">
              <c16:uniqueId val="{00000005-A185-43A2-8073-8DDE9A13E5D7}"/>
            </c:ext>
          </c:extLst>
        </c:ser>
        <c:ser>
          <c:idx val="4"/>
          <c:order val="4"/>
          <c:tx>
            <c:strRef>
              <c:f>'C3LPG'!$A$64</c:f>
              <c:strCache>
                <c:ptCount val="1"/>
                <c:pt idx="0">
                  <c:v>GSP KHM</c:v>
                </c:pt>
              </c:strCache>
            </c:strRef>
          </c:tx>
          <c:spPr>
            <a:solidFill>
              <a:schemeClr val="accent5"/>
            </a:solidFill>
            <a:ln>
              <a:noFill/>
            </a:ln>
            <a:effectLst/>
          </c:spPr>
          <c:invertIfNegative val="0"/>
          <c:dLbls>
            <c:dLbl>
              <c:idx val="0"/>
              <c:layout>
                <c:manualLayout>
                  <c:x val="3.0081718631782322E-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85-43A2-8073-8DDE9A13E5D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'C3LPG'!$L$64:$X$64</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6="http://schemas.microsoft.com/office/drawing/2014/chart" uri="{C3380CC4-5D6E-409C-BE32-E72D297353CC}">
              <c16:uniqueId val="{00000007-A185-43A2-8073-8DDE9A13E5D7}"/>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6="http://schemas.microsoft.com/office/drawing/2014/chart" uri="{C3380CC4-5D6E-409C-BE32-E72D297353CC}">
              <c16:uniqueId val="{00000008-A185-43A2-8073-8DDE9A13E5D7}"/>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th-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'C3LPG'!$L$178:$X$178</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A185-43A2-8073-8DDE9A13E5D7}"/>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185-43A2-8073-8DDE9A13E5D7}"/>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185-43A2-8073-8DDE9A13E5D7}"/>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185-43A2-8073-8DDE9A13E5D7}"/>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185-43A2-8073-8DDE9A13E5D7}"/>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185-43A2-8073-8DDE9A13E5D7}"/>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185-43A2-8073-8DDE9A13E5D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th-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A185-43A2-8073-8DDE9A13E5D7}"/>
            </c:ext>
          </c:extLst>
        </c:ser>
        <c:dLbls>
          <c:showLegendKey val="0"/>
          <c:showVal val="1"/>
          <c:showCatName val="0"/>
          <c:showSerName val="0"/>
          <c:showPercent val="0"/>
          <c:showBubbleSize val="0"/>
        </c:dLbls>
        <c:marker val="1"/>
        <c:smooth val="0"/>
        <c:axId val="611677464"/>
        <c:axId val="611678120"/>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th-TH"/>
          </a:p>
        </c:txPr>
        <c:crossAx val="941141288"/>
        <c:crosses val="autoZero"/>
        <c:auto val="1"/>
        <c:lblOffset val="100"/>
        <c:baseTimeUnit val="months"/>
      </c:date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th-TH"/>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th-TH"/>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th-T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th-TH"/>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17D-4965-A829-37F0A5A47B2F}"/>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7D-4965-A829-37F0A5A47B2F}"/>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7D-4965-A829-37F0A5A47B2F}"/>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7D-4965-A829-37F0A5A47B2F}"/>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7D-4965-A829-37F0A5A47B2F}"/>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th-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317D-4965-A829-37F0A5A47B2F}"/>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th-TH"/>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th-TH"/>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43</xdr:col>
      <xdr:colOff>527503</xdr:colOff>
      <xdr:row>41</xdr:row>
      <xdr:rowOff>63509</xdr:rowOff>
    </xdr:from>
    <xdr:to>
      <xdr:col>55</xdr:col>
      <xdr:colOff>391433</xdr:colOff>
      <xdr:row>72</xdr:row>
      <xdr:rowOff>19050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214313</xdr:colOff>
      <xdr:row>48</xdr:row>
      <xdr:rowOff>152399</xdr:rowOff>
    </xdr:from>
    <xdr:to>
      <xdr:col>55</xdr:col>
      <xdr:colOff>79375</xdr:colOff>
      <xdr:row>75</xdr:row>
      <xdr:rowOff>79374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0</xdr:colOff>
      <xdr:row>83</xdr:row>
      <xdr:rowOff>0</xdr:rowOff>
    </xdr:from>
    <xdr:to>
      <xdr:col>54</xdr:col>
      <xdr:colOff>530080</xdr:colOff>
      <xdr:row>106</xdr:row>
      <xdr:rowOff>176357</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0</xdr:colOff>
      <xdr:row>187</xdr:row>
      <xdr:rowOff>0</xdr:rowOff>
    </xdr:from>
    <xdr:to>
      <xdr:col>45</xdr:col>
      <xdr:colOff>260613</xdr:colOff>
      <xdr:row>262</xdr:row>
      <xdr:rowOff>112851</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21175980" y="33939480"/>
          <a:ext cx="12925053" cy="138288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ow r="97">
          <cell r="BI97">
            <v>880</v>
          </cell>
        </row>
      </sheetData>
      <sheetData sheetId="1">
        <row r="97">
          <cell r="BI97">
            <v>880</v>
          </cell>
        </row>
      </sheetData>
      <sheetData sheetId="2">
        <row r="97">
          <cell r="BI97">
            <v>880</v>
          </cell>
        </row>
      </sheetData>
      <sheetData sheetId="3"/>
      <sheetData sheetId="4"/>
      <sheetData sheetId="5"/>
      <sheetData sheetId="6"/>
      <sheetData sheetId="7"/>
      <sheetData sheetId="8"/>
      <sheetData sheetId="9"/>
      <sheetData sheetId="10"/>
      <sheetData sheetId="11"/>
      <sheetData sheetId="12"/>
      <sheetData sheetId="13"/>
      <sheetData sheetId="14">
        <row r="97">
          <cell r="BI97">
            <v>880</v>
          </cell>
        </row>
      </sheetData>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S42"/>
  <sheetViews>
    <sheetView tabSelected="1" zoomScale="85" zoomScaleNormal="85" workbookViewId="0">
      <selection activeCell="F14" sqref="F14"/>
    </sheetView>
  </sheetViews>
  <sheetFormatPr defaultRowHeight="14" x14ac:dyDescent="0.3"/>
  <cols>
    <col min="1" max="1" width="38.75" style="1" customWidth="1"/>
    <col min="3" max="3" width="10.33203125" hidden="1" customWidth="1"/>
    <col min="4" max="4" width="10.4140625" hidden="1" customWidth="1"/>
    <col min="5" max="17" width="10.4140625" bestFit="1" customWidth="1"/>
    <col min="18" max="18" width="10.58203125" style="6" bestFit="1" customWidth="1"/>
    <col min="19" max="19" width="15.9140625" bestFit="1" customWidth="1"/>
  </cols>
  <sheetData>
    <row r="1" spans="1:19" x14ac:dyDescent="0.3">
      <c r="A1" s="1" t="s">
        <v>0</v>
      </c>
      <c r="B1" s="2" t="s">
        <v>1</v>
      </c>
      <c r="C1" s="3">
        <v>200.00475408799599</v>
      </c>
      <c r="D1" s="3">
        <v>180.7371222570533</v>
      </c>
      <c r="E1" s="3">
        <v>202.46136608303385</v>
      </c>
      <c r="F1" s="3">
        <v>191.86483370288249</v>
      </c>
      <c r="G1" s="3">
        <v>203.11200000000002</v>
      </c>
      <c r="H1" s="3">
        <v>196.65</v>
      </c>
      <c r="I1" s="3">
        <v>159.36000000000001</v>
      </c>
      <c r="J1" s="3">
        <v>204.60000000000002</v>
      </c>
      <c r="K1" s="3">
        <v>184.72800000000001</v>
      </c>
      <c r="L1" s="3">
        <v>159.51758748120392</v>
      </c>
      <c r="M1" s="3">
        <v>198.54412263934552</v>
      </c>
      <c r="N1" s="3">
        <v>201.4497760022428</v>
      </c>
      <c r="O1" s="3">
        <v>203.24626380712081</v>
      </c>
      <c r="P1" s="3">
        <v>183.57727053546398</v>
      </c>
      <c r="Q1" s="3"/>
      <c r="R1" s="4"/>
    </row>
    <row r="2" spans="1:19" x14ac:dyDescent="0.3">
      <c r="A2" s="1" t="s">
        <v>2</v>
      </c>
      <c r="B2" s="2" t="s">
        <v>1</v>
      </c>
      <c r="C2" s="5">
        <f t="shared" ref="C2:Q2" si="0">C7-C1</f>
        <v>-0.99693893053157012</v>
      </c>
      <c r="D2" s="5">
        <f t="shared" si="0"/>
        <v>1.5036723472260292</v>
      </c>
      <c r="E2" s="5">
        <f t="shared" si="0"/>
        <v>1.4694360233963266</v>
      </c>
      <c r="F2" s="5">
        <f t="shared" si="0"/>
        <v>1.4399999999999693</v>
      </c>
      <c r="G2" s="5">
        <f t="shared" si="0"/>
        <v>1.4879999999999995</v>
      </c>
      <c r="H2" s="5">
        <f t="shared" si="0"/>
        <v>1.3499999999999943</v>
      </c>
      <c r="I2" s="5">
        <f t="shared" si="0"/>
        <v>-9.6720000000000255</v>
      </c>
      <c r="J2" s="5">
        <f t="shared" si="0"/>
        <v>0</v>
      </c>
      <c r="K2" s="5">
        <f t="shared" si="0"/>
        <v>0</v>
      </c>
      <c r="L2" s="5">
        <f t="shared" si="0"/>
        <v>0</v>
      </c>
      <c r="M2" s="5">
        <f t="shared" si="0"/>
        <v>-0.7118181818181597</v>
      </c>
      <c r="N2" s="5">
        <f t="shared" si="0"/>
        <v>0</v>
      </c>
      <c r="O2" s="5">
        <f t="shared" si="0"/>
        <v>1.6430000000000007</v>
      </c>
      <c r="P2" s="5">
        <f t="shared" si="0"/>
        <v>1.4839999999999804</v>
      </c>
      <c r="Q2" s="5">
        <f t="shared" si="0"/>
        <v>203.24626380712081</v>
      </c>
      <c r="R2" s="4"/>
    </row>
    <row r="3" spans="1:19" x14ac:dyDescent="0.3">
      <c r="A3" s="1" t="s">
        <v>3</v>
      </c>
      <c r="B3" s="2" t="s">
        <v>1</v>
      </c>
      <c r="C3" s="3">
        <v>46.417000000000002</v>
      </c>
      <c r="D3" s="3">
        <v>44.466758620689653</v>
      </c>
      <c r="E3" s="3">
        <v>48.368068965517239</v>
      </c>
      <c r="F3" s="3">
        <v>46.8</v>
      </c>
      <c r="G3" s="3">
        <v>48.36</v>
      </c>
      <c r="H3" s="3">
        <v>46.8</v>
      </c>
      <c r="I3" s="3">
        <v>48.36</v>
      </c>
      <c r="J3" s="3">
        <v>48.36</v>
      </c>
      <c r="K3" s="3">
        <v>46.8</v>
      </c>
      <c r="L3" s="3">
        <v>46.692413793103455</v>
      </c>
      <c r="M3" s="3">
        <v>45.186206896551731</v>
      </c>
      <c r="N3" s="3">
        <v>47.526206896551727</v>
      </c>
      <c r="O3" s="3">
        <v>47.526206896551727</v>
      </c>
      <c r="P3" s="3">
        <v>42.926896551724141</v>
      </c>
      <c r="Q3" s="3"/>
    </row>
    <row r="4" spans="1:19" x14ac:dyDescent="0.3">
      <c r="A4" s="1" t="s">
        <v>2</v>
      </c>
      <c r="B4" s="2" t="s">
        <v>1</v>
      </c>
      <c r="C4" s="5">
        <f>C9-C3</f>
        <v>-0.28151834684843635</v>
      </c>
      <c r="D4" s="5">
        <f t="shared" ref="D4:Q4" si="1">D9-D3</f>
        <v>-1.0419212381248784</v>
      </c>
      <c r="E4" s="5">
        <f t="shared" si="1"/>
        <v>1.4799310344827603</v>
      </c>
      <c r="F4" s="5">
        <f t="shared" si="1"/>
        <v>1.4400000000000048</v>
      </c>
      <c r="G4" s="5">
        <f t="shared" si="1"/>
        <v>1.4879999999999995</v>
      </c>
      <c r="H4" s="5">
        <f t="shared" si="1"/>
        <v>1.4400000000000048</v>
      </c>
      <c r="I4" s="5">
        <f t="shared" si="1"/>
        <v>0</v>
      </c>
      <c r="J4" s="5">
        <f t="shared" si="1"/>
        <v>0</v>
      </c>
      <c r="K4" s="5">
        <f t="shared" si="1"/>
        <v>0</v>
      </c>
      <c r="L4" s="5">
        <f t="shared" si="1"/>
        <v>0</v>
      </c>
      <c r="M4" s="5">
        <f t="shared" si="1"/>
        <v>0</v>
      </c>
      <c r="N4" s="5">
        <f t="shared" si="1"/>
        <v>0</v>
      </c>
      <c r="O4" s="5">
        <f t="shared" si="1"/>
        <v>0</v>
      </c>
      <c r="P4" s="5">
        <f t="shared" si="1"/>
        <v>0</v>
      </c>
      <c r="Q4" s="5">
        <f t="shared" si="1"/>
        <v>47.526206896551727</v>
      </c>
    </row>
    <row r="5" spans="1:19" x14ac:dyDescent="0.3">
      <c r="A5" s="7"/>
      <c r="B5" s="8"/>
      <c r="C5" s="9">
        <v>31</v>
      </c>
      <c r="D5" s="10">
        <v>28</v>
      </c>
      <c r="E5" s="10">
        <v>31</v>
      </c>
      <c r="F5" s="10">
        <v>30</v>
      </c>
      <c r="G5" s="10">
        <v>31</v>
      </c>
      <c r="H5" s="10">
        <v>30</v>
      </c>
      <c r="I5" s="10">
        <v>31</v>
      </c>
      <c r="J5" s="10">
        <v>31</v>
      </c>
      <c r="K5" s="10">
        <v>30</v>
      </c>
      <c r="L5" s="10">
        <v>31</v>
      </c>
      <c r="M5" s="10">
        <v>30</v>
      </c>
      <c r="N5" s="10">
        <v>31</v>
      </c>
      <c r="O5" s="10">
        <v>31</v>
      </c>
      <c r="P5" s="10">
        <v>28</v>
      </c>
      <c r="Q5" s="10">
        <v>31</v>
      </c>
      <c r="R5" s="11"/>
      <c r="S5" s="9"/>
    </row>
    <row r="6" spans="1:19" x14ac:dyDescent="0.3">
      <c r="A6" s="12" t="s">
        <v>4</v>
      </c>
      <c r="B6" s="12" t="s">
        <v>5</v>
      </c>
      <c r="C6" s="13">
        <v>44198</v>
      </c>
      <c r="D6" s="13">
        <v>44229</v>
      </c>
      <c r="E6" s="13">
        <v>44257</v>
      </c>
      <c r="F6" s="13">
        <v>44288</v>
      </c>
      <c r="G6" s="13">
        <v>44318</v>
      </c>
      <c r="H6" s="13">
        <v>44349</v>
      </c>
      <c r="I6" s="14">
        <v>44379</v>
      </c>
      <c r="J6" s="14">
        <v>44410</v>
      </c>
      <c r="K6" s="14">
        <v>44441</v>
      </c>
      <c r="L6" s="14">
        <v>44471</v>
      </c>
      <c r="M6" s="14">
        <v>44502</v>
      </c>
      <c r="N6" s="14">
        <v>44532</v>
      </c>
      <c r="O6" s="14">
        <v>44563</v>
      </c>
      <c r="P6" s="14">
        <v>44594</v>
      </c>
      <c r="Q6" s="14">
        <v>44622</v>
      </c>
      <c r="R6" s="15"/>
      <c r="S6" s="16" t="s">
        <v>6</v>
      </c>
    </row>
    <row r="7" spans="1:19" x14ac:dyDescent="0.3">
      <c r="A7" s="17" t="s">
        <v>7</v>
      </c>
      <c r="B7" s="18" t="s">
        <v>1</v>
      </c>
      <c r="C7" s="19">
        <v>199.00781515746442</v>
      </c>
      <c r="D7" s="20">
        <v>182.24079460427933</v>
      </c>
      <c r="E7" s="20">
        <v>203.93080210643018</v>
      </c>
      <c r="F7" s="20">
        <v>193.30483370288246</v>
      </c>
      <c r="G7" s="20">
        <v>204.60000000000002</v>
      </c>
      <c r="H7" s="20">
        <v>198</v>
      </c>
      <c r="I7" s="20">
        <v>149.68799999999999</v>
      </c>
      <c r="J7" s="20">
        <v>204.60000000000002</v>
      </c>
      <c r="K7" s="20">
        <v>184.72800000000001</v>
      </c>
      <c r="L7" s="20">
        <v>159.51758748120392</v>
      </c>
      <c r="M7" s="20">
        <v>197.83230445752736</v>
      </c>
      <c r="N7" s="20">
        <v>201.4497760022428</v>
      </c>
      <c r="O7" s="20">
        <v>204.88926380712081</v>
      </c>
      <c r="P7" s="20">
        <v>185.06127053546396</v>
      </c>
      <c r="Q7" s="20">
        <v>203.24626380712081</v>
      </c>
      <c r="R7" s="21"/>
      <c r="S7" s="22">
        <f>SUM(C7:N7)</f>
        <v>2278.8999135120303</v>
      </c>
    </row>
    <row r="8" spans="1:19" x14ac:dyDescent="0.3">
      <c r="A8" s="7" t="str">
        <f>A7</f>
        <v>Total C2 (Ability 4rev0_2Mar'21)</v>
      </c>
      <c r="B8" s="18" t="s">
        <v>8</v>
      </c>
      <c r="C8" s="23">
        <f>C7/24/C5*1000</f>
        <v>267.48362252347368</v>
      </c>
      <c r="D8" s="23">
        <f t="shared" ref="D8:Q8" si="2">D7/24/D5*1000</f>
        <v>271.19165863732042</v>
      </c>
      <c r="E8" s="23">
        <f t="shared" si="2"/>
        <v>274.10054046563198</v>
      </c>
      <c r="F8" s="23">
        <f t="shared" si="2"/>
        <v>268.47893569844786</v>
      </c>
      <c r="G8" s="23">
        <f t="shared" si="2"/>
        <v>275</v>
      </c>
      <c r="H8" s="23">
        <f t="shared" si="2"/>
        <v>275</v>
      </c>
      <c r="I8" s="23">
        <f t="shared" si="2"/>
        <v>201.19354838709674</v>
      </c>
      <c r="J8" s="23">
        <f t="shared" si="2"/>
        <v>275</v>
      </c>
      <c r="K8" s="23">
        <f t="shared" si="2"/>
        <v>256.56666666666666</v>
      </c>
      <c r="L8" s="23">
        <f t="shared" si="2"/>
        <v>214.4053595177472</v>
      </c>
      <c r="M8" s="23">
        <f t="shared" si="2"/>
        <v>274.76708952434353</v>
      </c>
      <c r="N8" s="23">
        <f t="shared" si="2"/>
        <v>270.76582796000378</v>
      </c>
      <c r="O8" s="23">
        <f t="shared" si="2"/>
        <v>275.38879543967846</v>
      </c>
      <c r="P8" s="23">
        <f t="shared" si="2"/>
        <v>275.38879543967846</v>
      </c>
      <c r="Q8" s="23">
        <f t="shared" si="2"/>
        <v>273.1804621063452</v>
      </c>
      <c r="R8" s="24"/>
      <c r="S8" s="25"/>
    </row>
    <row r="9" spans="1:19" x14ac:dyDescent="0.3">
      <c r="A9" s="26" t="s">
        <v>3</v>
      </c>
      <c r="B9" s="18" t="s">
        <v>1</v>
      </c>
      <c r="C9" s="19">
        <v>46.135481653151565</v>
      </c>
      <c r="D9" s="19">
        <v>43.424837382564775</v>
      </c>
      <c r="E9" s="19">
        <v>49.847999999999999</v>
      </c>
      <c r="F9" s="19">
        <v>48.24</v>
      </c>
      <c r="G9" s="19">
        <v>49.847999999999999</v>
      </c>
      <c r="H9" s="19">
        <v>48.24</v>
      </c>
      <c r="I9" s="19">
        <v>48.36</v>
      </c>
      <c r="J9" s="19">
        <v>48.36</v>
      </c>
      <c r="K9" s="19">
        <v>46.8</v>
      </c>
      <c r="L9" s="19">
        <v>46.692413793103455</v>
      </c>
      <c r="M9" s="19">
        <v>45.186206896551731</v>
      </c>
      <c r="N9" s="19">
        <v>47.526206896551727</v>
      </c>
      <c r="O9" s="19">
        <v>47.526206896551727</v>
      </c>
      <c r="P9" s="19">
        <v>42.926896551724141</v>
      </c>
      <c r="Q9" s="19">
        <v>47.526206896551727</v>
      </c>
      <c r="R9" s="27"/>
      <c r="S9" s="22">
        <f>SUM(C9:N9)</f>
        <v>568.66114662192331</v>
      </c>
    </row>
    <row r="10" spans="1:19" x14ac:dyDescent="0.3">
      <c r="A10" s="7" t="s">
        <v>3</v>
      </c>
      <c r="B10" s="18" t="s">
        <v>8</v>
      </c>
      <c r="C10" s="28">
        <f>C9/24/C5*1000</f>
        <v>62.010055985418774</v>
      </c>
      <c r="D10" s="28">
        <f t="shared" ref="D10:Q10" si="3">D9/24/D5*1000</f>
        <v>64.620293724054733</v>
      </c>
      <c r="E10" s="28">
        <f t="shared" si="3"/>
        <v>67</v>
      </c>
      <c r="F10" s="28">
        <f t="shared" si="3"/>
        <v>67</v>
      </c>
      <c r="G10" s="28">
        <f t="shared" si="3"/>
        <v>67</v>
      </c>
      <c r="H10" s="28">
        <f t="shared" si="3"/>
        <v>67</v>
      </c>
      <c r="I10" s="28">
        <f t="shared" si="3"/>
        <v>65</v>
      </c>
      <c r="J10" s="28">
        <f t="shared" si="3"/>
        <v>65</v>
      </c>
      <c r="K10" s="28">
        <f t="shared" si="3"/>
        <v>65</v>
      </c>
      <c r="L10" s="28">
        <f t="shared" si="3"/>
        <v>62.758620689655181</v>
      </c>
      <c r="M10" s="28">
        <f t="shared" si="3"/>
        <v>62.758620689655181</v>
      </c>
      <c r="N10" s="28">
        <f t="shared" si="3"/>
        <v>63.879310344827594</v>
      </c>
      <c r="O10" s="28">
        <f t="shared" si="3"/>
        <v>63.879310344827594</v>
      </c>
      <c r="P10" s="28">
        <f t="shared" si="3"/>
        <v>63.879310344827594</v>
      </c>
      <c r="Q10" s="28">
        <f t="shared" si="3"/>
        <v>63.879310344827594</v>
      </c>
      <c r="R10" s="29"/>
      <c r="S10" s="25"/>
    </row>
    <row r="11" spans="1:19" x14ac:dyDescent="0.3">
      <c r="A11" s="7"/>
      <c r="B11" s="18"/>
      <c r="C11" s="28"/>
      <c r="D11" s="28"/>
      <c r="E11" s="28"/>
      <c r="F11" s="28"/>
      <c r="G11" s="28"/>
      <c r="H11" s="28"/>
      <c r="I11" s="28"/>
      <c r="J11" s="28"/>
      <c r="K11" s="28"/>
      <c r="L11" s="28"/>
      <c r="M11" s="28"/>
      <c r="N11" s="28"/>
      <c r="O11" s="28"/>
      <c r="P11" s="28"/>
      <c r="Q11" s="28"/>
      <c r="R11" s="29"/>
      <c r="S11" s="25"/>
    </row>
    <row r="12" spans="1:19" x14ac:dyDescent="0.3">
      <c r="A12" s="7" t="s">
        <v>9</v>
      </c>
      <c r="B12" s="18"/>
      <c r="C12" s="28"/>
      <c r="D12" s="28"/>
      <c r="E12" s="28"/>
      <c r="F12" s="28"/>
      <c r="G12" s="28"/>
      <c r="H12" s="28"/>
      <c r="I12" s="28"/>
      <c r="J12" s="28"/>
      <c r="K12" s="28"/>
      <c r="L12" s="28"/>
      <c r="M12" s="28"/>
      <c r="N12" s="28"/>
      <c r="O12" s="28"/>
      <c r="P12" s="28"/>
      <c r="Q12" s="28"/>
      <c r="R12" s="29"/>
      <c r="S12" s="25"/>
    </row>
    <row r="13" spans="1:19" x14ac:dyDescent="0.3">
      <c r="A13" s="7" t="s">
        <v>10</v>
      </c>
      <c r="B13" s="18" t="s">
        <v>8</v>
      </c>
      <c r="C13" s="28"/>
      <c r="D13" s="5">
        <v>260</v>
      </c>
      <c r="E13" s="5">
        <v>260</v>
      </c>
      <c r="F13" s="5">
        <v>260</v>
      </c>
      <c r="G13" s="5">
        <v>260</v>
      </c>
      <c r="H13" s="5">
        <v>260</v>
      </c>
      <c r="I13" s="5">
        <v>260</v>
      </c>
      <c r="J13" s="5">
        <v>260</v>
      </c>
      <c r="K13" s="5">
        <v>260</v>
      </c>
      <c r="L13" s="5">
        <v>260</v>
      </c>
      <c r="M13" s="5">
        <v>260</v>
      </c>
      <c r="N13" s="5">
        <v>260</v>
      </c>
      <c r="O13" s="5">
        <v>260</v>
      </c>
      <c r="P13" s="5">
        <v>260</v>
      </c>
      <c r="Q13" s="5">
        <v>260</v>
      </c>
      <c r="R13" s="4"/>
      <c r="S13" s="25"/>
    </row>
    <row r="14" spans="1:19" x14ac:dyDescent="0.3">
      <c r="A14" s="7" t="s">
        <v>11</v>
      </c>
      <c r="B14" s="18" t="s">
        <v>8</v>
      </c>
      <c r="C14" s="28"/>
      <c r="D14" s="5">
        <v>15</v>
      </c>
      <c r="E14" s="5">
        <v>15</v>
      </c>
      <c r="F14" s="5">
        <v>15</v>
      </c>
      <c r="G14" s="5">
        <v>15</v>
      </c>
      <c r="H14" s="5">
        <v>15</v>
      </c>
      <c r="I14" s="5">
        <v>15</v>
      </c>
      <c r="J14" s="5">
        <v>15</v>
      </c>
      <c r="K14" s="5">
        <v>15</v>
      </c>
      <c r="L14" s="5">
        <v>15</v>
      </c>
      <c r="M14" s="5">
        <v>15</v>
      </c>
      <c r="N14" s="5">
        <v>15</v>
      </c>
      <c r="O14" s="5">
        <v>15</v>
      </c>
      <c r="P14" s="5">
        <v>15</v>
      </c>
      <c r="Q14" s="5">
        <v>15</v>
      </c>
      <c r="R14" s="4"/>
      <c r="S14" s="25"/>
    </row>
    <row r="15" spans="1:19" x14ac:dyDescent="0.3">
      <c r="A15" s="7"/>
      <c r="B15" s="18"/>
      <c r="C15" s="28"/>
      <c r="D15" s="28"/>
      <c r="E15" s="28"/>
      <c r="F15" s="28"/>
      <c r="G15" s="28"/>
      <c r="H15" s="28"/>
      <c r="I15" s="28"/>
      <c r="J15" s="28"/>
      <c r="K15" s="28"/>
      <c r="L15" s="28"/>
      <c r="M15" s="28"/>
      <c r="N15" s="28"/>
      <c r="O15" s="28"/>
      <c r="P15" s="28"/>
      <c r="Q15" s="28"/>
      <c r="R15" s="29"/>
      <c r="S15" s="25"/>
    </row>
    <row r="16" spans="1:19" x14ac:dyDescent="0.3">
      <c r="A16" s="7" t="s">
        <v>12</v>
      </c>
      <c r="B16" s="18" t="s">
        <v>8</v>
      </c>
      <c r="C16" s="30"/>
      <c r="D16" s="30"/>
      <c r="E16" s="30">
        <f t="shared" ref="E16:Q16" si="4">E8-275</f>
        <v>-0.89945953436802029</v>
      </c>
      <c r="F16" s="30">
        <f t="shared" si="4"/>
        <v>-6.5210643015521441</v>
      </c>
      <c r="G16" s="30">
        <f t="shared" si="4"/>
        <v>0</v>
      </c>
      <c r="H16" s="30">
        <f t="shared" si="4"/>
        <v>0</v>
      </c>
      <c r="I16" s="30">
        <f t="shared" si="4"/>
        <v>-73.80645161290326</v>
      </c>
      <c r="J16" s="30">
        <f t="shared" si="4"/>
        <v>0</v>
      </c>
      <c r="K16" s="30">
        <f t="shared" si="4"/>
        <v>-18.433333333333337</v>
      </c>
      <c r="L16" s="30">
        <f t="shared" si="4"/>
        <v>-60.5946404822528</v>
      </c>
      <c r="M16" s="30">
        <f t="shared" si="4"/>
        <v>-0.2329104756564675</v>
      </c>
      <c r="N16" s="30">
        <f t="shared" si="4"/>
        <v>-4.2341720399962242</v>
      </c>
      <c r="O16" s="30">
        <f t="shared" si="4"/>
        <v>0.38879543967846075</v>
      </c>
      <c r="P16" s="30">
        <f t="shared" si="4"/>
        <v>0.38879543967846075</v>
      </c>
      <c r="Q16" s="30">
        <f t="shared" si="4"/>
        <v>-1.8195378936547968</v>
      </c>
      <c r="R16" s="31"/>
      <c r="S16" s="25"/>
    </row>
    <row r="17" spans="1:19" x14ac:dyDescent="0.3">
      <c r="A17" s="7" t="s">
        <v>13</v>
      </c>
      <c r="B17" s="18"/>
      <c r="C17" s="8"/>
      <c r="D17" s="8"/>
      <c r="E17" s="32"/>
      <c r="F17" s="32"/>
      <c r="G17" s="32"/>
      <c r="H17" s="32"/>
      <c r="I17" s="32"/>
      <c r="J17" s="32"/>
      <c r="K17" s="32"/>
      <c r="L17" s="32"/>
      <c r="M17" s="32"/>
      <c r="N17" s="32"/>
      <c r="O17" s="32"/>
      <c r="P17" s="32"/>
      <c r="Q17" s="32"/>
      <c r="R17" s="31"/>
      <c r="S17" s="25"/>
    </row>
    <row r="18" spans="1:19" x14ac:dyDescent="0.3">
      <c r="A18" s="7" t="s">
        <v>14</v>
      </c>
      <c r="B18" s="18" t="s">
        <v>8</v>
      </c>
      <c r="C18" s="8"/>
      <c r="D18" s="30"/>
      <c r="E18" s="30">
        <f t="shared" ref="E18:P18" si="5">E13/(E13+E14)*E16</f>
        <v>-0.85039810522067372</v>
      </c>
      <c r="F18" s="30">
        <f t="shared" si="5"/>
        <v>-6.1653698851038454</v>
      </c>
      <c r="G18" s="30">
        <f t="shared" si="5"/>
        <v>0</v>
      </c>
      <c r="H18" s="30">
        <f t="shared" si="5"/>
        <v>0</v>
      </c>
      <c r="I18" s="30">
        <f t="shared" si="5"/>
        <v>-69.780645161290352</v>
      </c>
      <c r="J18" s="30">
        <f t="shared" si="5"/>
        <v>0</v>
      </c>
      <c r="K18" s="30">
        <f t="shared" si="5"/>
        <v>-17.42787878787879</v>
      </c>
      <c r="L18" s="30">
        <f t="shared" si="5"/>
        <v>-57.28947827412992</v>
      </c>
      <c r="M18" s="30">
        <f t="shared" si="5"/>
        <v>-0.22020626789338746</v>
      </c>
      <c r="N18" s="30">
        <f t="shared" si="5"/>
        <v>-4.0032172014509753</v>
      </c>
      <c r="O18" s="30">
        <f t="shared" si="5"/>
        <v>0.36758841569599926</v>
      </c>
      <c r="P18" s="30">
        <f t="shared" si="5"/>
        <v>0.36758841569599926</v>
      </c>
      <c r="Q18" s="30">
        <f>Q13/(Q13+Q14)*Q16</f>
        <v>-1.720290372182717</v>
      </c>
      <c r="R18" s="31"/>
      <c r="S18" s="25"/>
    </row>
    <row r="19" spans="1:19" x14ac:dyDescent="0.3">
      <c r="A19" s="7" t="s">
        <v>15</v>
      </c>
      <c r="B19" s="18" t="s">
        <v>8</v>
      </c>
      <c r="C19" s="8"/>
      <c r="D19" s="30"/>
      <c r="E19" s="30">
        <f t="shared" ref="E19:P19" si="6">E14/(E13+E14)*E16</f>
        <v>-4.9061429147346555E-2</v>
      </c>
      <c r="F19" s="30">
        <f t="shared" si="6"/>
        <v>-0.35569441644829874</v>
      </c>
      <c r="G19" s="30">
        <f t="shared" si="6"/>
        <v>0</v>
      </c>
      <c r="H19" s="30">
        <f t="shared" si="6"/>
        <v>0</v>
      </c>
      <c r="I19" s="30">
        <f t="shared" si="6"/>
        <v>-4.0258064516129046</v>
      </c>
      <c r="J19" s="30">
        <f t="shared" si="6"/>
        <v>0</v>
      </c>
      <c r="K19" s="30">
        <f t="shared" si="6"/>
        <v>-1.0054545454545456</v>
      </c>
      <c r="L19" s="30">
        <f t="shared" si="6"/>
        <v>-3.30516220812288</v>
      </c>
      <c r="M19" s="30">
        <f t="shared" si="6"/>
        <v>-1.2704207763080044E-2</v>
      </c>
      <c r="N19" s="30">
        <f t="shared" si="6"/>
        <v>-0.23095483854524859</v>
      </c>
      <c r="O19" s="30">
        <f t="shared" si="6"/>
        <v>2.1207023982461496E-2</v>
      </c>
      <c r="P19" s="30">
        <f t="shared" si="6"/>
        <v>2.1207023982461496E-2</v>
      </c>
      <c r="Q19" s="30">
        <f>Q14/(Q13+Q14)*Q16</f>
        <v>-9.9247521472079825E-2</v>
      </c>
      <c r="R19" s="31"/>
      <c r="S19" s="25"/>
    </row>
    <row r="20" spans="1:19" x14ac:dyDescent="0.3">
      <c r="A20" s="7"/>
      <c r="B20" s="18"/>
      <c r="C20" s="8"/>
      <c r="D20" s="8"/>
      <c r="E20" s="32"/>
      <c r="F20" s="32"/>
      <c r="G20" s="32"/>
      <c r="H20" s="32"/>
      <c r="I20" s="30"/>
      <c r="J20" s="30"/>
      <c r="K20" s="30"/>
      <c r="L20" s="30"/>
      <c r="M20" s="30"/>
      <c r="N20" s="30"/>
      <c r="O20" s="30"/>
      <c r="P20" s="30"/>
      <c r="Q20" s="30"/>
      <c r="R20" s="31"/>
      <c r="S20" s="25"/>
    </row>
    <row r="21" spans="1:19" x14ac:dyDescent="0.3">
      <c r="A21" s="12" t="s">
        <v>16</v>
      </c>
      <c r="B21" s="12" t="s">
        <v>5</v>
      </c>
      <c r="C21" s="13">
        <f t="shared" ref="C21:Q21" si="7">C6</f>
        <v>44198</v>
      </c>
      <c r="D21" s="13">
        <f t="shared" si="7"/>
        <v>44229</v>
      </c>
      <c r="E21" s="13">
        <f t="shared" si="7"/>
        <v>44257</v>
      </c>
      <c r="F21" s="13">
        <f t="shared" si="7"/>
        <v>44288</v>
      </c>
      <c r="G21" s="13">
        <f t="shared" si="7"/>
        <v>44318</v>
      </c>
      <c r="H21" s="13">
        <f t="shared" si="7"/>
        <v>44349</v>
      </c>
      <c r="I21" s="14">
        <f t="shared" si="7"/>
        <v>44379</v>
      </c>
      <c r="J21" s="14">
        <f t="shared" si="7"/>
        <v>44410</v>
      </c>
      <c r="K21" s="14">
        <f t="shared" si="7"/>
        <v>44441</v>
      </c>
      <c r="L21" s="14">
        <f t="shared" si="7"/>
        <v>44471</v>
      </c>
      <c r="M21" s="14">
        <f t="shared" si="7"/>
        <v>44502</v>
      </c>
      <c r="N21" s="14">
        <f t="shared" si="7"/>
        <v>44532</v>
      </c>
      <c r="O21" s="14">
        <f t="shared" si="7"/>
        <v>44563</v>
      </c>
      <c r="P21" s="14">
        <f t="shared" si="7"/>
        <v>44594</v>
      </c>
      <c r="Q21" s="14">
        <f t="shared" si="7"/>
        <v>44622</v>
      </c>
      <c r="R21" s="31"/>
      <c r="S21" s="25"/>
    </row>
    <row r="22" spans="1:19" x14ac:dyDescent="0.3">
      <c r="A22" s="33" t="s">
        <v>17</v>
      </c>
      <c r="B22" s="34" t="s">
        <v>18</v>
      </c>
      <c r="C22" s="19">
        <v>0</v>
      </c>
      <c r="D22" s="19">
        <v>0</v>
      </c>
      <c r="E22" s="35">
        <v>5040</v>
      </c>
      <c r="F22" s="35">
        <v>5760</v>
      </c>
      <c r="G22" s="35">
        <v>11160</v>
      </c>
      <c r="H22" s="35">
        <v>7200</v>
      </c>
      <c r="I22" s="35">
        <v>10080</v>
      </c>
      <c r="J22" s="35">
        <v>11160</v>
      </c>
      <c r="K22" s="35">
        <v>10800</v>
      </c>
      <c r="L22" s="35">
        <v>11160</v>
      </c>
      <c r="M22" s="35">
        <v>10800</v>
      </c>
      <c r="N22" s="35">
        <v>11160</v>
      </c>
      <c r="O22" s="35">
        <v>11160</v>
      </c>
      <c r="P22" s="35">
        <v>10080</v>
      </c>
      <c r="Q22" s="35">
        <v>11160</v>
      </c>
      <c r="R22" s="31"/>
      <c r="S22" s="25"/>
    </row>
    <row r="23" spans="1:19" x14ac:dyDescent="0.3">
      <c r="A23" s="36" t="str">
        <f>A22</f>
        <v>SCG Demand (Updated on 26/2/64)</v>
      </c>
      <c r="B23" s="37" t="s">
        <v>1</v>
      </c>
      <c r="C23" s="38">
        <v>0</v>
      </c>
      <c r="D23" s="39">
        <v>0</v>
      </c>
      <c r="E23" s="39">
        <f>E22/1000</f>
        <v>5.04</v>
      </c>
      <c r="F23" s="39">
        <f t="shared" ref="F23:Q23" si="8">F22/1000</f>
        <v>5.76</v>
      </c>
      <c r="G23" s="39">
        <f t="shared" si="8"/>
        <v>11.16</v>
      </c>
      <c r="H23" s="39">
        <f t="shared" si="8"/>
        <v>7.2</v>
      </c>
      <c r="I23" s="39">
        <f t="shared" si="8"/>
        <v>10.08</v>
      </c>
      <c r="J23" s="39">
        <f t="shared" si="8"/>
        <v>11.16</v>
      </c>
      <c r="K23" s="39">
        <f t="shared" si="8"/>
        <v>10.8</v>
      </c>
      <c r="L23" s="39">
        <f t="shared" si="8"/>
        <v>11.16</v>
      </c>
      <c r="M23" s="39">
        <f t="shared" si="8"/>
        <v>10.8</v>
      </c>
      <c r="N23" s="39">
        <f t="shared" si="8"/>
        <v>11.16</v>
      </c>
      <c r="O23" s="39">
        <f t="shared" si="8"/>
        <v>11.16</v>
      </c>
      <c r="P23" s="39">
        <f t="shared" si="8"/>
        <v>10.08</v>
      </c>
      <c r="Q23" s="39">
        <f t="shared" si="8"/>
        <v>11.16</v>
      </c>
      <c r="R23" s="31"/>
      <c r="S23" s="25"/>
    </row>
    <row r="24" spans="1:19" x14ac:dyDescent="0.3">
      <c r="A24" s="36" t="str">
        <f>A23</f>
        <v>SCG Demand (Updated on 26/2/64)</v>
      </c>
      <c r="B24" s="37" t="s">
        <v>8</v>
      </c>
      <c r="C24" s="40">
        <f t="shared" ref="C24:Q24" si="9">C23/24/C5*1000</f>
        <v>0</v>
      </c>
      <c r="D24" s="41">
        <f t="shared" si="9"/>
        <v>0</v>
      </c>
      <c r="E24" s="41">
        <f t="shared" si="9"/>
        <v>6.774193548387097</v>
      </c>
      <c r="F24" s="41">
        <f t="shared" si="9"/>
        <v>8</v>
      </c>
      <c r="G24" s="41">
        <f t="shared" si="9"/>
        <v>15.000000000000002</v>
      </c>
      <c r="H24" s="41">
        <f t="shared" si="9"/>
        <v>10</v>
      </c>
      <c r="I24" s="41">
        <f t="shared" si="9"/>
        <v>13.548387096774194</v>
      </c>
      <c r="J24" s="41">
        <f t="shared" si="9"/>
        <v>15.000000000000002</v>
      </c>
      <c r="K24" s="41">
        <f t="shared" si="9"/>
        <v>15.000000000000002</v>
      </c>
      <c r="L24" s="41">
        <f t="shared" si="9"/>
        <v>15.000000000000002</v>
      </c>
      <c r="M24" s="41">
        <f t="shared" si="9"/>
        <v>15.000000000000002</v>
      </c>
      <c r="N24" s="41">
        <f t="shared" si="9"/>
        <v>15.000000000000002</v>
      </c>
      <c r="O24" s="41">
        <f t="shared" si="9"/>
        <v>15.000000000000002</v>
      </c>
      <c r="P24" s="41">
        <f t="shared" si="9"/>
        <v>15</v>
      </c>
      <c r="Q24" s="41">
        <f t="shared" si="9"/>
        <v>15.000000000000002</v>
      </c>
      <c r="R24" s="31"/>
      <c r="S24" s="25"/>
    </row>
    <row r="25" spans="1:19" x14ac:dyDescent="0.3">
      <c r="A25" s="36" t="str">
        <f>A23</f>
        <v>SCG Demand (Updated on 26/2/64)</v>
      </c>
      <c r="B25" s="37" t="s">
        <v>19</v>
      </c>
      <c r="C25" s="40"/>
      <c r="D25" s="41">
        <f>D24*24</f>
        <v>0</v>
      </c>
      <c r="E25" s="42">
        <f t="shared" ref="E25:Q25" si="10">E24*24</f>
        <v>162.58064516129033</v>
      </c>
      <c r="F25" s="42">
        <f t="shared" si="10"/>
        <v>192</v>
      </c>
      <c r="G25" s="42">
        <f t="shared" si="10"/>
        <v>360.00000000000006</v>
      </c>
      <c r="H25" s="42">
        <f t="shared" si="10"/>
        <v>240</v>
      </c>
      <c r="I25" s="42">
        <f t="shared" si="10"/>
        <v>325.16129032258067</v>
      </c>
      <c r="J25" s="42">
        <f t="shared" si="10"/>
        <v>360.00000000000006</v>
      </c>
      <c r="K25" s="42">
        <f t="shared" si="10"/>
        <v>360.00000000000006</v>
      </c>
      <c r="L25" s="42">
        <f t="shared" si="10"/>
        <v>360.00000000000006</v>
      </c>
      <c r="M25" s="42">
        <f t="shared" si="10"/>
        <v>360.00000000000006</v>
      </c>
      <c r="N25" s="42">
        <f t="shared" si="10"/>
        <v>360.00000000000006</v>
      </c>
      <c r="O25" s="42">
        <f t="shared" si="10"/>
        <v>360.00000000000006</v>
      </c>
      <c r="P25" s="42">
        <f t="shared" si="10"/>
        <v>360</v>
      </c>
      <c r="Q25" s="42">
        <f t="shared" si="10"/>
        <v>360.00000000000006</v>
      </c>
      <c r="R25" s="31"/>
      <c r="S25" s="25"/>
    </row>
    <row r="26" spans="1:19" x14ac:dyDescent="0.3">
      <c r="A26" s="43" t="s">
        <v>20</v>
      </c>
      <c r="B26" s="37" t="s">
        <v>18</v>
      </c>
      <c r="C26" s="40"/>
      <c r="D26" s="42">
        <f>D28*24*D5</f>
        <v>0</v>
      </c>
      <c r="E26" s="42">
        <f t="shared" ref="E26:Q26" si="11">E28*24*E5</f>
        <v>5040</v>
      </c>
      <c r="F26" s="42">
        <f t="shared" si="11"/>
        <v>5760</v>
      </c>
      <c r="G26" s="42">
        <f t="shared" si="11"/>
        <v>11160.000000000002</v>
      </c>
      <c r="H26" s="42">
        <f t="shared" si="11"/>
        <v>7200</v>
      </c>
      <c r="I26" s="42">
        <f t="shared" si="11"/>
        <v>7084.7999999999993</v>
      </c>
      <c r="J26" s="42">
        <f t="shared" si="11"/>
        <v>11160.000000000002</v>
      </c>
      <c r="K26" s="42">
        <f t="shared" si="11"/>
        <v>10076.072727272727</v>
      </c>
      <c r="L26" s="42">
        <f t="shared" si="11"/>
        <v>8700.9593171565793</v>
      </c>
      <c r="M26" s="42">
        <f t="shared" si="11"/>
        <v>10790.852970410582</v>
      </c>
      <c r="N26" s="42">
        <f t="shared" si="11"/>
        <v>10988.169600122337</v>
      </c>
      <c r="O26" s="42">
        <f t="shared" si="11"/>
        <v>11175.778025842952</v>
      </c>
      <c r="P26" s="42">
        <f t="shared" si="11"/>
        <v>10094.251120116212</v>
      </c>
      <c r="Q26" s="42">
        <f t="shared" si="11"/>
        <v>11086.159844024774</v>
      </c>
      <c r="S26" s="22">
        <f>SUM(C26:N26)</f>
        <v>87960.854614962227</v>
      </c>
    </row>
    <row r="27" spans="1:19" x14ac:dyDescent="0.3">
      <c r="A27" s="43" t="s">
        <v>20</v>
      </c>
      <c r="B27" s="37" t="s">
        <v>1</v>
      </c>
      <c r="C27" s="40"/>
      <c r="D27" s="41">
        <f>D26/10^3</f>
        <v>0</v>
      </c>
      <c r="E27" s="41">
        <f t="shared" ref="E27:Q27" si="12">E26/10^3</f>
        <v>5.04</v>
      </c>
      <c r="F27" s="41">
        <f t="shared" si="12"/>
        <v>5.76</v>
      </c>
      <c r="G27" s="41">
        <f t="shared" si="12"/>
        <v>11.160000000000002</v>
      </c>
      <c r="H27" s="41">
        <f t="shared" si="12"/>
        <v>7.2</v>
      </c>
      <c r="I27" s="41">
        <f t="shared" si="12"/>
        <v>7.0847999999999995</v>
      </c>
      <c r="J27" s="41">
        <f t="shared" si="12"/>
        <v>11.160000000000002</v>
      </c>
      <c r="K27" s="41">
        <f t="shared" si="12"/>
        <v>10.076072727272727</v>
      </c>
      <c r="L27" s="41">
        <f t="shared" si="12"/>
        <v>8.7009593171565793</v>
      </c>
      <c r="M27" s="41">
        <f t="shared" si="12"/>
        <v>10.790852970410581</v>
      </c>
      <c r="N27" s="41">
        <f t="shared" si="12"/>
        <v>10.988169600122337</v>
      </c>
      <c r="O27" s="41">
        <f t="shared" si="12"/>
        <v>11.175778025842952</v>
      </c>
      <c r="P27" s="41">
        <f t="shared" si="12"/>
        <v>10.094251120116212</v>
      </c>
      <c r="Q27" s="41">
        <f t="shared" si="12"/>
        <v>11.086159844024774</v>
      </c>
      <c r="R27" s="31"/>
      <c r="S27" s="25"/>
    </row>
    <row r="28" spans="1:19" x14ac:dyDescent="0.3">
      <c r="A28" s="7" t="s">
        <v>20</v>
      </c>
      <c r="B28" s="34" t="s">
        <v>8</v>
      </c>
      <c r="C28" s="44"/>
      <c r="D28" s="45">
        <f>D24</f>
        <v>0</v>
      </c>
      <c r="E28" s="45">
        <f t="shared" ref="E28:H28" si="13">E24</f>
        <v>6.774193548387097</v>
      </c>
      <c r="F28" s="45">
        <f t="shared" si="13"/>
        <v>8</v>
      </c>
      <c r="G28" s="45">
        <f t="shared" si="13"/>
        <v>15.000000000000002</v>
      </c>
      <c r="H28" s="45">
        <f t="shared" si="13"/>
        <v>10</v>
      </c>
      <c r="I28" s="45">
        <f>I24+I19</f>
        <v>9.5225806451612893</v>
      </c>
      <c r="J28" s="45">
        <f t="shared" ref="J28:Q28" si="14">J24+J19</f>
        <v>15.000000000000002</v>
      </c>
      <c r="K28" s="45">
        <f t="shared" si="14"/>
        <v>13.994545454545456</v>
      </c>
      <c r="L28" s="45">
        <f t="shared" si="14"/>
        <v>11.694837791877122</v>
      </c>
      <c r="M28" s="45">
        <f t="shared" si="14"/>
        <v>14.987295792236921</v>
      </c>
      <c r="N28" s="45">
        <f t="shared" si="14"/>
        <v>14.769045161454754</v>
      </c>
      <c r="O28" s="45">
        <f t="shared" si="14"/>
        <v>15.021207023982463</v>
      </c>
      <c r="P28" s="45">
        <f t="shared" si="14"/>
        <v>15.021207023982461</v>
      </c>
      <c r="Q28" s="45">
        <f t="shared" si="14"/>
        <v>14.900752478527922</v>
      </c>
      <c r="R28" s="31"/>
      <c r="S28" s="25"/>
    </row>
    <row r="29" spans="1:19" x14ac:dyDescent="0.3">
      <c r="A29" s="7"/>
      <c r="B29" s="34"/>
      <c r="C29" s="40"/>
      <c r="D29" s="41"/>
      <c r="E29" s="42"/>
      <c r="F29" s="42"/>
      <c r="G29" s="42"/>
      <c r="H29" s="42"/>
      <c r="I29" s="42"/>
      <c r="J29" s="42"/>
      <c r="K29" s="42"/>
      <c r="L29" s="42"/>
      <c r="M29" s="42"/>
      <c r="N29" s="42"/>
      <c r="O29" s="42"/>
      <c r="P29" s="42"/>
      <c r="Q29" s="42"/>
      <c r="R29" s="31"/>
      <c r="S29" s="25"/>
    </row>
    <row r="30" spans="1:19" x14ac:dyDescent="0.3">
      <c r="A30" s="12" t="s">
        <v>21</v>
      </c>
      <c r="B30" s="12" t="s">
        <v>5</v>
      </c>
      <c r="C30" s="13">
        <f>C12</f>
        <v>0</v>
      </c>
      <c r="D30" s="13">
        <f>D6</f>
        <v>44229</v>
      </c>
      <c r="E30" s="13">
        <f t="shared" ref="E30:Q30" si="15">E6</f>
        <v>44257</v>
      </c>
      <c r="F30" s="13">
        <f t="shared" si="15"/>
        <v>44288</v>
      </c>
      <c r="G30" s="13">
        <f t="shared" si="15"/>
        <v>44318</v>
      </c>
      <c r="H30" s="13">
        <f t="shared" si="15"/>
        <v>44349</v>
      </c>
      <c r="I30" s="14">
        <f t="shared" si="15"/>
        <v>44379</v>
      </c>
      <c r="J30" s="14">
        <f t="shared" si="15"/>
        <v>44410</v>
      </c>
      <c r="K30" s="14">
        <f t="shared" si="15"/>
        <v>44441</v>
      </c>
      <c r="L30" s="14">
        <f t="shared" si="15"/>
        <v>44471</v>
      </c>
      <c r="M30" s="14">
        <f t="shared" si="15"/>
        <v>44502</v>
      </c>
      <c r="N30" s="14">
        <f t="shared" si="15"/>
        <v>44532</v>
      </c>
      <c r="O30" s="14">
        <f t="shared" si="15"/>
        <v>44563</v>
      </c>
      <c r="P30" s="14">
        <f t="shared" si="15"/>
        <v>44594</v>
      </c>
      <c r="Q30" s="14">
        <f t="shared" si="15"/>
        <v>44622</v>
      </c>
      <c r="R30" s="31"/>
      <c r="S30" s="25"/>
    </row>
    <row r="31" spans="1:19" x14ac:dyDescent="0.3">
      <c r="A31" s="43" t="s">
        <v>22</v>
      </c>
      <c r="B31" s="37" t="s">
        <v>18</v>
      </c>
      <c r="D31" s="46">
        <f>D35*24*D5</f>
        <v>43424.83738256478</v>
      </c>
      <c r="E31" s="46">
        <f t="shared" ref="E31:Q31" si="16">E35*24*E5</f>
        <v>44808</v>
      </c>
      <c r="F31" s="46">
        <f t="shared" si="16"/>
        <v>42480</v>
      </c>
      <c r="G31" s="46">
        <f t="shared" si="16"/>
        <v>38688</v>
      </c>
      <c r="H31" s="46">
        <f t="shared" si="16"/>
        <v>41040</v>
      </c>
      <c r="I31" s="46">
        <f t="shared" si="16"/>
        <v>41275.200000000004</v>
      </c>
      <c r="J31" s="46">
        <f t="shared" si="16"/>
        <v>37200</v>
      </c>
      <c r="K31" s="46">
        <f t="shared" si="16"/>
        <v>36723.927272727269</v>
      </c>
      <c r="L31" s="46">
        <f t="shared" si="16"/>
        <v>37991.454475946877</v>
      </c>
      <c r="M31" s="46">
        <f t="shared" si="16"/>
        <v>34395.35392614115</v>
      </c>
      <c r="N31" s="46">
        <f t="shared" si="16"/>
        <v>36538.037296429393</v>
      </c>
      <c r="O31" s="46">
        <f t="shared" si="16"/>
        <v>36350.428870708776</v>
      </c>
      <c r="P31" s="46">
        <f t="shared" si="16"/>
        <v>32832.645431607925</v>
      </c>
      <c r="Q31" s="46">
        <f t="shared" si="16"/>
        <v>36440.047052526963</v>
      </c>
      <c r="R31" s="31"/>
      <c r="S31" s="25"/>
    </row>
    <row r="32" spans="1:19" x14ac:dyDescent="0.3">
      <c r="A32" s="43" t="s">
        <v>23</v>
      </c>
      <c r="B32" s="37" t="s">
        <v>18</v>
      </c>
      <c r="D32" s="46">
        <f>D36*24*D5</f>
        <v>138815.95722171455</v>
      </c>
      <c r="E32" s="46">
        <f t="shared" ref="E32:Q32" si="17">E36*24*E5</f>
        <v>154082.8021064302</v>
      </c>
      <c r="F32" s="46">
        <f t="shared" si="17"/>
        <v>145064.83370288243</v>
      </c>
      <c r="G32" s="46">
        <f t="shared" si="17"/>
        <v>154752</v>
      </c>
      <c r="H32" s="46">
        <f t="shared" si="17"/>
        <v>149760</v>
      </c>
      <c r="I32" s="46">
        <f t="shared" si="17"/>
        <v>101327.99999999999</v>
      </c>
      <c r="J32" s="46">
        <f t="shared" si="17"/>
        <v>156240</v>
      </c>
      <c r="K32" s="46">
        <f t="shared" si="17"/>
        <v>137928</v>
      </c>
      <c r="L32" s="46">
        <f t="shared" si="17"/>
        <v>112825.17368810048</v>
      </c>
      <c r="M32" s="46">
        <f t="shared" si="17"/>
        <v>152646.09756097564</v>
      </c>
      <c r="N32" s="46">
        <f t="shared" si="17"/>
        <v>153923.56910569107</v>
      </c>
      <c r="O32" s="46">
        <f t="shared" si="17"/>
        <v>157363.05691056905</v>
      </c>
      <c r="P32" s="46">
        <f t="shared" si="17"/>
        <v>142134.37398373979</v>
      </c>
      <c r="Q32" s="46">
        <f t="shared" si="17"/>
        <v>155720.05691056911</v>
      </c>
      <c r="R32" s="31"/>
      <c r="S32" s="25"/>
    </row>
    <row r="33" spans="1:19" x14ac:dyDescent="0.3">
      <c r="A33" s="43" t="s">
        <v>22</v>
      </c>
      <c r="B33" s="37" t="s">
        <v>1</v>
      </c>
      <c r="C33" s="40"/>
      <c r="D33" s="47">
        <f>D31/1000</f>
        <v>43.424837382564782</v>
      </c>
      <c r="E33" s="47">
        <f t="shared" ref="E33:Q34" si="18">E31/1000</f>
        <v>44.808</v>
      </c>
      <c r="F33" s="47">
        <f t="shared" si="18"/>
        <v>42.48</v>
      </c>
      <c r="G33" s="47">
        <f t="shared" si="18"/>
        <v>38.688000000000002</v>
      </c>
      <c r="H33" s="47">
        <f t="shared" si="18"/>
        <v>41.04</v>
      </c>
      <c r="I33" s="47">
        <f t="shared" si="18"/>
        <v>41.275200000000005</v>
      </c>
      <c r="J33" s="47">
        <f t="shared" si="18"/>
        <v>37.200000000000003</v>
      </c>
      <c r="K33" s="47">
        <f t="shared" si="18"/>
        <v>36.723927272727266</v>
      </c>
      <c r="L33" s="47">
        <f t="shared" si="18"/>
        <v>37.991454475946874</v>
      </c>
      <c r="M33" s="47">
        <f t="shared" si="18"/>
        <v>34.395353926141148</v>
      </c>
      <c r="N33" s="47">
        <f t="shared" si="18"/>
        <v>36.538037296429394</v>
      </c>
      <c r="O33" s="47">
        <f t="shared" si="18"/>
        <v>36.350428870708775</v>
      </c>
      <c r="P33" s="47">
        <f t="shared" si="18"/>
        <v>32.832645431607922</v>
      </c>
      <c r="Q33" s="47">
        <f t="shared" si="18"/>
        <v>36.440047052526964</v>
      </c>
      <c r="R33" s="31"/>
      <c r="S33" s="8"/>
    </row>
    <row r="34" spans="1:19" x14ac:dyDescent="0.3">
      <c r="A34" s="43" t="s">
        <v>23</v>
      </c>
      <c r="B34" s="37" t="s">
        <v>1</v>
      </c>
      <c r="D34" s="42">
        <f>D32/1000</f>
        <v>138.81595722171454</v>
      </c>
      <c r="E34" s="42">
        <f t="shared" si="18"/>
        <v>154.08280210643019</v>
      </c>
      <c r="F34" s="42">
        <f t="shared" si="18"/>
        <v>145.06483370288242</v>
      </c>
      <c r="G34" s="42">
        <f t="shared" si="18"/>
        <v>154.75200000000001</v>
      </c>
      <c r="H34" s="42">
        <f t="shared" si="18"/>
        <v>149.76</v>
      </c>
      <c r="I34" s="42">
        <f t="shared" si="18"/>
        <v>101.32799999999999</v>
      </c>
      <c r="J34" s="42">
        <f t="shared" si="18"/>
        <v>156.24</v>
      </c>
      <c r="K34" s="42">
        <f t="shared" si="18"/>
        <v>137.928</v>
      </c>
      <c r="L34" s="42">
        <f t="shared" si="18"/>
        <v>112.82517368810048</v>
      </c>
      <c r="M34" s="42">
        <f t="shared" si="18"/>
        <v>152.64609756097565</v>
      </c>
      <c r="N34" s="42">
        <f t="shared" si="18"/>
        <v>153.92356910569109</v>
      </c>
      <c r="O34" s="42">
        <f t="shared" si="18"/>
        <v>157.36305691056904</v>
      </c>
      <c r="P34" s="42">
        <f t="shared" si="18"/>
        <v>142.13437398373978</v>
      </c>
      <c r="Q34" s="42">
        <f t="shared" si="18"/>
        <v>155.7200569105691</v>
      </c>
      <c r="R34" s="31"/>
      <c r="S34" s="8"/>
    </row>
    <row r="35" spans="1:19" x14ac:dyDescent="0.3">
      <c r="A35" s="48" t="s">
        <v>22</v>
      </c>
      <c r="B35" s="49" t="s">
        <v>8</v>
      </c>
      <c r="C35" s="50"/>
      <c r="D35" s="51">
        <f t="shared" ref="D35:Q35" si="19">D10-D28</f>
        <v>64.620293724054733</v>
      </c>
      <c r="E35" s="51">
        <f t="shared" si="19"/>
        <v>60.225806451612904</v>
      </c>
      <c r="F35" s="51">
        <f t="shared" si="19"/>
        <v>59</v>
      </c>
      <c r="G35" s="51">
        <f t="shared" si="19"/>
        <v>52</v>
      </c>
      <c r="H35" s="51">
        <f t="shared" si="19"/>
        <v>57</v>
      </c>
      <c r="I35" s="51">
        <f t="shared" si="19"/>
        <v>55.477419354838709</v>
      </c>
      <c r="J35" s="51">
        <f t="shared" si="19"/>
        <v>50</v>
      </c>
      <c r="K35" s="51">
        <f t="shared" si="19"/>
        <v>51.00545454545454</v>
      </c>
      <c r="L35" s="51">
        <f t="shared" si="19"/>
        <v>51.063782897778061</v>
      </c>
      <c r="M35" s="51">
        <f t="shared" si="19"/>
        <v>47.77132489741826</v>
      </c>
      <c r="N35" s="51">
        <f t="shared" si="19"/>
        <v>49.110265183372839</v>
      </c>
      <c r="O35" s="51">
        <f t="shared" si="19"/>
        <v>48.858103320845132</v>
      </c>
      <c r="P35" s="51">
        <f t="shared" si="19"/>
        <v>48.858103320845132</v>
      </c>
      <c r="Q35" s="51">
        <f t="shared" si="19"/>
        <v>48.978557866299674</v>
      </c>
      <c r="R35" s="31"/>
      <c r="S35" s="8"/>
    </row>
    <row r="36" spans="1:19" x14ac:dyDescent="0.3">
      <c r="A36" s="48" t="s">
        <v>23</v>
      </c>
      <c r="B36" s="49" t="s">
        <v>8</v>
      </c>
      <c r="C36" s="50"/>
      <c r="D36" s="51">
        <f>D8-D10</f>
        <v>206.57136491326568</v>
      </c>
      <c r="E36" s="51">
        <f t="shared" ref="E36:Q36" si="20">E8-E10</f>
        <v>207.10054046563198</v>
      </c>
      <c r="F36" s="51">
        <f t="shared" si="20"/>
        <v>201.47893569844786</v>
      </c>
      <c r="G36" s="51">
        <f t="shared" si="20"/>
        <v>208</v>
      </c>
      <c r="H36" s="51">
        <f t="shared" si="20"/>
        <v>208</v>
      </c>
      <c r="I36" s="51">
        <f t="shared" si="20"/>
        <v>136.19354838709674</v>
      </c>
      <c r="J36" s="51">
        <f t="shared" si="20"/>
        <v>210</v>
      </c>
      <c r="K36" s="51">
        <f t="shared" si="20"/>
        <v>191.56666666666666</v>
      </c>
      <c r="L36" s="51">
        <f t="shared" si="20"/>
        <v>151.64673882809203</v>
      </c>
      <c r="M36" s="51">
        <f t="shared" si="20"/>
        <v>212.00846883468836</v>
      </c>
      <c r="N36" s="51">
        <f t="shared" si="20"/>
        <v>206.88651761517619</v>
      </c>
      <c r="O36" s="51">
        <f t="shared" si="20"/>
        <v>211.50948509485087</v>
      </c>
      <c r="P36" s="51">
        <f t="shared" si="20"/>
        <v>211.50948509485087</v>
      </c>
      <c r="Q36" s="51">
        <f t="shared" si="20"/>
        <v>209.30115176151762</v>
      </c>
      <c r="R36" s="31"/>
      <c r="S36" s="8"/>
    </row>
    <row r="37" spans="1:19" x14ac:dyDescent="0.3">
      <c r="A37" s="36" t="s">
        <v>24</v>
      </c>
      <c r="B37" s="37" t="s">
        <v>8</v>
      </c>
      <c r="C37" s="40"/>
      <c r="D37" s="42">
        <f>D35+D36</f>
        <v>271.19165863732042</v>
      </c>
      <c r="E37" s="42">
        <f t="shared" ref="E37:P37" si="21">E35+E36</f>
        <v>267.3263469172449</v>
      </c>
      <c r="F37" s="42">
        <f t="shared" si="21"/>
        <v>260.47893569844786</v>
      </c>
      <c r="G37" s="42">
        <f t="shared" si="21"/>
        <v>260</v>
      </c>
      <c r="H37" s="42">
        <f t="shared" si="21"/>
        <v>265</v>
      </c>
      <c r="I37" s="42">
        <f t="shared" si="21"/>
        <v>191.67096774193544</v>
      </c>
      <c r="J37" s="42">
        <f t="shared" si="21"/>
        <v>260</v>
      </c>
      <c r="K37" s="42">
        <f t="shared" si="21"/>
        <v>242.5721212121212</v>
      </c>
      <c r="L37" s="42">
        <f t="shared" si="21"/>
        <v>202.71052172587008</v>
      </c>
      <c r="M37" s="42">
        <f t="shared" si="21"/>
        <v>259.77979373210661</v>
      </c>
      <c r="N37" s="42">
        <f t="shared" si="21"/>
        <v>255.99678279854902</v>
      </c>
      <c r="O37" s="42">
        <f t="shared" si="21"/>
        <v>260.36758841569599</v>
      </c>
      <c r="P37" s="42">
        <f t="shared" si="21"/>
        <v>260.36758841569599</v>
      </c>
      <c r="Q37" s="42">
        <f>Q35+Q36</f>
        <v>258.27970962781728</v>
      </c>
      <c r="R37" s="31"/>
      <c r="S37" s="8"/>
    </row>
    <row r="38" spans="1:19" x14ac:dyDescent="0.3">
      <c r="A38" s="36"/>
      <c r="B38" s="37"/>
      <c r="C38" s="40"/>
      <c r="D38" s="42"/>
      <c r="E38" s="42"/>
      <c r="F38" s="42"/>
      <c r="G38" s="42"/>
      <c r="H38" s="42"/>
      <c r="I38" s="42"/>
      <c r="J38" s="42"/>
      <c r="K38" s="42"/>
      <c r="L38" s="42"/>
      <c r="M38" s="42"/>
      <c r="N38" s="42"/>
      <c r="O38" s="42"/>
      <c r="P38" s="42"/>
      <c r="Q38" s="42"/>
      <c r="R38" s="31"/>
      <c r="S38" s="8"/>
    </row>
    <row r="39" spans="1:19" x14ac:dyDescent="0.3">
      <c r="A39" s="52" t="s">
        <v>25</v>
      </c>
      <c r="B39" s="53" t="s">
        <v>1</v>
      </c>
      <c r="C39" s="40"/>
      <c r="D39" s="41">
        <f>D7-D33-D34-D27</f>
        <v>0</v>
      </c>
      <c r="E39" s="41">
        <f t="shared" ref="E39:Q39" si="22">E7-E33-E34-E27</f>
        <v>-7.9936057773011271E-15</v>
      </c>
      <c r="F39" s="41">
        <f t="shared" si="22"/>
        <v>4.7961634663806763E-14</v>
      </c>
      <c r="G39" s="41">
        <f t="shared" si="22"/>
        <v>2.3092638912203256E-14</v>
      </c>
      <c r="H39" s="41">
        <f t="shared" si="22"/>
        <v>1.6875389974302379E-14</v>
      </c>
      <c r="I39" s="41">
        <f t="shared" si="22"/>
        <v>-1.2434497875801753E-14</v>
      </c>
      <c r="J39" s="41">
        <f t="shared" si="22"/>
        <v>2.3092638912203256E-14</v>
      </c>
      <c r="K39" s="41">
        <f t="shared" si="22"/>
        <v>0</v>
      </c>
      <c r="L39" s="41">
        <f t="shared" si="22"/>
        <v>-1.9539925233402755E-14</v>
      </c>
      <c r="M39" s="41">
        <f t="shared" si="22"/>
        <v>-2.6645352591003757E-14</v>
      </c>
      <c r="N39" s="41">
        <f t="shared" si="22"/>
        <v>-1.7763568394002505E-14</v>
      </c>
      <c r="O39" s="41">
        <f t="shared" si="22"/>
        <v>3.5527136788005009E-14</v>
      </c>
      <c r="P39" s="41">
        <f t="shared" si="22"/>
        <v>5.6843418860808015E-14</v>
      </c>
      <c r="Q39" s="41">
        <f t="shared" si="22"/>
        <v>-3.907985046680551E-14</v>
      </c>
      <c r="R39" s="31"/>
      <c r="S39" s="8"/>
    </row>
    <row r="40" spans="1:19" x14ac:dyDescent="0.3">
      <c r="A40" s="52" t="s">
        <v>26</v>
      </c>
      <c r="B40" s="53" t="s">
        <v>1</v>
      </c>
      <c r="C40" s="40"/>
      <c r="D40" s="41"/>
      <c r="E40" s="42">
        <f>E9-E27-E33</f>
        <v>0</v>
      </c>
      <c r="F40" s="42">
        <f t="shared" ref="F40:Q40" si="23">F9-F27-F33</f>
        <v>0</v>
      </c>
      <c r="G40" s="42">
        <f t="shared" si="23"/>
        <v>0</v>
      </c>
      <c r="H40" s="42">
        <f t="shared" si="23"/>
        <v>0</v>
      </c>
      <c r="I40" s="42">
        <f t="shared" si="23"/>
        <v>0</v>
      </c>
      <c r="J40" s="42">
        <f t="shared" si="23"/>
        <v>0</v>
      </c>
      <c r="K40" s="42">
        <f t="shared" si="23"/>
        <v>0</v>
      </c>
      <c r="L40" s="42">
        <f t="shared" si="23"/>
        <v>0</v>
      </c>
      <c r="M40" s="42">
        <f t="shared" si="23"/>
        <v>0</v>
      </c>
      <c r="N40" s="42">
        <f t="shared" si="23"/>
        <v>0</v>
      </c>
      <c r="O40" s="42">
        <f t="shared" si="23"/>
        <v>0</v>
      </c>
      <c r="P40" s="42">
        <f t="shared" si="23"/>
        <v>0</v>
      </c>
      <c r="Q40" s="42">
        <f t="shared" si="23"/>
        <v>0</v>
      </c>
      <c r="R40" s="31"/>
      <c r="S40" s="8"/>
    </row>
    <row r="41" spans="1:19" x14ac:dyDescent="0.3">
      <c r="A41" s="36"/>
      <c r="B41" s="37"/>
      <c r="C41" s="40"/>
      <c r="D41" s="41"/>
      <c r="E41" s="42"/>
      <c r="F41" s="42"/>
      <c r="G41" s="42"/>
      <c r="H41" s="42"/>
      <c r="I41" s="42"/>
      <c r="J41" s="42"/>
      <c r="K41" s="42"/>
      <c r="L41" s="42"/>
      <c r="M41" s="42"/>
      <c r="N41" s="42"/>
      <c r="O41" s="42"/>
      <c r="P41" s="42"/>
      <c r="Q41" s="42"/>
      <c r="R41" s="31"/>
      <c r="S41" s="8"/>
    </row>
    <row r="42" spans="1:19" x14ac:dyDescent="0.3">
      <c r="A42" s="36"/>
      <c r="B42" s="37"/>
      <c r="C42" s="40"/>
      <c r="D42" s="41"/>
      <c r="E42" s="42"/>
      <c r="F42" s="42"/>
      <c r="G42" s="42"/>
      <c r="H42" s="42"/>
      <c r="I42" s="42"/>
      <c r="J42" s="42"/>
      <c r="K42" s="42"/>
      <c r="L42" s="42"/>
      <c r="M42" s="42"/>
      <c r="N42" s="42"/>
      <c r="O42" s="42"/>
      <c r="P42" s="42"/>
      <c r="Q42" s="42"/>
      <c r="R42" s="31"/>
      <c r="S42" s="8"/>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H203"/>
  <sheetViews>
    <sheetView zoomScale="85" zoomScaleNormal="85" workbookViewId="0">
      <pane xSplit="4" ySplit="11" topLeftCell="AA48" activePane="bottomRight" state="frozen"/>
      <selection activeCell="S22" sqref="S22"/>
      <selection pane="topRight" activeCell="S22" sqref="S22"/>
      <selection pane="bottomLeft" activeCell="S22" sqref="S22"/>
      <selection pane="bottomRight" activeCell="S22" sqref="S22"/>
    </sheetView>
  </sheetViews>
  <sheetFormatPr defaultRowHeight="14" x14ac:dyDescent="0.3"/>
  <cols>
    <col min="1" max="1" width="22.08203125" style="342" customWidth="1"/>
    <col min="2" max="2" width="18.08203125" style="2" bestFit="1" customWidth="1"/>
    <col min="3" max="3" width="26.4140625" bestFit="1" customWidth="1"/>
    <col min="4" max="4" width="20.08203125" bestFit="1" customWidth="1"/>
    <col min="5" max="17" width="10.08203125" bestFit="1" customWidth="1"/>
    <col min="18" max="18" width="9.9140625" customWidth="1"/>
    <col min="19" max="24" width="10.08203125" bestFit="1" customWidth="1"/>
    <col min="25" max="27" width="10" bestFit="1" customWidth="1"/>
    <col min="28" max="39" width="10.08203125" bestFit="1" customWidth="1"/>
  </cols>
  <sheetData>
    <row r="1" spans="1:60" s="56" customFormat="1" ht="15.5" customHeight="1" x14ac:dyDescent="0.3">
      <c r="A1" s="54"/>
      <c r="B1" s="55"/>
      <c r="D1" s="57" t="s">
        <v>27</v>
      </c>
      <c r="R1" s="56">
        <v>30</v>
      </c>
      <c r="S1" s="56">
        <v>31</v>
      </c>
      <c r="T1" s="56">
        <v>31</v>
      </c>
      <c r="U1" s="56">
        <v>30</v>
      </c>
      <c r="V1" s="56">
        <v>31</v>
      </c>
      <c r="W1" s="56">
        <v>30</v>
      </c>
      <c r="X1" s="56">
        <v>31</v>
      </c>
      <c r="Y1" s="56">
        <v>31</v>
      </c>
      <c r="Z1" s="58">
        <v>28</v>
      </c>
      <c r="AA1" s="58">
        <v>31</v>
      </c>
      <c r="AB1" s="58">
        <v>30</v>
      </c>
      <c r="AC1" s="58">
        <v>31</v>
      </c>
      <c r="AD1" s="58">
        <v>30</v>
      </c>
      <c r="AE1" s="58">
        <v>31</v>
      </c>
      <c r="AF1" s="58">
        <v>31</v>
      </c>
      <c r="AG1" s="58">
        <v>30</v>
      </c>
      <c r="AH1" s="58">
        <v>31</v>
      </c>
      <c r="AI1" s="58">
        <v>30</v>
      </c>
      <c r="AJ1" s="58">
        <v>31</v>
      </c>
      <c r="AK1" s="58">
        <v>31</v>
      </c>
      <c r="AL1" s="58">
        <v>28</v>
      </c>
      <c r="AM1" s="58">
        <v>31</v>
      </c>
    </row>
    <row r="2" spans="1:60" ht="14.75" customHeight="1" thickBot="1" x14ac:dyDescent="0.45">
      <c r="A2" s="59" t="s">
        <v>28</v>
      </c>
      <c r="B2" s="55"/>
      <c r="C2" s="56"/>
      <c r="D2" s="60"/>
      <c r="E2" s="56"/>
      <c r="F2" s="56"/>
      <c r="G2" s="61">
        <v>43678</v>
      </c>
      <c r="H2" s="61">
        <v>43698</v>
      </c>
      <c r="I2" s="56"/>
      <c r="J2" s="56"/>
      <c r="K2" s="56"/>
      <c r="L2" s="62">
        <f>L6/1000</f>
        <v>31.888097230590823</v>
      </c>
      <c r="M2" s="62">
        <f>M6/1000</f>
        <v>16.827883907470703</v>
      </c>
      <c r="N2" s="62">
        <f t="shared" ref="N2:AM2" si="0">N6/1000</f>
        <v>36.020527630224606</v>
      </c>
      <c r="O2" s="62">
        <f t="shared" si="0"/>
        <v>33.684161457519529</v>
      </c>
      <c r="P2" s="62">
        <f t="shared" si="0"/>
        <v>18.635842199999999</v>
      </c>
      <c r="Q2" s="62">
        <f t="shared" si="0"/>
        <v>29.542833899999998</v>
      </c>
      <c r="R2" s="62">
        <f t="shared" si="0"/>
        <v>14.458839999999999</v>
      </c>
      <c r="S2" s="62">
        <f t="shared" si="0"/>
        <v>18.007720000000003</v>
      </c>
      <c r="T2" s="62">
        <f t="shared" si="0"/>
        <v>15.124660000000002</v>
      </c>
      <c r="U2" s="62">
        <f t="shared" si="0"/>
        <v>26.696860000000001</v>
      </c>
      <c r="V2" s="62">
        <f t="shared" si="0"/>
        <v>14.437240000000001</v>
      </c>
      <c r="W2" s="62">
        <f t="shared" si="0"/>
        <v>22.420850699999999</v>
      </c>
      <c r="X2" s="62">
        <f t="shared" si="0"/>
        <v>18.055042360000002</v>
      </c>
      <c r="Y2" s="62">
        <f t="shared" si="0"/>
        <v>24.4024</v>
      </c>
      <c r="Z2" s="62">
        <f t="shared" si="0"/>
        <v>28.877920000000003</v>
      </c>
      <c r="AA2" s="62">
        <f t="shared" si="0"/>
        <v>23.87851128324192</v>
      </c>
      <c r="AB2" s="62">
        <f t="shared" si="0"/>
        <v>22.713687573081408</v>
      </c>
      <c r="AC2" s="62">
        <f t="shared" si="0"/>
        <v>24.682526582861414</v>
      </c>
      <c r="AD2" s="62">
        <f t="shared" si="0"/>
        <v>17.019862656221399</v>
      </c>
      <c r="AE2" s="62">
        <f t="shared" si="0"/>
        <v>18.970364386884391</v>
      </c>
      <c r="AF2" s="62">
        <f t="shared" si="0"/>
        <v>19.098719346884387</v>
      </c>
      <c r="AG2" s="62">
        <f t="shared" si="0"/>
        <v>15.0022648068843</v>
      </c>
      <c r="AH2" s="62">
        <f t="shared" si="0"/>
        <v>4.0648814781381795</v>
      </c>
      <c r="AI2" s="62">
        <f t="shared" si="0"/>
        <v>0.29465843666476665</v>
      </c>
      <c r="AJ2" s="62">
        <f t="shared" si="0"/>
        <v>-2.1264392181628669</v>
      </c>
      <c r="AK2" s="62">
        <f t="shared" si="0"/>
        <v>-3.1768643629904805</v>
      </c>
      <c r="AL2" s="62">
        <f t="shared" si="0"/>
        <v>-2.5560846505766452</v>
      </c>
      <c r="AM2" s="62">
        <f t="shared" si="0"/>
        <v>20.940729544595769</v>
      </c>
      <c r="AN2" s="56"/>
      <c r="AO2" s="56"/>
      <c r="AP2" s="56"/>
      <c r="AQ2" s="56"/>
      <c r="AR2" s="56"/>
    </row>
    <row r="3" spans="1:60" s="70" customFormat="1" ht="14.5" thickBot="1" x14ac:dyDescent="0.35">
      <c r="A3" s="419" t="s">
        <v>29</v>
      </c>
      <c r="B3" s="420"/>
      <c r="C3" s="63"/>
      <c r="D3" s="64"/>
      <c r="E3" s="65">
        <v>43587</v>
      </c>
      <c r="F3" s="65">
        <v>43618</v>
      </c>
      <c r="G3" s="65">
        <v>43648</v>
      </c>
      <c r="H3" s="65">
        <v>43679</v>
      </c>
      <c r="I3" s="66">
        <v>43710</v>
      </c>
      <c r="J3" s="66">
        <v>43740</v>
      </c>
      <c r="K3" s="65">
        <v>43771</v>
      </c>
      <c r="L3" s="67">
        <v>43801</v>
      </c>
      <c r="M3" s="66">
        <v>43832</v>
      </c>
      <c r="N3" s="66">
        <v>43863</v>
      </c>
      <c r="O3" s="65">
        <v>43892</v>
      </c>
      <c r="P3" s="65">
        <v>43923</v>
      </c>
      <c r="Q3" s="65">
        <v>43953</v>
      </c>
      <c r="R3" s="66">
        <v>43984</v>
      </c>
      <c r="S3" s="66">
        <v>44014</v>
      </c>
      <c r="T3" s="66">
        <v>44045</v>
      </c>
      <c r="U3" s="66">
        <v>44076</v>
      </c>
      <c r="V3" s="66">
        <v>44106</v>
      </c>
      <c r="W3" s="66">
        <v>44137</v>
      </c>
      <c r="X3" s="66">
        <v>44167</v>
      </c>
      <c r="Y3" s="66">
        <v>44198</v>
      </c>
      <c r="Z3" s="66">
        <v>44229</v>
      </c>
      <c r="AA3" s="66">
        <v>44257</v>
      </c>
      <c r="AB3" s="66">
        <v>44288</v>
      </c>
      <c r="AC3" s="66">
        <v>44318</v>
      </c>
      <c r="AD3" s="66">
        <v>44349</v>
      </c>
      <c r="AE3" s="66">
        <v>44379</v>
      </c>
      <c r="AF3" s="66">
        <v>44410</v>
      </c>
      <c r="AG3" s="66">
        <v>44441</v>
      </c>
      <c r="AH3" s="66">
        <v>44471</v>
      </c>
      <c r="AI3" s="66">
        <v>44502</v>
      </c>
      <c r="AJ3" s="66">
        <v>44532</v>
      </c>
      <c r="AK3" s="66">
        <v>44563</v>
      </c>
      <c r="AL3" s="66">
        <v>44594</v>
      </c>
      <c r="AM3" s="66">
        <v>44622</v>
      </c>
      <c r="AN3" s="68"/>
      <c r="AO3" s="69"/>
      <c r="AP3" s="69"/>
      <c r="AQ3" s="69"/>
      <c r="AR3" s="69"/>
    </row>
    <row r="4" spans="1:60" x14ac:dyDescent="0.3">
      <c r="A4" s="71" t="s">
        <v>30</v>
      </c>
      <c r="B4" s="72"/>
      <c r="C4" s="73"/>
      <c r="D4" s="74"/>
      <c r="E4" s="75"/>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7"/>
      <c r="AO4" s="56"/>
      <c r="AP4" s="56"/>
      <c r="AQ4" s="56"/>
      <c r="AR4" s="56"/>
      <c r="AV4" s="78">
        <v>0.25403924107025933</v>
      </c>
      <c r="AW4" s="79">
        <v>0.33483128996932265</v>
      </c>
      <c r="AX4" s="79">
        <v>0.44030814595945017</v>
      </c>
      <c r="AY4" s="79">
        <v>0.52359343951186588</v>
      </c>
      <c r="AZ4" s="79">
        <v>0.46103669107740353</v>
      </c>
      <c r="BA4" s="79">
        <v>0.39779918773241624</v>
      </c>
      <c r="BB4" s="79">
        <v>0.66942577304125628</v>
      </c>
      <c r="BC4" s="79"/>
      <c r="BD4" s="79"/>
      <c r="BE4" s="79"/>
      <c r="BF4" s="79"/>
      <c r="BG4" s="79"/>
      <c r="BH4" s="79"/>
    </row>
    <row r="5" spans="1:60" x14ac:dyDescent="0.3">
      <c r="A5" s="80" t="s">
        <v>31</v>
      </c>
      <c r="B5" s="81"/>
      <c r="C5" s="77"/>
      <c r="D5" s="82" t="s">
        <v>18</v>
      </c>
      <c r="E5" s="83">
        <v>49624.800000000003</v>
      </c>
      <c r="F5" s="83">
        <v>49624.800000000003</v>
      </c>
      <c r="G5" s="83">
        <v>49624.800000000003</v>
      </c>
      <c r="H5" s="84">
        <v>46018</v>
      </c>
      <c r="I5" s="83">
        <v>49624.800000000003</v>
      </c>
      <c r="J5" s="84">
        <v>45790.8</v>
      </c>
      <c r="K5" s="83">
        <v>45791</v>
      </c>
      <c r="L5" s="83">
        <v>49624.800000000003</v>
      </c>
      <c r="M5" s="83">
        <v>49624.800000000003</v>
      </c>
      <c r="N5" s="83">
        <v>49624.800000000003</v>
      </c>
      <c r="O5" s="83">
        <v>49624.800000000003</v>
      </c>
      <c r="P5" s="83">
        <v>49624.800000000003</v>
      </c>
      <c r="Q5" s="84">
        <v>45790.8</v>
      </c>
      <c r="R5" s="84">
        <v>45790.8</v>
      </c>
      <c r="S5" s="84">
        <v>45790.8</v>
      </c>
      <c r="T5" s="84">
        <v>45790.8</v>
      </c>
      <c r="U5" s="84">
        <v>45790.8</v>
      </c>
      <c r="V5" s="85">
        <v>46018</v>
      </c>
      <c r="W5" s="84">
        <v>46018</v>
      </c>
      <c r="X5" s="86">
        <v>49624.800000000003</v>
      </c>
      <c r="Y5" s="86">
        <v>49624.80000000001</v>
      </c>
      <c r="Z5" s="85">
        <v>45790.80000000001</v>
      </c>
      <c r="AA5" s="85">
        <v>43641.600000000006</v>
      </c>
      <c r="AB5" s="85">
        <v>43641.600000000006</v>
      </c>
      <c r="AC5" s="85">
        <v>43641.600000000006</v>
      </c>
      <c r="AD5" s="85">
        <v>43641.600000000006</v>
      </c>
      <c r="AE5" s="86">
        <v>47475.600000000006</v>
      </c>
      <c r="AF5" s="86">
        <v>47475.600000000006</v>
      </c>
      <c r="AG5" s="86">
        <v>47475.600000000006</v>
      </c>
      <c r="AH5" s="85">
        <v>43641.600000000006</v>
      </c>
      <c r="AI5" s="85">
        <v>43641.600000000006</v>
      </c>
      <c r="AJ5" s="86">
        <v>47475.600000000006</v>
      </c>
      <c r="AK5" s="86">
        <v>47475.600000000006</v>
      </c>
      <c r="AL5" s="86">
        <v>47475.600000000006</v>
      </c>
      <c r="AM5" s="86">
        <v>47475.600000000006</v>
      </c>
      <c r="AN5" s="77"/>
      <c r="AO5" s="56"/>
      <c r="AP5" s="56"/>
      <c r="AQ5" s="56"/>
      <c r="AR5" s="56"/>
      <c r="AV5" s="78">
        <v>0.39594825138632178</v>
      </c>
      <c r="AW5" s="79">
        <v>0.44985506108216866</v>
      </c>
      <c r="AX5" s="79">
        <v>0.54112680515879441</v>
      </c>
      <c r="AY5" s="79">
        <v>0.54734175247857253</v>
      </c>
      <c r="AZ5" s="79">
        <v>0.79395000579712582</v>
      </c>
      <c r="BA5" s="79">
        <v>0.5347436121558915</v>
      </c>
      <c r="BB5" s="79">
        <v>0.5117306731540433</v>
      </c>
      <c r="BC5" s="79"/>
      <c r="BD5" s="79"/>
      <c r="BE5" s="79"/>
      <c r="BF5" s="79"/>
      <c r="BG5" s="79"/>
      <c r="BH5" s="79"/>
    </row>
    <row r="6" spans="1:60" x14ac:dyDescent="0.3">
      <c r="A6" s="87" t="s">
        <v>32</v>
      </c>
      <c r="B6" s="81"/>
      <c r="C6" s="77"/>
      <c r="D6" s="82" t="s">
        <v>18</v>
      </c>
      <c r="E6" s="88">
        <v>11096.775659790039</v>
      </c>
      <c r="F6" s="88">
        <v>22008.60853326934</v>
      </c>
      <c r="G6" s="88">
        <v>16060</v>
      </c>
      <c r="H6" s="88">
        <v>18030.939999999999</v>
      </c>
      <c r="I6" s="88">
        <v>10997.417582917811</v>
      </c>
      <c r="J6" s="88">
        <v>27311.326601295474</v>
      </c>
      <c r="K6" s="88">
        <v>26097.899326025392</v>
      </c>
      <c r="L6" s="88">
        <v>31888.097230590822</v>
      </c>
      <c r="M6" s="88">
        <v>16827.883907470703</v>
      </c>
      <c r="N6" s="88">
        <v>36020.527630224606</v>
      </c>
      <c r="O6" s="88">
        <v>33684.161457519527</v>
      </c>
      <c r="P6" s="88">
        <v>18635.842199999999</v>
      </c>
      <c r="Q6" s="88">
        <v>29542.833899999998</v>
      </c>
      <c r="R6" s="88">
        <v>14458.839999999998</v>
      </c>
      <c r="S6" s="88">
        <v>18007.72</v>
      </c>
      <c r="T6" s="88">
        <v>15124.660000000002</v>
      </c>
      <c r="U6" s="88">
        <v>26696.86</v>
      </c>
      <c r="V6" s="88">
        <v>14437.240000000002</v>
      </c>
      <c r="W6" s="88">
        <v>22420.850699999999</v>
      </c>
      <c r="X6" s="88">
        <v>18055.042360000003</v>
      </c>
      <c r="Y6" s="88">
        <v>24402.400000000001</v>
      </c>
      <c r="Z6" s="88">
        <v>28877.920000000002</v>
      </c>
      <c r="AA6" s="88">
        <f t="shared" ref="AA6:AM6" si="1">((AA59+(Z6/1000)+AA8+AA61+AA10)-AA95-AA99-AA100-AA101-AA102-AA103-AA104-AA105-AA106-AA107-AA108-AA109-AA110-AA111-AA112-AA113-AA114-AA115-AA116-AA117-AA118-AA119-AA120-AA121-AA122-AA123-AA124-AA125-AA126-AA127-AA128-AA129-AA130-AA131-AA135-AA136-AA137-AA138-AA139-AA140-AA141-AA142-AA143-AA144-AA145-AA146-AA147-AA148-AA149-AA150-AA151-AA9)*1000</f>
        <v>23878.511283241922</v>
      </c>
      <c r="AB6" s="88">
        <f t="shared" si="1"/>
        <v>22713.68757308141</v>
      </c>
      <c r="AC6" s="88">
        <f t="shared" si="1"/>
        <v>24682.526582861414</v>
      </c>
      <c r="AD6" s="88">
        <f t="shared" si="1"/>
        <v>17019.862656221398</v>
      </c>
      <c r="AE6" s="88">
        <f t="shared" si="1"/>
        <v>18970.36438688439</v>
      </c>
      <c r="AF6" s="88">
        <f t="shared" si="1"/>
        <v>19098.719346884387</v>
      </c>
      <c r="AG6" s="88">
        <f t="shared" si="1"/>
        <v>15002.264806884301</v>
      </c>
      <c r="AH6" s="88">
        <f t="shared" si="1"/>
        <v>4064.8814781381793</v>
      </c>
      <c r="AI6" s="88">
        <f t="shared" si="1"/>
        <v>294.65843666476667</v>
      </c>
      <c r="AJ6" s="88">
        <f t="shared" si="1"/>
        <v>-2126.4392181628668</v>
      </c>
      <c r="AK6" s="88">
        <f t="shared" si="1"/>
        <v>-3176.8643629904805</v>
      </c>
      <c r="AL6" s="88">
        <f t="shared" si="1"/>
        <v>-2556.0846505766453</v>
      </c>
      <c r="AM6" s="88">
        <f t="shared" si="1"/>
        <v>20940.729544595768</v>
      </c>
      <c r="AN6" s="77"/>
      <c r="AO6" s="56"/>
      <c r="AP6" s="56"/>
      <c r="AQ6" s="56"/>
      <c r="AR6" s="56"/>
      <c r="AV6" s="78">
        <v>0.2101324533610899</v>
      </c>
      <c r="AW6" s="79">
        <v>0.2992428217775443</v>
      </c>
      <c r="AX6" s="79">
        <v>0.40911475339945874</v>
      </c>
      <c r="AY6" s="79">
        <v>0.51624568806495075</v>
      </c>
      <c r="AZ6" s="79">
        <v>0.39914928946670375</v>
      </c>
      <c r="BA6" s="79">
        <v>0.3596143769310105</v>
      </c>
      <c r="BB6" s="79">
        <v>0.71339658513420401</v>
      </c>
      <c r="BC6" s="79"/>
      <c r="BD6" s="79"/>
      <c r="BE6" s="79"/>
      <c r="BF6" s="79"/>
      <c r="BG6" s="79"/>
      <c r="BH6" s="79"/>
    </row>
    <row r="7" spans="1:60" x14ac:dyDescent="0.3">
      <c r="A7" s="89" t="s">
        <v>33</v>
      </c>
      <c r="B7" s="81"/>
      <c r="C7" s="77"/>
      <c r="D7" s="82" t="s">
        <v>34</v>
      </c>
      <c r="E7" s="90">
        <f>E6/E5</f>
        <v>0.22361350896708981</v>
      </c>
      <c r="F7" s="90">
        <f t="shared" ref="F7:AM7" si="2">F6/F5</f>
        <v>0.44350019613720032</v>
      </c>
      <c r="G7" s="90">
        <f t="shared" si="2"/>
        <v>0.32362850832648188</v>
      </c>
      <c r="H7" s="91">
        <f t="shared" si="2"/>
        <v>0.39182363423008387</v>
      </c>
      <c r="I7" s="91">
        <f t="shared" si="2"/>
        <v>0.2216113230263459</v>
      </c>
      <c r="J7" s="91">
        <f t="shared" si="2"/>
        <v>0.59643698300303716</v>
      </c>
      <c r="K7" s="91">
        <f t="shared" si="2"/>
        <v>0.56993512537453628</v>
      </c>
      <c r="L7" s="91">
        <f t="shared" si="2"/>
        <v>0.64258389415354455</v>
      </c>
      <c r="M7" s="91">
        <f t="shared" si="2"/>
        <v>0.33910230182228851</v>
      </c>
      <c r="N7" s="91">
        <f t="shared" si="2"/>
        <v>0.72585738643227993</v>
      </c>
      <c r="O7" s="91">
        <f t="shared" si="2"/>
        <v>0.67877677003271597</v>
      </c>
      <c r="P7" s="91">
        <f t="shared" si="2"/>
        <v>0.37553485757121435</v>
      </c>
      <c r="Q7" s="91">
        <f t="shared" si="2"/>
        <v>0.64516963887942547</v>
      </c>
      <c r="R7" s="92">
        <f t="shared" si="2"/>
        <v>0.31575862400307481</v>
      </c>
      <c r="S7" s="92">
        <f t="shared" si="2"/>
        <v>0.39326065497872936</v>
      </c>
      <c r="T7" s="92">
        <f t="shared" si="2"/>
        <v>0.3302990993824087</v>
      </c>
      <c r="U7" s="92">
        <f t="shared" si="2"/>
        <v>0.58301798614568867</v>
      </c>
      <c r="V7" s="92">
        <f t="shared" si="2"/>
        <v>0.31373027945586512</v>
      </c>
      <c r="W7" s="92">
        <f t="shared" si="2"/>
        <v>0.48721914685557821</v>
      </c>
      <c r="X7" s="92">
        <f t="shared" si="2"/>
        <v>0.36383103528880723</v>
      </c>
      <c r="Y7" s="92">
        <f t="shared" si="2"/>
        <v>0.49173800196675849</v>
      </c>
      <c r="Z7" s="92">
        <f t="shared" si="2"/>
        <v>0.6306489513177318</v>
      </c>
      <c r="AA7" s="92">
        <f t="shared" si="2"/>
        <v>0.54715022554722825</v>
      </c>
      <c r="AB7" s="92">
        <f t="shared" si="2"/>
        <v>0.52045955173690717</v>
      </c>
      <c r="AC7" s="92">
        <f t="shared" si="2"/>
        <v>0.56557336538672753</v>
      </c>
      <c r="AD7" s="92">
        <f t="shared" si="2"/>
        <v>0.3899917201986498</v>
      </c>
      <c r="AE7" s="92">
        <f t="shared" si="2"/>
        <v>0.39958135098628322</v>
      </c>
      <c r="AF7" s="92">
        <f t="shared" si="2"/>
        <v>0.40228494946634452</v>
      </c>
      <c r="AG7" s="92">
        <f t="shared" si="2"/>
        <v>0.31599947777140885</v>
      </c>
      <c r="AH7" s="92">
        <f t="shared" si="2"/>
        <v>9.3142356791184988E-2</v>
      </c>
      <c r="AI7" s="92">
        <f t="shared" si="2"/>
        <v>6.7517789600923571E-3</v>
      </c>
      <c r="AJ7" s="92">
        <f t="shared" si="2"/>
        <v>-4.479014942755577E-2</v>
      </c>
      <c r="AK7" s="92">
        <f t="shared" si="2"/>
        <v>-6.6915728563524846E-2</v>
      </c>
      <c r="AL7" s="92">
        <f t="shared" si="2"/>
        <v>-5.3839965173197286E-2</v>
      </c>
      <c r="AM7" s="92">
        <f t="shared" si="2"/>
        <v>0.44108404200464585</v>
      </c>
      <c r="AN7" s="77"/>
      <c r="AO7" s="93" t="s">
        <v>35</v>
      </c>
      <c r="AP7" s="56"/>
      <c r="AQ7" s="56"/>
      <c r="AR7" s="56"/>
    </row>
    <row r="8" spans="1:60" x14ac:dyDescent="0.3">
      <c r="A8" s="94" t="s">
        <v>36</v>
      </c>
      <c r="B8" s="81"/>
      <c r="C8" s="77"/>
      <c r="D8" s="82" t="s">
        <v>1</v>
      </c>
      <c r="E8" s="95"/>
      <c r="F8" s="95"/>
      <c r="G8" s="96"/>
      <c r="H8" s="96">
        <f>3.5+1.5+3.6</f>
        <v>8.6</v>
      </c>
      <c r="I8" s="97">
        <v>2.46</v>
      </c>
      <c r="J8" s="98">
        <v>33</v>
      </c>
      <c r="K8" s="98">
        <v>11.6</v>
      </c>
      <c r="L8" s="99">
        <f>12+2.1</f>
        <v>14.1</v>
      </c>
      <c r="M8" s="96"/>
      <c r="N8" s="100">
        <v>3.4</v>
      </c>
      <c r="O8" s="96"/>
      <c r="P8" s="95"/>
      <c r="Q8" s="95">
        <v>2</v>
      </c>
      <c r="R8" s="96">
        <f>3+0.58</f>
        <v>3.58</v>
      </c>
      <c r="S8" s="95">
        <f>19+4</f>
        <v>23</v>
      </c>
      <c r="T8" s="95">
        <v>27</v>
      </c>
      <c r="U8" s="95">
        <v>13</v>
      </c>
      <c r="V8" s="95">
        <v>7</v>
      </c>
      <c r="W8" s="95">
        <f>32</f>
        <v>32</v>
      </c>
      <c r="X8" s="95">
        <v>20.677</v>
      </c>
      <c r="Y8" s="95">
        <f>1+2+3</f>
        <v>6</v>
      </c>
      <c r="Z8" s="95">
        <v>39</v>
      </c>
      <c r="AA8" s="95">
        <v>21</v>
      </c>
      <c r="AB8" s="95">
        <v>31</v>
      </c>
      <c r="AC8" s="95">
        <v>34</v>
      </c>
      <c r="AD8" s="95">
        <v>34</v>
      </c>
      <c r="AE8" s="95">
        <v>99</v>
      </c>
      <c r="AF8" s="95">
        <v>14</v>
      </c>
      <c r="AG8" s="95">
        <v>38</v>
      </c>
      <c r="AH8" s="95">
        <v>37</v>
      </c>
      <c r="AI8" s="95">
        <v>0</v>
      </c>
      <c r="AJ8" s="95">
        <v>28</v>
      </c>
      <c r="AK8" s="95">
        <v>23</v>
      </c>
      <c r="AL8" s="95">
        <v>39</v>
      </c>
      <c r="AM8" s="95">
        <v>39</v>
      </c>
      <c r="AN8" s="77"/>
      <c r="AO8" s="101">
        <f>SUM(Y8:AJ8)</f>
        <v>381</v>
      </c>
      <c r="AP8" s="56"/>
      <c r="AQ8" s="56"/>
      <c r="AR8" s="56"/>
    </row>
    <row r="9" spans="1:60" ht="14.5" thickBot="1" x14ac:dyDescent="0.35">
      <c r="A9" s="102" t="s">
        <v>37</v>
      </c>
      <c r="B9" s="103"/>
      <c r="C9" s="104"/>
      <c r="D9" s="105" t="s">
        <v>1</v>
      </c>
      <c r="E9" s="106"/>
      <c r="F9" s="106"/>
      <c r="G9" s="106"/>
      <c r="H9" s="106"/>
      <c r="I9" s="107"/>
      <c r="J9" s="106"/>
      <c r="K9" s="106"/>
      <c r="L9" s="106">
        <f>-4</f>
        <v>-4</v>
      </c>
      <c r="M9" s="107"/>
      <c r="N9" s="106">
        <v>-5.97</v>
      </c>
      <c r="O9" s="108">
        <v>5.85</v>
      </c>
      <c r="P9" s="106"/>
      <c r="Q9" s="106"/>
      <c r="R9" s="107"/>
      <c r="S9" s="106"/>
      <c r="T9" s="108"/>
      <c r="U9" s="109">
        <v>-5</v>
      </c>
      <c r="V9" s="106"/>
      <c r="W9" s="106"/>
      <c r="X9" s="106"/>
      <c r="Y9" s="106"/>
      <c r="Z9" s="106"/>
      <c r="AA9" s="106"/>
      <c r="AB9" s="106"/>
      <c r="AC9" s="106"/>
      <c r="AD9" s="106"/>
      <c r="AE9" s="106"/>
      <c r="AF9" s="106"/>
      <c r="AG9" s="106"/>
      <c r="AH9" s="106"/>
      <c r="AI9" s="106"/>
      <c r="AJ9" s="106"/>
      <c r="AK9" s="106"/>
      <c r="AL9" s="106"/>
      <c r="AM9" s="106"/>
      <c r="AN9" s="77"/>
      <c r="AO9" s="56"/>
      <c r="AP9" s="56"/>
      <c r="AQ9" s="56"/>
      <c r="AR9" s="56"/>
    </row>
    <row r="10" spans="1:60" s="56" customFormat="1" x14ac:dyDescent="0.3">
      <c r="A10" s="80" t="s">
        <v>38</v>
      </c>
      <c r="B10" s="81"/>
      <c r="C10" s="77"/>
      <c r="D10" s="110"/>
      <c r="E10" s="111"/>
      <c r="F10" s="112">
        <v>2</v>
      </c>
      <c r="G10" s="111"/>
      <c r="H10" s="111"/>
      <c r="I10" s="111"/>
      <c r="J10" s="111"/>
      <c r="K10" s="111"/>
      <c r="L10" s="111"/>
      <c r="M10" s="111"/>
      <c r="N10" s="111"/>
      <c r="O10" s="111"/>
      <c r="P10" s="111"/>
      <c r="Q10" s="111"/>
      <c r="R10" s="113">
        <v>1.6</v>
      </c>
      <c r="S10" s="111">
        <v>1</v>
      </c>
      <c r="T10" s="111"/>
      <c r="U10" s="111">
        <v>1</v>
      </c>
      <c r="V10" s="113"/>
      <c r="W10" s="113"/>
      <c r="X10" s="113"/>
      <c r="Y10" s="111"/>
      <c r="Z10" s="111"/>
      <c r="AA10" s="111"/>
      <c r="AB10" s="111"/>
      <c r="AC10" s="111"/>
      <c r="AD10" s="111"/>
      <c r="AE10" s="111"/>
      <c r="AF10" s="111"/>
      <c r="AG10" s="111"/>
      <c r="AH10" s="111"/>
      <c r="AI10" s="111"/>
      <c r="AJ10" s="111"/>
      <c r="AK10" s="111"/>
      <c r="AL10" s="111"/>
      <c r="AM10" s="111"/>
      <c r="AN10" s="77"/>
    </row>
    <row r="11" spans="1:60" s="56" customFormat="1" x14ac:dyDescent="0.3">
      <c r="A11" s="80" t="s">
        <v>39</v>
      </c>
      <c r="B11" s="81"/>
      <c r="C11" s="77"/>
      <c r="D11" s="110"/>
      <c r="E11" s="111"/>
      <c r="F11" s="112"/>
      <c r="G11" s="111"/>
      <c r="H11" s="112">
        <v>3.12</v>
      </c>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77"/>
    </row>
    <row r="12" spans="1:60" ht="22.5" thickBot="1" x14ac:dyDescent="0.45">
      <c r="A12" s="59" t="s">
        <v>40</v>
      </c>
      <c r="B12" s="55"/>
      <c r="C12" s="56"/>
      <c r="D12" s="60"/>
      <c r="E12" s="56"/>
      <c r="F12" s="56"/>
      <c r="G12" s="61">
        <v>43678</v>
      </c>
      <c r="H12" s="61">
        <v>43698</v>
      </c>
      <c r="I12" s="56"/>
      <c r="J12" s="56"/>
      <c r="K12" s="56"/>
      <c r="L12" s="62">
        <f t="shared" ref="L12:Q12" si="3">L16/1000</f>
        <v>0</v>
      </c>
      <c r="M12" s="62">
        <f t="shared" si="3"/>
        <v>0</v>
      </c>
      <c r="N12" s="62">
        <f t="shared" si="3"/>
        <v>0</v>
      </c>
      <c r="O12" s="62">
        <f t="shared" si="3"/>
        <v>0</v>
      </c>
      <c r="P12" s="62">
        <f t="shared" si="3"/>
        <v>0</v>
      </c>
      <c r="Q12" s="62">
        <f t="shared" si="3"/>
        <v>8.6043339000000003</v>
      </c>
      <c r="R12" s="62"/>
      <c r="S12" s="62"/>
      <c r="T12" s="62"/>
      <c r="U12" s="62"/>
      <c r="V12" s="62"/>
      <c r="W12" s="62"/>
      <c r="X12" s="62"/>
      <c r="Y12" s="62"/>
      <c r="Z12" s="62"/>
      <c r="AA12" s="62"/>
      <c r="AB12" s="62"/>
      <c r="AC12" s="62"/>
      <c r="AD12" s="62"/>
      <c r="AE12" s="62"/>
      <c r="AF12" s="62"/>
      <c r="AG12" s="62"/>
      <c r="AH12" s="62"/>
      <c r="AI12" s="62"/>
      <c r="AJ12" s="62"/>
      <c r="AK12" s="62"/>
      <c r="AL12" s="62"/>
      <c r="AM12" s="62"/>
      <c r="AN12" s="77"/>
      <c r="AO12" s="77"/>
      <c r="AP12" s="56"/>
      <c r="AQ12" s="56"/>
      <c r="AR12" s="56"/>
    </row>
    <row r="13" spans="1:60" s="70" customFormat="1" ht="14.5" thickBot="1" x14ac:dyDescent="0.35">
      <c r="A13" s="419" t="s">
        <v>29</v>
      </c>
      <c r="B13" s="420"/>
      <c r="C13" s="63"/>
      <c r="D13" s="64"/>
      <c r="E13" s="65">
        <v>43587</v>
      </c>
      <c r="F13" s="65">
        <v>43618</v>
      </c>
      <c r="G13" s="65">
        <v>43648</v>
      </c>
      <c r="H13" s="65">
        <v>43679</v>
      </c>
      <c r="I13" s="66">
        <v>43710</v>
      </c>
      <c r="J13" s="66">
        <v>43740</v>
      </c>
      <c r="K13" s="65">
        <v>43771</v>
      </c>
      <c r="L13" s="67">
        <v>43801</v>
      </c>
      <c r="M13" s="66">
        <v>43832</v>
      </c>
      <c r="N13" s="66">
        <v>43863</v>
      </c>
      <c r="O13" s="65">
        <v>43892</v>
      </c>
      <c r="P13" s="65">
        <v>43923</v>
      </c>
      <c r="Q13" s="65">
        <v>43953</v>
      </c>
      <c r="R13" s="66">
        <v>43984</v>
      </c>
      <c r="S13" s="66">
        <v>44014</v>
      </c>
      <c r="T13" s="66">
        <v>44045</v>
      </c>
      <c r="U13" s="66">
        <v>44076</v>
      </c>
      <c r="V13" s="66">
        <v>44106</v>
      </c>
      <c r="W13" s="66">
        <v>44137</v>
      </c>
      <c r="X13" s="66">
        <v>44167</v>
      </c>
      <c r="Y13" s="66">
        <f>Y3</f>
        <v>44198</v>
      </c>
      <c r="Z13" s="66">
        <f t="shared" ref="Z13:AM13" si="4">Z3</f>
        <v>44229</v>
      </c>
      <c r="AA13" s="66">
        <f t="shared" si="4"/>
        <v>44257</v>
      </c>
      <c r="AB13" s="66">
        <f t="shared" si="4"/>
        <v>44288</v>
      </c>
      <c r="AC13" s="66">
        <f t="shared" si="4"/>
        <v>44318</v>
      </c>
      <c r="AD13" s="66">
        <f t="shared" si="4"/>
        <v>44349</v>
      </c>
      <c r="AE13" s="66">
        <f t="shared" si="4"/>
        <v>44379</v>
      </c>
      <c r="AF13" s="66">
        <f t="shared" si="4"/>
        <v>44410</v>
      </c>
      <c r="AG13" s="66">
        <f t="shared" si="4"/>
        <v>44441</v>
      </c>
      <c r="AH13" s="66">
        <f t="shared" si="4"/>
        <v>44471</v>
      </c>
      <c r="AI13" s="66">
        <f t="shared" si="4"/>
        <v>44502</v>
      </c>
      <c r="AJ13" s="66">
        <f t="shared" si="4"/>
        <v>44532</v>
      </c>
      <c r="AK13" s="66">
        <f t="shared" si="4"/>
        <v>44563</v>
      </c>
      <c r="AL13" s="66">
        <f t="shared" si="4"/>
        <v>44594</v>
      </c>
      <c r="AM13" s="66">
        <f t="shared" si="4"/>
        <v>44622</v>
      </c>
      <c r="AN13" s="114"/>
      <c r="AO13" s="114"/>
      <c r="AP13" s="69"/>
      <c r="AQ13" s="69"/>
      <c r="AR13" s="69"/>
    </row>
    <row r="14" spans="1:60" x14ac:dyDescent="0.3">
      <c r="A14" s="71" t="s">
        <v>30</v>
      </c>
      <c r="B14" s="72"/>
      <c r="C14" s="73"/>
      <c r="D14" s="74"/>
      <c r="E14" s="75"/>
      <c r="F14" s="76"/>
      <c r="G14" s="76"/>
      <c r="H14" s="76"/>
      <c r="I14" s="76"/>
      <c r="J14" s="76"/>
      <c r="K14" s="76"/>
      <c r="L14" s="76"/>
      <c r="M14" s="76"/>
      <c r="N14" s="76"/>
      <c r="O14" s="76"/>
      <c r="P14" s="76"/>
      <c r="Q14" s="76"/>
      <c r="R14" s="115"/>
      <c r="S14" s="76"/>
      <c r="T14" s="76"/>
      <c r="U14" s="76"/>
      <c r="V14" s="76"/>
      <c r="W14" s="76"/>
      <c r="X14" s="76"/>
      <c r="Y14" s="76"/>
      <c r="Z14" s="76"/>
      <c r="AA14" s="76"/>
      <c r="AB14" s="76"/>
      <c r="AC14" s="76"/>
      <c r="AD14" s="76"/>
      <c r="AE14" s="76"/>
      <c r="AF14" s="76"/>
      <c r="AG14" s="76"/>
      <c r="AH14" s="76"/>
      <c r="AI14" s="76"/>
      <c r="AJ14" s="76"/>
      <c r="AK14" s="76"/>
      <c r="AL14" s="76"/>
      <c r="AM14" s="76"/>
      <c r="AN14" s="77"/>
      <c r="AO14" s="77"/>
      <c r="AP14" s="56"/>
      <c r="AQ14" s="56"/>
      <c r="AR14" s="56"/>
    </row>
    <row r="15" spans="1:60" x14ac:dyDescent="0.3">
      <c r="A15" s="80" t="s">
        <v>41</v>
      </c>
      <c r="B15" s="81"/>
      <c r="C15" s="77"/>
      <c r="D15" s="82" t="s">
        <v>18</v>
      </c>
      <c r="E15" s="83"/>
      <c r="F15" s="83"/>
      <c r="G15" s="83"/>
      <c r="H15" s="84"/>
      <c r="I15" s="83"/>
      <c r="J15" s="84"/>
      <c r="K15" s="83"/>
      <c r="L15" s="83"/>
      <c r="M15" s="83"/>
      <c r="N15" s="83"/>
      <c r="O15" s="83"/>
      <c r="P15" s="83"/>
      <c r="Q15" s="86">
        <v>10820</v>
      </c>
      <c r="R15" s="116">
        <v>10820</v>
      </c>
      <c r="S15" s="86">
        <v>10820</v>
      </c>
      <c r="T15" s="86">
        <v>10820</v>
      </c>
      <c r="U15" s="86">
        <v>10820</v>
      </c>
      <c r="V15" s="85">
        <v>7213.6</v>
      </c>
      <c r="W15" s="85">
        <v>7213.6</v>
      </c>
      <c r="X15" s="86">
        <v>10820</v>
      </c>
      <c r="Y15" s="86">
        <v>10820.4</v>
      </c>
      <c r="Z15" s="86">
        <v>10820.4</v>
      </c>
      <c r="AA15" s="86">
        <v>10820.4</v>
      </c>
      <c r="AB15" s="86">
        <v>10820.4</v>
      </c>
      <c r="AC15" s="86">
        <v>10820.4</v>
      </c>
      <c r="AD15" s="86">
        <v>10820.4</v>
      </c>
      <c r="AE15" s="86">
        <v>10820.4</v>
      </c>
      <c r="AF15" s="86">
        <v>10820.4</v>
      </c>
      <c r="AG15" s="86">
        <v>10820.4</v>
      </c>
      <c r="AH15" s="86">
        <v>10820.4</v>
      </c>
      <c r="AI15" s="86">
        <v>10820.4</v>
      </c>
      <c r="AJ15" s="86">
        <v>10820.4</v>
      </c>
      <c r="AK15" s="86">
        <v>10820.4</v>
      </c>
      <c r="AL15" s="86">
        <v>10820.4</v>
      </c>
      <c r="AM15" s="86">
        <v>10820.4</v>
      </c>
      <c r="AN15" s="77"/>
      <c r="AO15" s="77"/>
      <c r="AP15" s="56"/>
      <c r="AQ15" s="56"/>
      <c r="AR15" s="56"/>
    </row>
    <row r="16" spans="1:60" x14ac:dyDescent="0.3">
      <c r="A16" s="80" t="s">
        <v>42</v>
      </c>
      <c r="B16" s="81"/>
      <c r="C16" s="77"/>
      <c r="D16" s="82" t="s">
        <v>18</v>
      </c>
      <c r="E16" s="88"/>
      <c r="F16" s="88"/>
      <c r="G16" s="88"/>
      <c r="H16" s="88"/>
      <c r="I16" s="88"/>
      <c r="J16" s="88"/>
      <c r="K16" s="88"/>
      <c r="L16" s="88"/>
      <c r="M16" s="88"/>
      <c r="N16" s="88"/>
      <c r="O16" s="88"/>
      <c r="P16" s="88"/>
      <c r="Q16" s="88">
        <v>8604.3338999999996</v>
      </c>
      <c r="R16" s="117">
        <v>4280.92</v>
      </c>
      <c r="S16" s="88">
        <v>4603.84</v>
      </c>
      <c r="T16" s="88">
        <v>5097.9400000000005</v>
      </c>
      <c r="U16" s="88">
        <v>8486.9800000000014</v>
      </c>
      <c r="V16" s="88">
        <v>4215.0621000000001</v>
      </c>
      <c r="W16" s="88">
        <v>5552.8707000000004</v>
      </c>
      <c r="X16" s="88">
        <v>3405.2722000000003</v>
      </c>
      <c r="Y16" s="88">
        <v>8673.82</v>
      </c>
      <c r="Z16" s="88">
        <f t="shared" ref="Z16:AM16" si="5">Y16-Z17+((Z55-Z97-Z99-Z100-Z102-Z103-Z104-Z105)*1000)</f>
        <v>4479.3540188754459</v>
      </c>
      <c r="AA16" s="88">
        <f t="shared" si="5"/>
        <v>6440.9274667690288</v>
      </c>
      <c r="AB16" s="88">
        <f t="shared" si="5"/>
        <v>7142.1026330661389</v>
      </c>
      <c r="AC16" s="88">
        <f t="shared" si="5"/>
        <v>9696.1026330661261</v>
      </c>
      <c r="AD16" s="88">
        <f t="shared" si="5"/>
        <v>5861.1026330661161</v>
      </c>
      <c r="AE16" s="88">
        <f t="shared" si="5"/>
        <v>6694.2017737291171</v>
      </c>
      <c r="AF16" s="88">
        <f t="shared" si="5"/>
        <v>9209.2017737291171</v>
      </c>
      <c r="AG16" s="88">
        <f t="shared" si="5"/>
        <v>6956.2017737291289</v>
      </c>
      <c r="AH16" s="88">
        <f t="shared" si="5"/>
        <v>8281.434967738167</v>
      </c>
      <c r="AI16" s="88">
        <f t="shared" si="5"/>
        <v>11336.550394503764</v>
      </c>
      <c r="AJ16" s="88">
        <f t="shared" si="5"/>
        <v>8054.087353666433</v>
      </c>
      <c r="AK16" s="88">
        <f t="shared" si="5"/>
        <v>11430.62431282911</v>
      </c>
      <c r="AL16" s="88">
        <f t="shared" si="5"/>
        <v>11000.78672755671</v>
      </c>
      <c r="AM16" s="88">
        <f t="shared" si="5"/>
        <v>14377.323686719385</v>
      </c>
      <c r="AN16" s="77"/>
      <c r="AO16" s="77"/>
      <c r="AP16" s="56"/>
      <c r="AQ16" s="56"/>
      <c r="AR16" s="56"/>
    </row>
    <row r="17" spans="1:44" x14ac:dyDescent="0.3">
      <c r="A17" s="80" t="s">
        <v>43</v>
      </c>
      <c r="B17" s="81"/>
      <c r="C17" s="77"/>
      <c r="D17" s="82" t="s">
        <v>18</v>
      </c>
      <c r="E17" s="88"/>
      <c r="F17" s="88"/>
      <c r="G17" s="88"/>
      <c r="H17" s="88"/>
      <c r="I17" s="88"/>
      <c r="J17" s="88"/>
      <c r="K17" s="88"/>
      <c r="L17" s="88"/>
      <c r="M17" s="88"/>
      <c r="N17" s="88"/>
      <c r="O17" s="88"/>
      <c r="P17" s="88"/>
      <c r="Q17" s="88"/>
      <c r="R17" s="117">
        <v>4303.2400800000014</v>
      </c>
      <c r="S17" s="88">
        <v>2500</v>
      </c>
      <c r="T17" s="88">
        <v>8500</v>
      </c>
      <c r="U17" s="88">
        <v>1000</v>
      </c>
      <c r="V17" s="88">
        <v>8000</v>
      </c>
      <c r="W17" s="88">
        <v>5005</v>
      </c>
      <c r="X17" s="88">
        <v>3000</v>
      </c>
      <c r="Y17" s="88">
        <v>7000</v>
      </c>
      <c r="Z17" s="88">
        <v>6000</v>
      </c>
      <c r="AA17" s="88">
        <v>1500</v>
      </c>
      <c r="AB17" s="88">
        <v>1000</v>
      </c>
      <c r="AC17" s="88">
        <v>2000</v>
      </c>
      <c r="AD17" s="88">
        <v>1000</v>
      </c>
      <c r="AE17" s="88">
        <v>1000</v>
      </c>
      <c r="AF17" s="88">
        <v>14000</v>
      </c>
      <c r="AG17" s="88">
        <v>1000</v>
      </c>
      <c r="AH17" s="88">
        <v>1000</v>
      </c>
      <c r="AI17" s="88">
        <v>27000</v>
      </c>
      <c r="AJ17" s="88">
        <v>1000</v>
      </c>
      <c r="AK17" s="88">
        <v>1000</v>
      </c>
      <c r="AL17" s="88">
        <v>1000</v>
      </c>
      <c r="AM17" s="88">
        <v>1000</v>
      </c>
      <c r="AN17" s="77"/>
      <c r="AO17" s="101">
        <f>SUM(Y17:AJ17)</f>
        <v>63500</v>
      </c>
      <c r="AP17" s="56"/>
      <c r="AQ17" s="56"/>
      <c r="AR17" s="56"/>
    </row>
    <row r="18" spans="1:44" ht="14.5" thickBot="1" x14ac:dyDescent="0.35">
      <c r="A18" s="118" t="s">
        <v>44</v>
      </c>
      <c r="B18" s="103"/>
      <c r="C18" s="104"/>
      <c r="D18" s="105" t="s">
        <v>34</v>
      </c>
      <c r="E18" s="90" t="e">
        <f>E16/E15</f>
        <v>#DIV/0!</v>
      </c>
      <c r="F18" s="90" t="e">
        <f t="shared" ref="F18:Y18" si="6">F16/F15</f>
        <v>#DIV/0!</v>
      </c>
      <c r="G18" s="90" t="e">
        <f t="shared" si="6"/>
        <v>#DIV/0!</v>
      </c>
      <c r="H18" s="91" t="e">
        <f t="shared" si="6"/>
        <v>#DIV/0!</v>
      </c>
      <c r="I18" s="91" t="e">
        <f t="shared" si="6"/>
        <v>#DIV/0!</v>
      </c>
      <c r="J18" s="91" t="e">
        <f t="shared" si="6"/>
        <v>#DIV/0!</v>
      </c>
      <c r="K18" s="91" t="e">
        <f t="shared" si="6"/>
        <v>#DIV/0!</v>
      </c>
      <c r="L18" s="91" t="e">
        <f t="shared" si="6"/>
        <v>#DIV/0!</v>
      </c>
      <c r="M18" s="91" t="e">
        <f t="shared" si="6"/>
        <v>#DIV/0!</v>
      </c>
      <c r="N18" s="91" t="e">
        <f t="shared" si="6"/>
        <v>#DIV/0!</v>
      </c>
      <c r="O18" s="91" t="e">
        <f t="shared" si="6"/>
        <v>#DIV/0!</v>
      </c>
      <c r="P18" s="91" t="e">
        <f t="shared" si="6"/>
        <v>#DIV/0!</v>
      </c>
      <c r="Q18" s="91">
        <f t="shared" si="6"/>
        <v>0.79522494454713488</v>
      </c>
      <c r="R18" s="119">
        <f t="shared" si="6"/>
        <v>0.39564879852125695</v>
      </c>
      <c r="S18" s="120">
        <f t="shared" si="6"/>
        <v>0.42549353049907579</v>
      </c>
      <c r="T18" s="120">
        <f t="shared" si="6"/>
        <v>0.47115896487985215</v>
      </c>
      <c r="U18" s="120">
        <f t="shared" si="6"/>
        <v>0.7843789279112755</v>
      </c>
      <c r="V18" s="120">
        <f t="shared" si="6"/>
        <v>0.58432157313962518</v>
      </c>
      <c r="W18" s="120">
        <f t="shared" si="6"/>
        <v>0.76977801652434297</v>
      </c>
      <c r="X18" s="120">
        <f t="shared" si="6"/>
        <v>0.31472016635859523</v>
      </c>
      <c r="Y18" s="120">
        <f t="shared" si="6"/>
        <v>0.80161731544120363</v>
      </c>
      <c r="Z18" s="121">
        <f>Z16/Z15</f>
        <v>0.41397305264827972</v>
      </c>
      <c r="AA18" s="121">
        <f t="shared" ref="AA18:AJ18" si="7">AA16/AA15</f>
        <v>0.59525779701018711</v>
      </c>
      <c r="AB18" s="121">
        <f t="shared" si="7"/>
        <v>0.66005902120680748</v>
      </c>
      <c r="AC18" s="121">
        <f t="shared" si="7"/>
        <v>0.89609465759732787</v>
      </c>
      <c r="AD18" s="121">
        <f t="shared" si="7"/>
        <v>0.54167153091069797</v>
      </c>
      <c r="AE18" s="121">
        <f t="shared" si="7"/>
        <v>0.61866490829628451</v>
      </c>
      <c r="AF18" s="121">
        <f t="shared" si="7"/>
        <v>0.85109624170355236</v>
      </c>
      <c r="AG18" s="121">
        <f t="shared" si="7"/>
        <v>0.64287843090173458</v>
      </c>
      <c r="AH18" s="121">
        <f t="shared" si="7"/>
        <v>0.76535386563696051</v>
      </c>
      <c r="AI18" s="121">
        <f t="shared" si="7"/>
        <v>1.0477016001722455</v>
      </c>
      <c r="AJ18" s="121">
        <f t="shared" si="7"/>
        <v>0.74434284810787343</v>
      </c>
      <c r="AK18" s="121">
        <f>AK16/AK15</f>
        <v>1.0563957259277947</v>
      </c>
      <c r="AL18" s="121">
        <f>AL16/AL15</f>
        <v>1.0166709851351807</v>
      </c>
      <c r="AM18" s="121">
        <f>AM16/AM15</f>
        <v>1.3287238629551019</v>
      </c>
      <c r="AN18" s="77"/>
      <c r="AO18" s="77"/>
      <c r="AP18" s="56"/>
      <c r="AQ18" s="56"/>
      <c r="AR18" s="56"/>
    </row>
    <row r="19" spans="1:44" s="56" customFormat="1" x14ac:dyDescent="0.3">
      <c r="A19" s="54" t="s">
        <v>45</v>
      </c>
      <c r="B19" s="55"/>
      <c r="R19" s="122">
        <f t="shared" ref="R19:AM19" si="8">R55-R97-R99-R102-R103-R105</f>
        <v>-2.0173819999998344E-2</v>
      </c>
      <c r="S19" s="122">
        <f t="shared" si="8"/>
        <v>5.0584090909090627</v>
      </c>
      <c r="T19" s="122">
        <f t="shared" si="8"/>
        <v>7.5176373626373696</v>
      </c>
      <c r="U19" s="122">
        <f t="shared" si="8"/>
        <v>0.61100000000000709</v>
      </c>
      <c r="V19" s="122">
        <f t="shared" si="8"/>
        <v>4.01</v>
      </c>
      <c r="W19" s="122">
        <f t="shared" si="8"/>
        <v>6.3309999999999977</v>
      </c>
      <c r="X19" s="122">
        <f t="shared" si="8"/>
        <v>1.0260000000000011</v>
      </c>
      <c r="Y19" s="122">
        <f t="shared" si="8"/>
        <v>11.852380729154897</v>
      </c>
      <c r="Z19" s="122">
        <f t="shared" si="8"/>
        <v>6.3055340188754467</v>
      </c>
      <c r="AA19" s="122">
        <f t="shared" si="8"/>
        <v>9.9615734478935831</v>
      </c>
      <c r="AB19" s="122">
        <f t="shared" si="8"/>
        <v>5.7011751662971104</v>
      </c>
      <c r="AC19" s="122">
        <f t="shared" si="8"/>
        <v>14.126999999999994</v>
      </c>
      <c r="AD19" s="122">
        <f t="shared" si="8"/>
        <v>6.7379999999999907</v>
      </c>
      <c r="AE19" s="122">
        <f t="shared" si="8"/>
        <v>1.8330991406630015</v>
      </c>
      <c r="AF19" s="122">
        <f t="shared" si="8"/>
        <v>22.088000000000001</v>
      </c>
      <c r="AG19" s="122">
        <f t="shared" si="8"/>
        <v>8.3200000000000127</v>
      </c>
      <c r="AH19" s="122">
        <f t="shared" si="8"/>
        <v>6.3252331940090389</v>
      </c>
      <c r="AI19" s="122">
        <f t="shared" si="8"/>
        <v>39.628115426765596</v>
      </c>
      <c r="AJ19" s="122">
        <f t="shared" si="8"/>
        <v>7.2905369591626705</v>
      </c>
      <c r="AK19" s="122">
        <f t="shared" si="8"/>
        <v>4.3765369591626762</v>
      </c>
      <c r="AL19" s="122">
        <f t="shared" si="8"/>
        <v>0.57016241472759932</v>
      </c>
      <c r="AM19" s="122">
        <f t="shared" si="8"/>
        <v>4.3765369591626762</v>
      </c>
      <c r="AN19" s="77"/>
      <c r="AO19" s="77"/>
    </row>
    <row r="20" spans="1:44" ht="22.5" thickBot="1" x14ac:dyDescent="0.45">
      <c r="A20" s="59" t="s">
        <v>46</v>
      </c>
      <c r="B20" s="55"/>
      <c r="C20" s="56"/>
      <c r="D20" s="60"/>
      <c r="E20" s="56"/>
      <c r="F20" s="56"/>
      <c r="G20" s="61">
        <v>43678</v>
      </c>
      <c r="H20" s="61">
        <v>43698</v>
      </c>
      <c r="I20" s="56"/>
      <c r="J20" s="56"/>
      <c r="K20" s="56"/>
      <c r="L20" s="62">
        <f t="shared" ref="L20:Q20" si="9">L24/1000</f>
        <v>0</v>
      </c>
      <c r="M20" s="62">
        <f t="shared" si="9"/>
        <v>0</v>
      </c>
      <c r="N20" s="62">
        <f t="shared" si="9"/>
        <v>0</v>
      </c>
      <c r="O20" s="62">
        <f t="shared" si="9"/>
        <v>0</v>
      </c>
      <c r="P20" s="62">
        <f t="shared" si="9"/>
        <v>0</v>
      </c>
      <c r="Q20" s="62">
        <f t="shared" si="9"/>
        <v>20.938500000000001</v>
      </c>
      <c r="R20" s="62"/>
      <c r="S20" s="62"/>
      <c r="T20" s="62"/>
      <c r="U20" s="62"/>
      <c r="V20" s="62"/>
      <c r="W20" s="62"/>
      <c r="X20" s="62"/>
      <c r="Y20" s="62"/>
      <c r="Z20" s="62"/>
      <c r="AA20" s="62"/>
      <c r="AB20" s="62"/>
      <c r="AC20" s="62"/>
      <c r="AD20" s="62"/>
      <c r="AE20" s="62"/>
      <c r="AF20" s="62"/>
      <c r="AG20" s="62"/>
      <c r="AH20" s="62"/>
      <c r="AI20" s="62"/>
      <c r="AJ20" s="62"/>
      <c r="AK20" s="62"/>
      <c r="AL20" s="62"/>
      <c r="AM20" s="62"/>
      <c r="AN20" s="77"/>
      <c r="AO20" s="77"/>
      <c r="AP20" s="56"/>
      <c r="AQ20" s="56"/>
      <c r="AR20" s="56"/>
    </row>
    <row r="21" spans="1:44" s="70" customFormat="1" ht="14.5" thickBot="1" x14ac:dyDescent="0.35">
      <c r="A21" s="419" t="s">
        <v>29</v>
      </c>
      <c r="B21" s="420"/>
      <c r="C21" s="63"/>
      <c r="D21" s="64"/>
      <c r="E21" s="123">
        <v>43587</v>
      </c>
      <c r="F21" s="65">
        <v>43618</v>
      </c>
      <c r="G21" s="65">
        <v>43648</v>
      </c>
      <c r="H21" s="65">
        <v>43679</v>
      </c>
      <c r="I21" s="66">
        <v>43710</v>
      </c>
      <c r="J21" s="66">
        <v>43740</v>
      </c>
      <c r="K21" s="65">
        <v>43771</v>
      </c>
      <c r="L21" s="67">
        <v>43801</v>
      </c>
      <c r="M21" s="66">
        <v>43832</v>
      </c>
      <c r="N21" s="66">
        <v>43863</v>
      </c>
      <c r="O21" s="65">
        <v>43892</v>
      </c>
      <c r="P21" s="65">
        <v>43923</v>
      </c>
      <c r="Q21" s="65">
        <v>43953</v>
      </c>
      <c r="R21" s="66">
        <v>43984</v>
      </c>
      <c r="S21" s="66">
        <v>44014</v>
      </c>
      <c r="T21" s="66">
        <v>44045</v>
      </c>
      <c r="U21" s="66">
        <v>44076</v>
      </c>
      <c r="V21" s="66">
        <v>44106</v>
      </c>
      <c r="W21" s="66">
        <v>44137</v>
      </c>
      <c r="X21" s="66">
        <v>44167</v>
      </c>
      <c r="Y21" s="66">
        <f>Y3</f>
        <v>44198</v>
      </c>
      <c r="Z21" s="66">
        <f t="shared" ref="Z21:AM21" si="10">Z3</f>
        <v>44229</v>
      </c>
      <c r="AA21" s="66">
        <f t="shared" si="10"/>
        <v>44257</v>
      </c>
      <c r="AB21" s="66">
        <f t="shared" si="10"/>
        <v>44288</v>
      </c>
      <c r="AC21" s="66">
        <f t="shared" si="10"/>
        <v>44318</v>
      </c>
      <c r="AD21" s="66">
        <f t="shared" si="10"/>
        <v>44349</v>
      </c>
      <c r="AE21" s="66">
        <f t="shared" si="10"/>
        <v>44379</v>
      </c>
      <c r="AF21" s="66">
        <f t="shared" si="10"/>
        <v>44410</v>
      </c>
      <c r="AG21" s="66">
        <f t="shared" si="10"/>
        <v>44441</v>
      </c>
      <c r="AH21" s="66">
        <f t="shared" si="10"/>
        <v>44471</v>
      </c>
      <c r="AI21" s="66">
        <f t="shared" si="10"/>
        <v>44502</v>
      </c>
      <c r="AJ21" s="66">
        <f t="shared" si="10"/>
        <v>44532</v>
      </c>
      <c r="AK21" s="66">
        <f t="shared" si="10"/>
        <v>44563</v>
      </c>
      <c r="AL21" s="66">
        <f t="shared" si="10"/>
        <v>44594</v>
      </c>
      <c r="AM21" s="66">
        <f t="shared" si="10"/>
        <v>44622</v>
      </c>
      <c r="AN21" s="56"/>
      <c r="AO21" s="114"/>
      <c r="AP21" s="69"/>
      <c r="AQ21" s="69"/>
      <c r="AR21" s="69"/>
    </row>
    <row r="22" spans="1:44" x14ac:dyDescent="0.3">
      <c r="A22" s="71" t="s">
        <v>30</v>
      </c>
      <c r="B22" s="72"/>
      <c r="C22" s="73"/>
      <c r="D22" s="74"/>
      <c r="E22" s="75"/>
      <c r="F22" s="76"/>
      <c r="G22" s="76"/>
      <c r="H22" s="76"/>
      <c r="I22" s="76"/>
      <c r="J22" s="76"/>
      <c r="K22" s="76"/>
      <c r="L22" s="76"/>
      <c r="M22" s="76"/>
      <c r="N22" s="76"/>
      <c r="O22" s="76"/>
      <c r="P22" s="76"/>
      <c r="Q22" s="76"/>
      <c r="R22" s="115"/>
      <c r="S22" s="76"/>
      <c r="T22" s="76"/>
      <c r="U22" s="76"/>
      <c r="V22" s="76"/>
      <c r="W22" s="76"/>
      <c r="X22" s="76"/>
      <c r="Y22" s="76"/>
      <c r="Z22" s="76"/>
      <c r="AA22" s="76"/>
      <c r="AB22" s="76"/>
      <c r="AC22" s="76"/>
      <c r="AD22" s="76"/>
      <c r="AE22" s="76"/>
      <c r="AF22" s="76"/>
      <c r="AG22" s="76"/>
      <c r="AH22" s="76"/>
      <c r="AI22" s="76"/>
      <c r="AJ22" s="76"/>
      <c r="AK22" s="76"/>
      <c r="AL22" s="76"/>
      <c r="AM22" s="76"/>
      <c r="AN22" s="77"/>
      <c r="AO22" s="77"/>
      <c r="AP22" s="56"/>
      <c r="AQ22" s="56"/>
      <c r="AR22" s="56"/>
    </row>
    <row r="23" spans="1:44" x14ac:dyDescent="0.3">
      <c r="A23" s="80" t="s">
        <v>47</v>
      </c>
      <c r="B23" s="81"/>
      <c r="C23" s="77"/>
      <c r="D23" s="82" t="s">
        <v>18</v>
      </c>
      <c r="E23" s="83"/>
      <c r="F23" s="83"/>
      <c r="G23" s="83"/>
      <c r="H23" s="84"/>
      <c r="I23" s="83"/>
      <c r="J23" s="84"/>
      <c r="K23" s="83"/>
      <c r="L23" s="83"/>
      <c r="M23" s="83"/>
      <c r="N23" s="83"/>
      <c r="O23" s="83"/>
      <c r="P23" s="83"/>
      <c r="Q23" s="84">
        <v>34970.800000000003</v>
      </c>
      <c r="R23" s="84">
        <f>R5-R15</f>
        <v>34970.800000000003</v>
      </c>
      <c r="S23" s="84">
        <f>S5-S15</f>
        <v>34970.800000000003</v>
      </c>
      <c r="T23" s="84">
        <v>34970.800000000003</v>
      </c>
      <c r="U23" s="84">
        <v>34970.800000000003</v>
      </c>
      <c r="V23" s="86">
        <v>38804.400000000001</v>
      </c>
      <c r="W23" s="86">
        <v>38804.400000000001</v>
      </c>
      <c r="X23" s="86">
        <v>38804.800000000003</v>
      </c>
      <c r="Y23" s="86">
        <v>38804.400000000009</v>
      </c>
      <c r="Z23" s="85">
        <v>34970.400000000009</v>
      </c>
      <c r="AA23" s="85">
        <v>32821.200000000004</v>
      </c>
      <c r="AB23" s="85">
        <v>32821.200000000004</v>
      </c>
      <c r="AC23" s="85">
        <v>32821.200000000004</v>
      </c>
      <c r="AD23" s="85">
        <v>32821.200000000004</v>
      </c>
      <c r="AE23" s="86">
        <v>36655.199999999997</v>
      </c>
      <c r="AF23" s="86">
        <v>36655.200000000004</v>
      </c>
      <c r="AG23" s="86">
        <v>36655.200000000004</v>
      </c>
      <c r="AH23" s="85">
        <v>32821.200000000004</v>
      </c>
      <c r="AI23" s="85">
        <v>32821.200000000004</v>
      </c>
      <c r="AJ23" s="86">
        <v>36655.200000000004</v>
      </c>
      <c r="AK23" s="86">
        <v>36655.200000000004</v>
      </c>
      <c r="AL23" s="86">
        <v>36655.200000000004</v>
      </c>
      <c r="AM23" s="86">
        <v>36655.200000000004</v>
      </c>
      <c r="AN23" s="77"/>
      <c r="AO23" s="77"/>
      <c r="AP23" s="56"/>
      <c r="AQ23" s="56"/>
      <c r="AR23" s="56"/>
    </row>
    <row r="24" spans="1:44" x14ac:dyDescent="0.3">
      <c r="A24" s="87" t="s">
        <v>48</v>
      </c>
      <c r="B24" s="81"/>
      <c r="C24" s="77"/>
      <c r="D24" s="82" t="s">
        <v>18</v>
      </c>
      <c r="E24" s="88"/>
      <c r="F24" s="88"/>
      <c r="G24" s="88"/>
      <c r="H24" s="88"/>
      <c r="I24" s="88"/>
      <c r="J24" s="88"/>
      <c r="K24" s="88"/>
      <c r="L24" s="88"/>
      <c r="M24" s="88"/>
      <c r="N24" s="88"/>
      <c r="O24" s="88"/>
      <c r="P24" s="88"/>
      <c r="Q24" s="88">
        <v>20938.5</v>
      </c>
      <c r="R24" s="88">
        <v>10177.919999999998</v>
      </c>
      <c r="S24" s="88">
        <v>13403.88</v>
      </c>
      <c r="T24" s="88">
        <v>10026.720000000001</v>
      </c>
      <c r="U24" s="88">
        <v>18209.88</v>
      </c>
      <c r="V24" s="88">
        <v>10209.780000000001</v>
      </c>
      <c r="W24" s="88">
        <v>16867.98</v>
      </c>
      <c r="X24" s="88">
        <v>14649.770160000002</v>
      </c>
      <c r="Y24" s="88">
        <v>15728.580000000002</v>
      </c>
      <c r="Z24" s="88">
        <f t="shared" ref="Z24:AM24" si="11">Y24+Z17+((Z56+Z61+Z8-Z9+Z10-Z98-Z101-Z106-Z107-Z108-Z109-Z110-Z111-Z112-Z113-Z114-Z115-Z116-Z117-Z118-Z119-Z120-Z121-Z122-Z123-Z124-Z125-Z126-Z127-Z128-Z129-Z130-Z131-Z135-Z136-Z137-Z138-Z139-Z140-Z141-Z142-Z143-Z144-Z145-Z146-Z147-Z148-Z149-Z150-Z151)*1000)</f>
        <v>25479.838805474872</v>
      </c>
      <c r="AA24" s="88">
        <f t="shared" si="11"/>
        <v>18518.856640823215</v>
      </c>
      <c r="AB24" s="88">
        <f t="shared" si="11"/>
        <v>16652.857764365577</v>
      </c>
      <c r="AC24" s="88">
        <f t="shared" si="11"/>
        <v>16067.69677414561</v>
      </c>
      <c r="AD24" s="88">
        <f t="shared" si="11"/>
        <v>12240.032847505623</v>
      </c>
      <c r="AE24" s="88">
        <f t="shared" si="11"/>
        <v>13357.435437505634</v>
      </c>
      <c r="AF24" s="88">
        <f t="shared" si="11"/>
        <v>10970.790397505643</v>
      </c>
      <c r="AG24" s="88">
        <f t="shared" si="11"/>
        <v>9127.3358575056245</v>
      </c>
      <c r="AH24" s="88">
        <f t="shared" si="11"/>
        <v>-3135.2806652494965</v>
      </c>
      <c r="AI24" s="88">
        <f t="shared" si="11"/>
        <v>-9960.6191334885516</v>
      </c>
      <c r="AJ24" s="88">
        <f t="shared" si="11"/>
        <v>-9099.2537474787659</v>
      </c>
      <c r="AK24" s="88">
        <f t="shared" si="11"/>
        <v>-13526.215851469009</v>
      </c>
      <c r="AL24" s="88">
        <f t="shared" si="11"/>
        <v>-12475.598553782731</v>
      </c>
      <c r="AM24" s="88">
        <f t="shared" si="11"/>
        <v>7644.6786822270096</v>
      </c>
      <c r="AN24" s="77"/>
      <c r="AO24" s="77"/>
      <c r="AP24" s="56"/>
      <c r="AQ24" s="56"/>
      <c r="AR24" s="56"/>
    </row>
    <row r="25" spans="1:44" ht="14.5" thickBot="1" x14ac:dyDescent="0.35">
      <c r="A25" s="118" t="s">
        <v>49</v>
      </c>
      <c r="B25" s="103"/>
      <c r="C25" s="104"/>
      <c r="D25" s="105" t="s">
        <v>34</v>
      </c>
      <c r="E25" s="90" t="e">
        <f>E24/E23</f>
        <v>#DIV/0!</v>
      </c>
      <c r="F25" s="90" t="e">
        <f t="shared" ref="F25:AJ25" si="12">F24/F23</f>
        <v>#DIV/0!</v>
      </c>
      <c r="G25" s="90" t="e">
        <f t="shared" si="12"/>
        <v>#DIV/0!</v>
      </c>
      <c r="H25" s="91" t="e">
        <f t="shared" si="12"/>
        <v>#DIV/0!</v>
      </c>
      <c r="I25" s="91" t="e">
        <f t="shared" si="12"/>
        <v>#DIV/0!</v>
      </c>
      <c r="J25" s="91" t="e">
        <f t="shared" si="12"/>
        <v>#DIV/0!</v>
      </c>
      <c r="K25" s="91" t="e">
        <f t="shared" si="12"/>
        <v>#DIV/0!</v>
      </c>
      <c r="L25" s="91" t="e">
        <f t="shared" si="12"/>
        <v>#DIV/0!</v>
      </c>
      <c r="M25" s="91" t="e">
        <f t="shared" si="12"/>
        <v>#DIV/0!</v>
      </c>
      <c r="N25" s="91" t="e">
        <f t="shared" si="12"/>
        <v>#DIV/0!</v>
      </c>
      <c r="O25" s="91" t="e">
        <f t="shared" si="12"/>
        <v>#DIV/0!</v>
      </c>
      <c r="P25" s="91" t="e">
        <f t="shared" si="12"/>
        <v>#DIV/0!</v>
      </c>
      <c r="Q25" s="91">
        <f t="shared" si="12"/>
        <v>0.59874237935649166</v>
      </c>
      <c r="R25" s="119">
        <f t="shared" si="12"/>
        <v>0.29104052523819868</v>
      </c>
      <c r="S25" s="120">
        <f t="shared" si="12"/>
        <v>0.38328777151223303</v>
      </c>
      <c r="T25" s="120">
        <f t="shared" si="12"/>
        <v>0.28671691811454131</v>
      </c>
      <c r="U25" s="120">
        <f t="shared" si="12"/>
        <v>0.5207167122284877</v>
      </c>
      <c r="V25" s="120">
        <f t="shared" si="12"/>
        <v>0.26310882271082664</v>
      </c>
      <c r="W25" s="120">
        <f t="shared" si="12"/>
        <v>0.43469245755635955</v>
      </c>
      <c r="X25" s="120">
        <f t="shared" si="12"/>
        <v>0.3775246917907063</v>
      </c>
      <c r="Y25" s="120">
        <f t="shared" si="12"/>
        <v>0.40532980795992202</v>
      </c>
      <c r="Z25" s="120">
        <f t="shared" si="12"/>
        <v>0.72861159167395473</v>
      </c>
      <c r="AA25" s="120">
        <f t="shared" si="12"/>
        <v>0.56423459961315281</v>
      </c>
      <c r="AB25" s="120">
        <f t="shared" si="12"/>
        <v>0.50738113671546359</v>
      </c>
      <c r="AC25" s="120">
        <f t="shared" si="12"/>
        <v>0.48955238608416535</v>
      </c>
      <c r="AD25" s="120">
        <f t="shared" si="12"/>
        <v>0.37293069258606087</v>
      </c>
      <c r="AE25" s="120">
        <f t="shared" si="12"/>
        <v>0.36440765396193814</v>
      </c>
      <c r="AF25" s="120">
        <f t="shared" si="12"/>
        <v>0.29929697280346695</v>
      </c>
      <c r="AG25" s="120">
        <f t="shared" si="12"/>
        <v>0.24900521228926928</v>
      </c>
      <c r="AH25" s="120">
        <f t="shared" si="12"/>
        <v>-9.552608269196422E-2</v>
      </c>
      <c r="AI25" s="120">
        <f t="shared" si="12"/>
        <v>-0.30348126008459625</v>
      </c>
      <c r="AJ25" s="120">
        <f t="shared" si="12"/>
        <v>-0.24823909697611157</v>
      </c>
      <c r="AK25" s="120">
        <f>AK24/AK23</f>
        <v>-0.3690121961268526</v>
      </c>
      <c r="AL25" s="120">
        <f>AL24/AL23</f>
        <v>-0.34035003365914601</v>
      </c>
      <c r="AM25" s="120">
        <f>AM24/AM23</f>
        <v>0.20855645808035445</v>
      </c>
      <c r="AN25" s="77"/>
      <c r="AO25" s="77"/>
      <c r="AP25" s="56"/>
      <c r="AQ25" s="56"/>
      <c r="AR25" s="56"/>
    </row>
    <row r="26" spans="1:44" ht="15.5" thickBot="1" x14ac:dyDescent="0.35">
      <c r="A26" s="124" t="s">
        <v>50</v>
      </c>
      <c r="B26" s="125"/>
      <c r="C26" s="126"/>
      <c r="D26" s="127"/>
      <c r="E26" s="56"/>
      <c r="F26" s="56"/>
      <c r="G26" s="61">
        <v>43678</v>
      </c>
      <c r="H26" s="61">
        <v>43698</v>
      </c>
      <c r="I26" s="56"/>
      <c r="J26" s="56"/>
      <c r="K26" s="56"/>
      <c r="L26" s="62">
        <f t="shared" ref="L26:Q26" si="13">L30/1000</f>
        <v>0</v>
      </c>
      <c r="M26" s="62">
        <f t="shared" si="13"/>
        <v>0</v>
      </c>
      <c r="N26" s="62">
        <f t="shared" si="13"/>
        <v>0</v>
      </c>
      <c r="O26" s="62">
        <f t="shared" si="13"/>
        <v>0</v>
      </c>
      <c r="P26" s="62">
        <f t="shared" si="13"/>
        <v>0</v>
      </c>
      <c r="Q26" s="62">
        <f t="shared" si="13"/>
        <v>0</v>
      </c>
      <c r="R26" s="62"/>
      <c r="S26" s="62"/>
      <c r="T26" s="62"/>
      <c r="U26" s="62"/>
      <c r="V26" s="62"/>
      <c r="W26" s="62"/>
      <c r="X26" s="62"/>
      <c r="Y26" s="62"/>
      <c r="Z26" s="62"/>
      <c r="AA26" s="62"/>
      <c r="AB26" s="62"/>
      <c r="AC26" s="62"/>
      <c r="AD26" s="62"/>
      <c r="AE26" s="62"/>
      <c r="AF26" s="62"/>
      <c r="AG26" s="62"/>
      <c r="AH26" s="62"/>
      <c r="AI26" s="62"/>
      <c r="AJ26" s="62"/>
      <c r="AK26" s="62"/>
      <c r="AL26" s="62"/>
      <c r="AM26" s="62"/>
      <c r="AN26" s="77"/>
      <c r="AO26" s="77"/>
      <c r="AP26" s="56"/>
      <c r="AQ26" s="56"/>
      <c r="AR26" s="56"/>
    </row>
    <row r="27" spans="1:44" s="70" customFormat="1" ht="14.5" thickBot="1" x14ac:dyDescent="0.35">
      <c r="A27" s="433" t="s">
        <v>29</v>
      </c>
      <c r="B27" s="434"/>
      <c r="C27" s="128"/>
      <c r="D27" s="129"/>
      <c r="E27" s="123">
        <v>43587</v>
      </c>
      <c r="F27" s="65">
        <v>43618</v>
      </c>
      <c r="G27" s="65">
        <v>43648</v>
      </c>
      <c r="H27" s="65">
        <v>43679</v>
      </c>
      <c r="I27" s="66">
        <v>43710</v>
      </c>
      <c r="J27" s="66">
        <v>43740</v>
      </c>
      <c r="K27" s="65">
        <v>43771</v>
      </c>
      <c r="L27" s="67">
        <v>43801</v>
      </c>
      <c r="M27" s="66">
        <v>43832</v>
      </c>
      <c r="N27" s="66">
        <v>43863</v>
      </c>
      <c r="O27" s="65">
        <v>43892</v>
      </c>
      <c r="P27" s="65">
        <v>43923</v>
      </c>
      <c r="Q27" s="65">
        <v>43953</v>
      </c>
      <c r="R27" s="66">
        <v>43984</v>
      </c>
      <c r="S27" s="66">
        <v>44014</v>
      </c>
      <c r="T27" s="66">
        <v>44045</v>
      </c>
      <c r="U27" s="66">
        <v>44076</v>
      </c>
      <c r="V27" s="66">
        <v>44106</v>
      </c>
      <c r="W27" s="66">
        <v>44137</v>
      </c>
      <c r="X27" s="66">
        <v>44167</v>
      </c>
      <c r="Y27" s="66">
        <v>44198</v>
      </c>
      <c r="Z27" s="66">
        <f t="shared" ref="Z27:AM27" si="14">Z3</f>
        <v>44229</v>
      </c>
      <c r="AA27" s="66">
        <f t="shared" si="14"/>
        <v>44257</v>
      </c>
      <c r="AB27" s="66">
        <f t="shared" si="14"/>
        <v>44288</v>
      </c>
      <c r="AC27" s="66">
        <f t="shared" si="14"/>
        <v>44318</v>
      </c>
      <c r="AD27" s="66">
        <f t="shared" si="14"/>
        <v>44349</v>
      </c>
      <c r="AE27" s="66">
        <f t="shared" si="14"/>
        <v>44379</v>
      </c>
      <c r="AF27" s="66">
        <f t="shared" si="14"/>
        <v>44410</v>
      </c>
      <c r="AG27" s="66">
        <f t="shared" si="14"/>
        <v>44441</v>
      </c>
      <c r="AH27" s="66">
        <f t="shared" si="14"/>
        <v>44471</v>
      </c>
      <c r="AI27" s="66">
        <f t="shared" si="14"/>
        <v>44502</v>
      </c>
      <c r="AJ27" s="66">
        <f t="shared" si="14"/>
        <v>44532</v>
      </c>
      <c r="AK27" s="66">
        <f t="shared" si="14"/>
        <v>44563</v>
      </c>
      <c r="AL27" s="66">
        <f t="shared" si="14"/>
        <v>44594</v>
      </c>
      <c r="AM27" s="66">
        <f t="shared" si="14"/>
        <v>44622</v>
      </c>
      <c r="AN27" s="56"/>
      <c r="AO27" s="114"/>
      <c r="AP27" s="69"/>
      <c r="AQ27" s="69"/>
      <c r="AR27" s="69"/>
    </row>
    <row r="28" spans="1:44" x14ac:dyDescent="0.3">
      <c r="A28" s="130" t="s">
        <v>30</v>
      </c>
      <c r="B28" s="131"/>
      <c r="C28" s="132"/>
      <c r="D28" s="133"/>
      <c r="E28" s="75"/>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7"/>
      <c r="AO28" s="77"/>
      <c r="AP28" s="56"/>
      <c r="AQ28" s="56"/>
      <c r="AR28" s="56"/>
    </row>
    <row r="29" spans="1:44" x14ac:dyDescent="0.3">
      <c r="A29" s="134" t="s">
        <v>51</v>
      </c>
      <c r="B29" s="135"/>
      <c r="C29" s="136"/>
      <c r="D29" s="137" t="s">
        <v>18</v>
      </c>
      <c r="E29" s="83"/>
      <c r="F29" s="83"/>
      <c r="G29" s="83"/>
      <c r="H29" s="84"/>
      <c r="I29" s="83"/>
      <c r="J29" s="84"/>
      <c r="K29" s="83"/>
      <c r="L29" s="83"/>
      <c r="M29" s="83"/>
      <c r="N29" s="83"/>
      <c r="O29" s="83"/>
      <c r="P29" s="83"/>
      <c r="Q29" s="83"/>
      <c r="R29" s="83"/>
      <c r="S29" s="83"/>
      <c r="T29" s="83"/>
      <c r="U29" s="83"/>
      <c r="V29" s="83"/>
      <c r="W29" s="83"/>
      <c r="X29" s="83"/>
      <c r="Y29" s="86">
        <v>11502</v>
      </c>
      <c r="Z29" s="86">
        <v>11502.000000000002</v>
      </c>
      <c r="AA29" s="86">
        <v>11502.000000000002</v>
      </c>
      <c r="AB29" s="86">
        <v>11502.000000000002</v>
      </c>
      <c r="AC29" s="86">
        <v>11502.000000000002</v>
      </c>
      <c r="AD29" s="86">
        <v>11502.000000000002</v>
      </c>
      <c r="AE29" s="86">
        <v>11502.000000000002</v>
      </c>
      <c r="AF29" s="86">
        <v>11502.000000000002</v>
      </c>
      <c r="AG29" s="86">
        <v>11502.000000000002</v>
      </c>
      <c r="AH29" s="86">
        <v>11502.000000000002</v>
      </c>
      <c r="AI29" s="86">
        <v>11502.000000000002</v>
      </c>
      <c r="AJ29" s="86">
        <v>11502.000000000002</v>
      </c>
      <c r="AK29" s="86">
        <v>11502.000000000002</v>
      </c>
      <c r="AL29" s="86">
        <v>11502.000000000002</v>
      </c>
      <c r="AM29" s="86">
        <v>11502.000000000002</v>
      </c>
      <c r="AN29" s="77"/>
      <c r="AO29" s="77"/>
      <c r="AP29" s="56"/>
      <c r="AQ29" s="56"/>
      <c r="AR29" s="56"/>
    </row>
    <row r="30" spans="1:44" x14ac:dyDescent="0.3">
      <c r="A30" s="134" t="s">
        <v>52</v>
      </c>
      <c r="B30" s="135"/>
      <c r="C30" s="136"/>
      <c r="D30" s="137" t="s">
        <v>18</v>
      </c>
      <c r="E30" s="88"/>
      <c r="F30" s="88"/>
      <c r="G30" s="88"/>
      <c r="H30" s="88"/>
      <c r="I30" s="88"/>
      <c r="J30" s="88"/>
      <c r="K30" s="88"/>
      <c r="L30" s="88"/>
      <c r="M30" s="88"/>
      <c r="N30" s="88"/>
      <c r="O30" s="88"/>
      <c r="P30" s="88"/>
      <c r="Q30" s="88"/>
      <c r="R30" s="88"/>
      <c r="S30" s="88"/>
      <c r="T30" s="88"/>
      <c r="U30" s="88"/>
      <c r="V30" s="88"/>
      <c r="W30" s="88"/>
      <c r="X30" s="88"/>
      <c r="Y30" s="88">
        <v>3245.94</v>
      </c>
      <c r="Z30" s="88">
        <f>Y30-Z31+(Z57-Z98-Z101)*1000</f>
        <v>3358.3049839286928</v>
      </c>
      <c r="AA30" s="88">
        <f t="shared" ref="AA30:AM30" si="15">Z30-AA31+(AA57-AA98-AA101)*1000</f>
        <v>5787.8171790506385</v>
      </c>
      <c r="AB30" s="88">
        <f t="shared" si="15"/>
        <v>5803.4684586343747</v>
      </c>
      <c r="AC30" s="88">
        <f t="shared" si="15"/>
        <v>7194.3760723584774</v>
      </c>
      <c r="AD30" s="88">
        <f t="shared" si="15"/>
        <v>3194.3760723584774</v>
      </c>
      <c r="AE30" s="88">
        <f t="shared" si="15"/>
        <v>-21025.623927641522</v>
      </c>
      <c r="AF30" s="88">
        <f t="shared" si="15"/>
        <v>-14275.623927641529</v>
      </c>
      <c r="AG30" s="88">
        <f t="shared" si="15"/>
        <v>-31225.623927641525</v>
      </c>
      <c r="AH30" s="88">
        <f t="shared" si="15"/>
        <v>-60825.623927641529</v>
      </c>
      <c r="AI30" s="88">
        <f t="shared" si="15"/>
        <v>-69386.599537397633</v>
      </c>
      <c r="AJ30" s="88">
        <f t="shared" si="15"/>
        <v>-76825.623927641529</v>
      </c>
      <c r="AK30" s="88">
        <f t="shared" si="15"/>
        <v>-84264.648317885425</v>
      </c>
      <c r="AL30" s="88">
        <f t="shared" si="15"/>
        <v>-95735.38002520251</v>
      </c>
      <c r="AM30" s="88">
        <f t="shared" si="15"/>
        <v>-103174.40441544641</v>
      </c>
      <c r="AN30" s="77"/>
      <c r="AO30" s="77"/>
      <c r="AP30" s="56"/>
      <c r="AQ30" s="56"/>
      <c r="AR30" s="56"/>
    </row>
    <row r="31" spans="1:44" x14ac:dyDescent="0.3">
      <c r="A31" s="134" t="s">
        <v>53</v>
      </c>
      <c r="B31" s="135"/>
      <c r="C31" s="136"/>
      <c r="D31" s="137"/>
      <c r="E31" s="88"/>
      <c r="F31" s="88"/>
      <c r="G31" s="88"/>
      <c r="H31" s="88"/>
      <c r="I31" s="88"/>
      <c r="J31" s="88"/>
      <c r="K31" s="88"/>
      <c r="L31" s="88"/>
      <c r="M31" s="88"/>
      <c r="N31" s="88"/>
      <c r="O31" s="88"/>
      <c r="P31" s="88"/>
      <c r="Q31" s="88"/>
      <c r="R31" s="88"/>
      <c r="S31" s="88"/>
      <c r="T31" s="88"/>
      <c r="U31" s="88"/>
      <c r="V31" s="88"/>
      <c r="W31" s="88"/>
      <c r="X31" s="88"/>
      <c r="Y31" s="88"/>
      <c r="Z31" s="88">
        <v>1000</v>
      </c>
      <c r="AA31" s="88">
        <v>6000</v>
      </c>
      <c r="AB31" s="88">
        <v>7000</v>
      </c>
      <c r="AC31" s="88">
        <v>5000</v>
      </c>
      <c r="AD31" s="88">
        <v>10000</v>
      </c>
      <c r="AE31" s="88">
        <v>1000</v>
      </c>
      <c r="AF31" s="88">
        <v>1000</v>
      </c>
      <c r="AG31" s="88">
        <v>15000</v>
      </c>
      <c r="AH31" s="88">
        <v>15000</v>
      </c>
      <c r="AI31" s="88">
        <v>15000</v>
      </c>
      <c r="AJ31" s="88">
        <v>15000</v>
      </c>
      <c r="AK31" s="88">
        <v>15000</v>
      </c>
      <c r="AL31" s="88">
        <v>15000</v>
      </c>
      <c r="AM31" s="88">
        <v>15000</v>
      </c>
      <c r="AN31" s="77"/>
      <c r="AO31" s="77"/>
      <c r="AP31" s="56"/>
      <c r="AQ31" s="56"/>
      <c r="AR31" s="56"/>
    </row>
    <row r="32" spans="1:44" ht="14.5" thickBot="1" x14ac:dyDescent="0.35">
      <c r="A32" s="138" t="s">
        <v>54</v>
      </c>
      <c r="B32" s="139"/>
      <c r="C32" s="140"/>
      <c r="D32" s="141" t="s">
        <v>34</v>
      </c>
      <c r="E32" s="90"/>
      <c r="F32" s="90"/>
      <c r="G32" s="90"/>
      <c r="H32" s="91"/>
      <c r="I32" s="91"/>
      <c r="J32" s="91"/>
      <c r="K32" s="91"/>
      <c r="L32" s="91"/>
      <c r="M32" s="91"/>
      <c r="N32" s="91"/>
      <c r="O32" s="91"/>
      <c r="P32" s="91"/>
      <c r="Q32" s="91"/>
      <c r="R32" s="91"/>
      <c r="S32" s="91"/>
      <c r="T32" s="91"/>
      <c r="U32" s="91"/>
      <c r="V32" s="91"/>
      <c r="W32" s="91"/>
      <c r="X32" s="91"/>
      <c r="Y32" s="91"/>
      <c r="Z32" s="121">
        <f t="shared" ref="Z32:AJ32" si="16">Z30/Z29</f>
        <v>0.29197574195172077</v>
      </c>
      <c r="AA32" s="121">
        <f t="shared" si="16"/>
        <v>0.50320093714576919</v>
      </c>
      <c r="AB32" s="121">
        <f t="shared" si="16"/>
        <v>0.50456168132797541</v>
      </c>
      <c r="AC32" s="121">
        <f t="shared" si="16"/>
        <v>0.62548913861576039</v>
      </c>
      <c r="AD32" s="121">
        <f t="shared" si="16"/>
        <v>0.27772353263419203</v>
      </c>
      <c r="AE32" s="121">
        <f t="shared" si="16"/>
        <v>-1.8279972115842043</v>
      </c>
      <c r="AF32" s="121">
        <f t="shared" si="16"/>
        <v>-1.2411427514903084</v>
      </c>
      <c r="AG32" s="121">
        <f t="shared" si="16"/>
        <v>-2.7147995068372039</v>
      </c>
      <c r="AH32" s="121">
        <f t="shared" si="16"/>
        <v>-5.2882649911008102</v>
      </c>
      <c r="AI32" s="121">
        <f t="shared" si="16"/>
        <v>-6.0325682087808747</v>
      </c>
      <c r="AJ32" s="121">
        <f t="shared" si="16"/>
        <v>-6.6793274150270836</v>
      </c>
      <c r="AK32" s="121">
        <f>AK30/AK29</f>
        <v>-7.3260866212732925</v>
      </c>
      <c r="AL32" s="121">
        <f>AL30/AL29</f>
        <v>-8.3233681120850722</v>
      </c>
      <c r="AM32" s="121">
        <f>AM30/AM29</f>
        <v>-8.9701273183312811</v>
      </c>
      <c r="AN32" s="77"/>
      <c r="AO32" s="77"/>
      <c r="AP32" s="56"/>
      <c r="AQ32" s="56"/>
      <c r="AR32" s="56"/>
    </row>
    <row r="33" spans="1:44" ht="15.5" thickBot="1" x14ac:dyDescent="0.35">
      <c r="A33" s="124" t="s">
        <v>55</v>
      </c>
      <c r="B33" s="125"/>
      <c r="C33" s="126"/>
      <c r="D33" s="127"/>
      <c r="E33" s="56"/>
      <c r="F33" s="56"/>
      <c r="G33" s="61">
        <v>43678</v>
      </c>
      <c r="H33" s="61">
        <v>43698</v>
      </c>
      <c r="I33" s="56"/>
      <c r="J33" s="56"/>
      <c r="K33" s="56"/>
      <c r="L33" s="62">
        <f t="shared" ref="L33:Q33" si="17">L37/1000</f>
        <v>0</v>
      </c>
      <c r="M33" s="62">
        <f t="shared" si="17"/>
        <v>0</v>
      </c>
      <c r="N33" s="62">
        <f t="shared" si="17"/>
        <v>0</v>
      </c>
      <c r="O33" s="62">
        <f t="shared" si="17"/>
        <v>0</v>
      </c>
      <c r="P33" s="62">
        <f t="shared" si="17"/>
        <v>0</v>
      </c>
      <c r="Q33" s="62">
        <f t="shared" si="17"/>
        <v>0</v>
      </c>
      <c r="R33" s="62"/>
      <c r="S33" s="62"/>
      <c r="T33" s="62"/>
      <c r="U33" s="62"/>
      <c r="V33" s="62"/>
      <c r="W33" s="62"/>
      <c r="X33" s="62"/>
      <c r="Y33" s="62"/>
      <c r="Z33" s="62"/>
      <c r="AA33" s="62"/>
      <c r="AB33" s="62"/>
      <c r="AC33" s="62"/>
      <c r="AD33" s="62"/>
      <c r="AE33" s="62"/>
      <c r="AF33" s="62"/>
      <c r="AG33" s="62"/>
      <c r="AH33" s="62"/>
      <c r="AI33" s="62"/>
      <c r="AJ33" s="62"/>
      <c r="AK33" s="62"/>
      <c r="AL33" s="62"/>
      <c r="AM33" s="62"/>
      <c r="AN33" s="77"/>
      <c r="AO33" s="77"/>
      <c r="AP33" s="56"/>
      <c r="AQ33" s="56"/>
      <c r="AR33" s="56"/>
    </row>
    <row r="34" spans="1:44" s="70" customFormat="1" ht="14.5" thickBot="1" x14ac:dyDescent="0.35">
      <c r="A34" s="433" t="s">
        <v>29</v>
      </c>
      <c r="B34" s="434"/>
      <c r="C34" s="128"/>
      <c r="D34" s="129"/>
      <c r="E34" s="123">
        <v>43587</v>
      </c>
      <c r="F34" s="65">
        <v>43618</v>
      </c>
      <c r="G34" s="65">
        <v>43648</v>
      </c>
      <c r="H34" s="65">
        <v>43679</v>
      </c>
      <c r="I34" s="66">
        <v>43710</v>
      </c>
      <c r="J34" s="66">
        <v>43740</v>
      </c>
      <c r="K34" s="65">
        <v>43771</v>
      </c>
      <c r="L34" s="67">
        <v>43801</v>
      </c>
      <c r="M34" s="66">
        <v>43832</v>
      </c>
      <c r="N34" s="66">
        <v>43863</v>
      </c>
      <c r="O34" s="65">
        <v>43892</v>
      </c>
      <c r="P34" s="65">
        <v>43923</v>
      </c>
      <c r="Q34" s="65">
        <v>43953</v>
      </c>
      <c r="R34" s="66">
        <v>43984</v>
      </c>
      <c r="S34" s="66">
        <v>44014</v>
      </c>
      <c r="T34" s="66">
        <v>44045</v>
      </c>
      <c r="U34" s="66">
        <v>44076</v>
      </c>
      <c r="V34" s="66">
        <v>44106</v>
      </c>
      <c r="W34" s="66">
        <v>44137</v>
      </c>
      <c r="X34" s="66">
        <v>44167</v>
      </c>
      <c r="Y34" s="66">
        <v>44198</v>
      </c>
      <c r="Z34" s="66">
        <f t="shared" ref="Z34:AM34" si="18">Z3</f>
        <v>44229</v>
      </c>
      <c r="AA34" s="66">
        <f t="shared" si="18"/>
        <v>44257</v>
      </c>
      <c r="AB34" s="66">
        <f t="shared" si="18"/>
        <v>44288</v>
      </c>
      <c r="AC34" s="66">
        <f t="shared" si="18"/>
        <v>44318</v>
      </c>
      <c r="AD34" s="66">
        <f t="shared" si="18"/>
        <v>44349</v>
      </c>
      <c r="AE34" s="66">
        <f t="shared" si="18"/>
        <v>44379</v>
      </c>
      <c r="AF34" s="66">
        <f t="shared" si="18"/>
        <v>44410</v>
      </c>
      <c r="AG34" s="66">
        <f t="shared" si="18"/>
        <v>44441</v>
      </c>
      <c r="AH34" s="66">
        <f t="shared" si="18"/>
        <v>44471</v>
      </c>
      <c r="AI34" s="66">
        <f t="shared" si="18"/>
        <v>44502</v>
      </c>
      <c r="AJ34" s="66">
        <f t="shared" si="18"/>
        <v>44532</v>
      </c>
      <c r="AK34" s="66">
        <f t="shared" si="18"/>
        <v>44563</v>
      </c>
      <c r="AL34" s="66">
        <f t="shared" si="18"/>
        <v>44594</v>
      </c>
      <c r="AM34" s="66">
        <f t="shared" si="18"/>
        <v>44622</v>
      </c>
      <c r="AN34" s="56"/>
      <c r="AO34" s="114"/>
      <c r="AP34" s="69"/>
      <c r="AQ34" s="69"/>
      <c r="AR34" s="69"/>
    </row>
    <row r="35" spans="1:44" x14ac:dyDescent="0.3">
      <c r="A35" s="130" t="s">
        <v>30</v>
      </c>
      <c r="B35" s="131"/>
      <c r="C35" s="132"/>
      <c r="D35" s="133"/>
      <c r="E35" s="75"/>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7"/>
      <c r="AO35" s="77"/>
      <c r="AP35" s="56"/>
      <c r="AQ35" s="56"/>
      <c r="AR35" s="56"/>
    </row>
    <row r="36" spans="1:44" x14ac:dyDescent="0.3">
      <c r="A36" s="134" t="s">
        <v>56</v>
      </c>
      <c r="B36" s="135"/>
      <c r="C36" s="136"/>
      <c r="D36" s="137" t="s">
        <v>18</v>
      </c>
      <c r="E36" s="83"/>
      <c r="F36" s="83"/>
      <c r="G36" s="83"/>
      <c r="H36" s="84"/>
      <c r="I36" s="83"/>
      <c r="J36" s="84"/>
      <c r="K36" s="83"/>
      <c r="L36" s="83"/>
      <c r="M36" s="83"/>
      <c r="N36" s="83"/>
      <c r="O36" s="83"/>
      <c r="P36" s="83"/>
      <c r="Q36" s="83"/>
      <c r="R36" s="83"/>
      <c r="S36" s="83"/>
      <c r="T36" s="83"/>
      <c r="U36" s="83"/>
      <c r="V36" s="83"/>
      <c r="W36" s="83"/>
      <c r="X36" s="83"/>
      <c r="Y36" s="83">
        <v>27302.400000000005</v>
      </c>
      <c r="Z36" s="85">
        <v>23468.400000000005</v>
      </c>
      <c r="AA36" s="85">
        <v>21319.200000000004</v>
      </c>
      <c r="AB36" s="85">
        <v>21319.200000000004</v>
      </c>
      <c r="AC36" s="85">
        <v>21319.200000000004</v>
      </c>
      <c r="AD36" s="85">
        <v>21319.200000000004</v>
      </c>
      <c r="AE36" s="86">
        <v>25153.200000000004</v>
      </c>
      <c r="AF36" s="86">
        <v>25153.200000000004</v>
      </c>
      <c r="AG36" s="86">
        <v>25153.200000000004</v>
      </c>
      <c r="AH36" s="85">
        <v>21319.200000000004</v>
      </c>
      <c r="AI36" s="85">
        <v>21319.200000000004</v>
      </c>
      <c r="AJ36" s="86">
        <v>25153.200000000004</v>
      </c>
      <c r="AK36" s="86">
        <v>25153.200000000004</v>
      </c>
      <c r="AL36" s="86">
        <v>25153.200000000004</v>
      </c>
      <c r="AM36" s="86">
        <v>25153.200000000004</v>
      </c>
      <c r="AN36" s="77"/>
      <c r="AO36" s="77"/>
      <c r="AP36" s="56"/>
      <c r="AQ36" s="56"/>
      <c r="AR36" s="56"/>
    </row>
    <row r="37" spans="1:44" x14ac:dyDescent="0.3">
      <c r="A37" s="134" t="s">
        <v>57</v>
      </c>
      <c r="B37" s="135"/>
      <c r="C37" s="136"/>
      <c r="D37" s="137" t="s">
        <v>18</v>
      </c>
      <c r="E37" s="88"/>
      <c r="F37" s="88"/>
      <c r="G37" s="88"/>
      <c r="H37" s="88"/>
      <c r="I37" s="88"/>
      <c r="J37" s="88"/>
      <c r="K37" s="88"/>
      <c r="L37" s="88"/>
      <c r="M37" s="88"/>
      <c r="N37" s="88"/>
      <c r="O37" s="88"/>
      <c r="P37" s="88"/>
      <c r="Q37" s="88"/>
      <c r="R37" s="88"/>
      <c r="S37" s="88"/>
      <c r="T37" s="88"/>
      <c r="U37" s="88"/>
      <c r="V37" s="88"/>
      <c r="W37" s="88"/>
      <c r="X37" s="88"/>
      <c r="Y37" s="88">
        <v>12482.64</v>
      </c>
      <c r="Z37" s="88">
        <f>Y37+Z17+Z31+((Z58+Z61+Z8-Z9+Z10-Z106-Z107-Z108-Z109-Z110-Z111-Z112-Z113-Z114-Z115-Z116-Z117-Z118-Z119-Z120-Z121-Z122-Z123-Z124-Z125-Z126-Z127-Z128-Z129-Z130-Z131-Z135-Z136-Z137-Z138-Z139-Z140-Z141-Z142-Z143-Z144-Z145-Z146-Z147-Z148-Z149-Z150-Z151)*1000)</f>
        <v>22121.533821546196</v>
      </c>
      <c r="AA37" s="88">
        <f t="shared" ref="AA37:AM37" si="19">Z37+AA17+AA31+((AA58+AA61+AA8-AA9+AA10-AA106-AA107-AA108-AA109-AA110-AA111-AA112-AA113-AA114-AA115-AA116-AA117-AA118-AA119-AA120-AA121-AA122-AA123-AA124-AA125-AA126-AA127-AA128-AA129-AA130-AA131-AA135-AA136-AA137-AA138-AA139-AA140-AA141-AA142-AA143-AA144-AA145-AA146-AA147-AA148-AA149-AA150-AA151)*1000)</f>
        <v>12731.039461772551</v>
      </c>
      <c r="AB37" s="88">
        <f t="shared" si="19"/>
        <v>10849.389305731171</v>
      </c>
      <c r="AC37" s="88">
        <f t="shared" si="19"/>
        <v>8873.3207017870936</v>
      </c>
      <c r="AD37" s="88">
        <f t="shared" si="19"/>
        <v>9045.6567751470793</v>
      </c>
      <c r="AE37" s="88">
        <f t="shared" si="19"/>
        <v>34383.059365147084</v>
      </c>
      <c r="AF37" s="88">
        <f t="shared" si="19"/>
        <v>25246.414325147092</v>
      </c>
      <c r="AG37" s="88">
        <f t="shared" si="19"/>
        <v>40352.959785147068</v>
      </c>
      <c r="AH37" s="88">
        <f t="shared" si="19"/>
        <v>57690.343262391929</v>
      </c>
      <c r="AI37" s="88">
        <f t="shared" si="19"/>
        <v>59425.980403908965</v>
      </c>
      <c r="AJ37" s="88">
        <f t="shared" si="19"/>
        <v>67726.370180162601</v>
      </c>
      <c r="AK37" s="88">
        <f t="shared" si="19"/>
        <v>70738.432466416241</v>
      </c>
      <c r="AL37" s="88">
        <f t="shared" si="19"/>
        <v>83259.781471419556</v>
      </c>
      <c r="AM37" s="88">
        <f t="shared" si="19"/>
        <v>110819.0830976732</v>
      </c>
      <c r="AN37" s="77"/>
      <c r="AO37" s="77"/>
      <c r="AP37" s="56"/>
      <c r="AQ37" s="56"/>
      <c r="AR37" s="56"/>
    </row>
    <row r="38" spans="1:44" ht="14.5" thickBot="1" x14ac:dyDescent="0.35">
      <c r="A38" s="138" t="s">
        <v>58</v>
      </c>
      <c r="B38" s="139"/>
      <c r="C38" s="140"/>
      <c r="D38" s="141" t="s">
        <v>34</v>
      </c>
      <c r="E38" s="90"/>
      <c r="F38" s="90"/>
      <c r="G38" s="90"/>
      <c r="H38" s="91"/>
      <c r="I38" s="91"/>
      <c r="J38" s="91"/>
      <c r="K38" s="91"/>
      <c r="L38" s="91"/>
      <c r="M38" s="91"/>
      <c r="N38" s="91"/>
      <c r="O38" s="91"/>
      <c r="P38" s="91"/>
      <c r="Q38" s="91"/>
      <c r="R38" s="91"/>
      <c r="S38" s="91"/>
      <c r="T38" s="91"/>
      <c r="U38" s="91"/>
      <c r="V38" s="91"/>
      <c r="W38" s="91"/>
      <c r="X38" s="91"/>
      <c r="Y38" s="91"/>
      <c r="Z38" s="120">
        <f t="shared" ref="Z38:AJ38" si="20">Z37/Z36</f>
        <v>0.94260937352125374</v>
      </c>
      <c r="AA38" s="120">
        <f t="shared" si="20"/>
        <v>0.59716309532123846</v>
      </c>
      <c r="AB38" s="120">
        <f t="shared" si="20"/>
        <v>0.50890227146099143</v>
      </c>
      <c r="AC38" s="120">
        <f t="shared" si="20"/>
        <v>0.4162126487760841</v>
      </c>
      <c r="AD38" s="120">
        <f t="shared" si="20"/>
        <v>0.42429625760568301</v>
      </c>
      <c r="AE38" s="120">
        <f t="shared" si="20"/>
        <v>1.3669457311653022</v>
      </c>
      <c r="AF38" s="120">
        <f t="shared" si="20"/>
        <v>1.0037058634745117</v>
      </c>
      <c r="AG38" s="120">
        <f t="shared" si="20"/>
        <v>1.6042873187167859</v>
      </c>
      <c r="AH38" s="120">
        <f t="shared" si="20"/>
        <v>2.7060275836988215</v>
      </c>
      <c r="AI38" s="120">
        <f t="shared" si="20"/>
        <v>2.7874395101086793</v>
      </c>
      <c r="AJ38" s="120">
        <f t="shared" si="20"/>
        <v>2.6925548312009044</v>
      </c>
      <c r="AK38" s="120">
        <f>AK37/AK36</f>
        <v>2.8123035027915426</v>
      </c>
      <c r="AL38" s="120">
        <f>AL37/AL36</f>
        <v>3.3101069236287843</v>
      </c>
      <c r="AM38" s="120">
        <f>AM37/AM36</f>
        <v>4.4057647972295051</v>
      </c>
      <c r="AN38" s="77"/>
      <c r="AO38" s="77"/>
      <c r="AP38" s="56"/>
      <c r="AQ38" s="56"/>
      <c r="AR38" s="56"/>
    </row>
    <row r="39" spans="1:44" s="56" customFormat="1" ht="22" x14ac:dyDescent="0.4">
      <c r="A39" s="59" t="s">
        <v>59</v>
      </c>
      <c r="B39" s="55"/>
    </row>
    <row r="40" spans="1:44" s="56" customFormat="1" ht="14.5" thickBot="1" x14ac:dyDescent="0.35">
      <c r="A40" s="142" t="s">
        <v>60</v>
      </c>
      <c r="B40" s="55"/>
    </row>
    <row r="41" spans="1:44" s="70" customFormat="1" ht="14.5" thickBot="1" x14ac:dyDescent="0.35">
      <c r="A41" s="426" t="s">
        <v>29</v>
      </c>
      <c r="B41" s="427"/>
      <c r="C41" s="427" t="s">
        <v>61</v>
      </c>
      <c r="D41" s="432"/>
      <c r="E41" s="65">
        <f t="shared" ref="E41:AM41" si="21">E3</f>
        <v>43587</v>
      </c>
      <c r="F41" s="65">
        <f t="shared" si="21"/>
        <v>43618</v>
      </c>
      <c r="G41" s="65">
        <f t="shared" si="21"/>
        <v>43648</v>
      </c>
      <c r="H41" s="65">
        <f t="shared" si="21"/>
        <v>43679</v>
      </c>
      <c r="I41" s="65">
        <f t="shared" si="21"/>
        <v>43710</v>
      </c>
      <c r="J41" s="65">
        <f t="shared" si="21"/>
        <v>43740</v>
      </c>
      <c r="K41" s="65">
        <f t="shared" si="21"/>
        <v>43771</v>
      </c>
      <c r="L41" s="65">
        <f t="shared" si="21"/>
        <v>43801</v>
      </c>
      <c r="M41" s="65">
        <f t="shared" si="21"/>
        <v>43832</v>
      </c>
      <c r="N41" s="65">
        <f t="shared" si="21"/>
        <v>43863</v>
      </c>
      <c r="O41" s="65">
        <f t="shared" si="21"/>
        <v>43892</v>
      </c>
      <c r="P41" s="65">
        <f t="shared" si="21"/>
        <v>43923</v>
      </c>
      <c r="Q41" s="65">
        <f t="shared" si="21"/>
        <v>43953</v>
      </c>
      <c r="R41" s="65">
        <f t="shared" si="21"/>
        <v>43984</v>
      </c>
      <c r="S41" s="65">
        <f t="shared" si="21"/>
        <v>44014</v>
      </c>
      <c r="T41" s="65">
        <f t="shared" si="21"/>
        <v>44045</v>
      </c>
      <c r="U41" s="65">
        <f t="shared" si="21"/>
        <v>44076</v>
      </c>
      <c r="V41" s="65">
        <f t="shared" si="21"/>
        <v>44106</v>
      </c>
      <c r="W41" s="65">
        <f t="shared" si="21"/>
        <v>44137</v>
      </c>
      <c r="X41" s="65">
        <f t="shared" si="21"/>
        <v>44167</v>
      </c>
      <c r="Y41" s="65">
        <f t="shared" si="21"/>
        <v>44198</v>
      </c>
      <c r="Z41" s="65">
        <f t="shared" si="21"/>
        <v>44229</v>
      </c>
      <c r="AA41" s="65">
        <f t="shared" si="21"/>
        <v>44257</v>
      </c>
      <c r="AB41" s="65">
        <f t="shared" si="21"/>
        <v>44288</v>
      </c>
      <c r="AC41" s="65">
        <f t="shared" si="21"/>
        <v>44318</v>
      </c>
      <c r="AD41" s="65">
        <f t="shared" si="21"/>
        <v>44349</v>
      </c>
      <c r="AE41" s="65">
        <f t="shared" si="21"/>
        <v>44379</v>
      </c>
      <c r="AF41" s="65">
        <f t="shared" si="21"/>
        <v>44410</v>
      </c>
      <c r="AG41" s="65">
        <f t="shared" si="21"/>
        <v>44441</v>
      </c>
      <c r="AH41" s="65">
        <f t="shared" si="21"/>
        <v>44471</v>
      </c>
      <c r="AI41" s="65">
        <f t="shared" si="21"/>
        <v>44502</v>
      </c>
      <c r="AJ41" s="65">
        <f t="shared" si="21"/>
        <v>44532</v>
      </c>
      <c r="AK41" s="65">
        <f t="shared" si="21"/>
        <v>44563</v>
      </c>
      <c r="AL41" s="65">
        <f t="shared" si="21"/>
        <v>44594</v>
      </c>
      <c r="AM41" s="65">
        <f t="shared" si="21"/>
        <v>44622</v>
      </c>
      <c r="AN41" s="114"/>
      <c r="AO41" s="69"/>
      <c r="AP41" s="69"/>
      <c r="AQ41" s="69"/>
      <c r="AR41" s="69"/>
    </row>
    <row r="42" spans="1:44" s="70" customFormat="1" x14ac:dyDescent="0.3">
      <c r="A42" s="143" t="s">
        <v>62</v>
      </c>
      <c r="B42" s="144"/>
      <c r="C42" s="421" t="s">
        <v>63</v>
      </c>
      <c r="D42" s="422"/>
      <c r="E42" s="145"/>
      <c r="F42" s="145"/>
      <c r="G42" s="145"/>
      <c r="H42" s="145"/>
      <c r="I42" s="145"/>
      <c r="J42" s="145"/>
      <c r="K42" s="145"/>
      <c r="L42" s="145"/>
      <c r="M42" s="145"/>
      <c r="N42" s="145"/>
      <c r="O42" s="145"/>
      <c r="P42" s="145"/>
      <c r="Q42" s="146"/>
      <c r="R42" s="147">
        <v>70.534090909090878</v>
      </c>
      <c r="S42" s="147">
        <v>73.725999999999999</v>
      </c>
      <c r="T42" s="147">
        <v>79.739999999999995</v>
      </c>
      <c r="U42" s="147">
        <v>75.221000000000004</v>
      </c>
      <c r="V42" s="147">
        <v>84.823999999999998</v>
      </c>
      <c r="W42" s="147">
        <v>81.861999999999995</v>
      </c>
      <c r="X42" s="147">
        <v>79.42</v>
      </c>
      <c r="Y42" s="147">
        <v>93.733999999999995</v>
      </c>
      <c r="Z42" s="147">
        <v>82.968179950302002</v>
      </c>
      <c r="AA42" s="147">
        <v>96.633323189846323</v>
      </c>
      <c r="AB42" s="147">
        <v>91.415467849223944</v>
      </c>
      <c r="AC42" s="147">
        <v>96.967999999999989</v>
      </c>
      <c r="AD42" s="147">
        <v>93.84</v>
      </c>
      <c r="AE42" s="147">
        <v>52.04</v>
      </c>
      <c r="AF42" s="147">
        <v>96.967999999999989</v>
      </c>
      <c r="AG42" s="147">
        <v>89.78</v>
      </c>
      <c r="AH42" s="147">
        <v>81.177135492859605</v>
      </c>
      <c r="AI42" s="147">
        <v>91.300979177816885</v>
      </c>
      <c r="AJ42" s="147">
        <v>93.423408840295295</v>
      </c>
      <c r="AK42" s="147">
        <v>93.423408840295295</v>
      </c>
      <c r="AL42" s="147">
        <v>84.382433791234462</v>
      </c>
      <c r="AM42" s="147">
        <v>84.382433791234462</v>
      </c>
      <c r="AN42" s="114"/>
      <c r="AO42" s="69"/>
      <c r="AP42" s="69"/>
      <c r="AQ42" s="69"/>
      <c r="AR42" s="69"/>
    </row>
    <row r="43" spans="1:44" s="70" customFormat="1" x14ac:dyDescent="0.3">
      <c r="A43" s="148" t="s">
        <v>64</v>
      </c>
      <c r="B43" s="149"/>
      <c r="C43" s="414" t="s">
        <v>63</v>
      </c>
      <c r="D43" s="423"/>
      <c r="E43" s="145"/>
      <c r="F43" s="145"/>
      <c r="G43" s="145"/>
      <c r="H43" s="145"/>
      <c r="I43" s="145"/>
      <c r="J43" s="145"/>
      <c r="K43" s="145"/>
      <c r="L43" s="145"/>
      <c r="M43" s="145"/>
      <c r="N43" s="145"/>
      <c r="O43" s="145"/>
      <c r="P43" s="145"/>
      <c r="Q43" s="146"/>
      <c r="R43" s="147">
        <v>169.55890909090911</v>
      </c>
      <c r="S43" s="147">
        <f>S46-S42</f>
        <v>177.61747858181801</v>
      </c>
      <c r="T43" s="147">
        <v>191.2</v>
      </c>
      <c r="U43" s="147">
        <v>200.779</v>
      </c>
      <c r="V43" s="147">
        <v>203.572</v>
      </c>
      <c r="W43" s="147">
        <v>170.31</v>
      </c>
      <c r="X43" s="147">
        <v>158.72500000000002</v>
      </c>
      <c r="Y43" s="147">
        <v>183.55100000000004</v>
      </c>
      <c r="Z43" s="147">
        <v>163.03182004969801</v>
      </c>
      <c r="AA43" s="147">
        <v>188.8815558949461</v>
      </c>
      <c r="AB43" s="147">
        <v>179.3866003723158</v>
      </c>
      <c r="AC43" s="147">
        <v>186.06787980447197</v>
      </c>
      <c r="AD43" s="147">
        <v>183.39645893118964</v>
      </c>
      <c r="AE43" s="147">
        <v>163.79000000000002</v>
      </c>
      <c r="AF43" s="147">
        <v>197.53200000000001</v>
      </c>
      <c r="AG43" s="147">
        <v>182.17000000000004</v>
      </c>
      <c r="AH43" s="147">
        <v>174.16765290839433</v>
      </c>
      <c r="AI43" s="147">
        <v>188.93358195070971</v>
      </c>
      <c r="AJ43" s="147">
        <v>197.52228081487721</v>
      </c>
      <c r="AK43" s="147">
        <v>197.52228081487721</v>
      </c>
      <c r="AL43" s="147">
        <v>178.4072213811794</v>
      </c>
      <c r="AM43" s="147">
        <v>178.4072213811794</v>
      </c>
      <c r="AN43" s="114"/>
      <c r="AO43" s="69"/>
      <c r="AP43" s="69"/>
      <c r="AQ43" s="69"/>
      <c r="AR43" s="69"/>
    </row>
    <row r="44" spans="1:44" s="70" customFormat="1" x14ac:dyDescent="0.3">
      <c r="A44" s="150" t="s">
        <v>65</v>
      </c>
      <c r="B44" s="149"/>
      <c r="C44" s="414" t="s">
        <v>63</v>
      </c>
      <c r="D44" s="423"/>
      <c r="E44" s="145"/>
      <c r="F44" s="145"/>
      <c r="G44" s="145"/>
      <c r="H44" s="145"/>
      <c r="I44" s="145"/>
      <c r="J44" s="145"/>
      <c r="K44" s="145"/>
      <c r="L44" s="145"/>
      <c r="M44" s="145"/>
      <c r="N44" s="145"/>
      <c r="O44" s="145"/>
      <c r="P44" s="145"/>
      <c r="Q44" s="146"/>
      <c r="R44" s="147"/>
      <c r="S44" s="147"/>
      <c r="T44" s="147"/>
      <c r="U44" s="147"/>
      <c r="V44" s="147"/>
      <c r="W44" s="147"/>
      <c r="X44" s="147"/>
      <c r="Y44" s="147"/>
      <c r="Z44" s="147"/>
      <c r="AA44" s="147">
        <v>46.344512195121951</v>
      </c>
      <c r="AB44" s="147">
        <v>41.112195121951217</v>
      </c>
      <c r="AC44" s="147">
        <v>40.299999999999997</v>
      </c>
      <c r="AD44" s="147">
        <v>41.4</v>
      </c>
      <c r="AE44" s="147">
        <v>42.78</v>
      </c>
      <c r="AF44" s="147">
        <v>41.849999999999994</v>
      </c>
      <c r="AG44" s="147">
        <v>31.050000000000004</v>
      </c>
      <c r="AH44" s="147">
        <v>19.5</v>
      </c>
      <c r="AI44" s="147">
        <v>39.439024390243901</v>
      </c>
      <c r="AJ44" s="147">
        <v>41.6609756097561</v>
      </c>
      <c r="AK44" s="147">
        <v>41.6609756097561</v>
      </c>
      <c r="AL44" s="147">
        <v>37.629268292682923</v>
      </c>
      <c r="AM44" s="147">
        <v>37.629268292682923</v>
      </c>
      <c r="AN44" s="114"/>
      <c r="AO44" s="69"/>
      <c r="AP44" s="69"/>
      <c r="AQ44" s="69"/>
      <c r="AR44" s="69"/>
    </row>
    <row r="45" spans="1:44" s="70" customFormat="1" x14ac:dyDescent="0.3">
      <c r="A45" s="150" t="s">
        <v>66</v>
      </c>
      <c r="B45" s="149"/>
      <c r="C45" s="414" t="s">
        <v>63</v>
      </c>
      <c r="D45" s="423"/>
      <c r="E45" s="145"/>
      <c r="F45" s="145"/>
      <c r="G45" s="145"/>
      <c r="H45" s="145"/>
      <c r="I45" s="145"/>
      <c r="J45" s="145"/>
      <c r="K45" s="145"/>
      <c r="L45" s="145"/>
      <c r="M45" s="145"/>
      <c r="N45" s="145"/>
      <c r="O45" s="145"/>
      <c r="P45" s="145"/>
      <c r="Q45" s="146"/>
      <c r="R45" s="147"/>
      <c r="S45" s="147"/>
      <c r="T45" s="147"/>
      <c r="U45" s="147"/>
      <c r="V45" s="147"/>
      <c r="W45" s="147"/>
      <c r="X45" s="147"/>
      <c r="Y45" s="147"/>
      <c r="Z45" s="147"/>
      <c r="AA45" s="147">
        <v>142.53704369982415</v>
      </c>
      <c r="AB45" s="147">
        <v>138.27440525036457</v>
      </c>
      <c r="AC45" s="147">
        <v>145.76787980447199</v>
      </c>
      <c r="AD45" s="147">
        <v>141.99645893118961</v>
      </c>
      <c r="AE45" s="147">
        <v>121.01000000000002</v>
      </c>
      <c r="AF45" s="147">
        <v>155.68200000000002</v>
      </c>
      <c r="AG45" s="147">
        <v>151.12</v>
      </c>
      <c r="AH45" s="147">
        <v>154.6676529083943</v>
      </c>
      <c r="AI45" s="147">
        <v>149.49455756046578</v>
      </c>
      <c r="AJ45" s="147">
        <v>155.86130520512106</v>
      </c>
      <c r="AK45" s="147">
        <v>155.86130520512106</v>
      </c>
      <c r="AL45" s="147">
        <v>140.77795308849647</v>
      </c>
      <c r="AM45" s="147">
        <v>140.77795308849647</v>
      </c>
      <c r="AN45" s="114"/>
      <c r="AO45" s="69"/>
      <c r="AP45" s="69"/>
      <c r="AQ45" s="69"/>
      <c r="AR45" s="69"/>
    </row>
    <row r="46" spans="1:44" s="6" customFormat="1" x14ac:dyDescent="0.3">
      <c r="A46" s="148" t="s">
        <v>67</v>
      </c>
      <c r="B46" s="151"/>
      <c r="C46" s="414" t="s">
        <v>63</v>
      </c>
      <c r="D46" s="423"/>
      <c r="E46" s="152">
        <v>290.613</v>
      </c>
      <c r="F46" s="146">
        <v>302.52800000000002</v>
      </c>
      <c r="G46" s="146">
        <v>330.5</v>
      </c>
      <c r="H46" s="146">
        <v>317.95</v>
      </c>
      <c r="I46" s="146">
        <v>319.5</v>
      </c>
      <c r="J46" s="146">
        <v>314</v>
      </c>
      <c r="K46" s="146">
        <v>315</v>
      </c>
      <c r="L46" s="146">
        <v>310</v>
      </c>
      <c r="M46" s="146">
        <v>288</v>
      </c>
      <c r="N46" s="146">
        <v>270.45</v>
      </c>
      <c r="O46" s="146">
        <v>313.10000000000002</v>
      </c>
      <c r="P46" s="146">
        <v>291</v>
      </c>
      <c r="Q46" s="146">
        <v>225</v>
      </c>
      <c r="R46" s="147">
        <v>239.1825882138433</v>
      </c>
      <c r="S46" s="147">
        <v>251.343478581818</v>
      </c>
      <c r="T46" s="147">
        <v>270.94</v>
      </c>
      <c r="U46" s="147">
        <v>276</v>
      </c>
      <c r="V46" s="147">
        <v>288.39600000000002</v>
      </c>
      <c r="W46" s="147">
        <v>252.172</v>
      </c>
      <c r="X46" s="147">
        <v>238.14500000000001</v>
      </c>
      <c r="Y46" s="147">
        <v>277.28500000000003</v>
      </c>
      <c r="Z46" s="147">
        <v>246</v>
      </c>
      <c r="AA46" s="147">
        <v>285.51487908479243</v>
      </c>
      <c r="AB46" s="147">
        <v>270.80206822153974</v>
      </c>
      <c r="AC46" s="147">
        <v>283.03587980447196</v>
      </c>
      <c r="AD46" s="147">
        <v>277.23645893118965</v>
      </c>
      <c r="AE46" s="147">
        <v>215.83</v>
      </c>
      <c r="AF46" s="147">
        <v>294.5</v>
      </c>
      <c r="AG46" s="147">
        <v>271.95000000000005</v>
      </c>
      <c r="AH46" s="147">
        <v>255.34478840125394</v>
      </c>
      <c r="AI46" s="147">
        <v>280.23456112852659</v>
      </c>
      <c r="AJ46" s="147">
        <v>290.94568965517249</v>
      </c>
      <c r="AK46" s="147">
        <v>290.94568965517249</v>
      </c>
      <c r="AL46" s="147">
        <v>262.78965517241386</v>
      </c>
      <c r="AM46" s="147">
        <v>262.78965517241386</v>
      </c>
      <c r="AN46" s="77"/>
      <c r="AO46" s="56"/>
      <c r="AP46" s="56"/>
      <c r="AQ46" s="56"/>
      <c r="AR46" s="56"/>
    </row>
    <row r="47" spans="1:44" s="6" customFormat="1" x14ac:dyDescent="0.3">
      <c r="A47" s="148" t="s">
        <v>68</v>
      </c>
      <c r="B47" s="151"/>
      <c r="C47" s="413">
        <v>44207</v>
      </c>
      <c r="D47" s="424"/>
      <c r="E47" s="152"/>
      <c r="F47" s="146"/>
      <c r="G47" s="146"/>
      <c r="H47" s="146"/>
      <c r="I47" s="146"/>
      <c r="J47" s="146"/>
      <c r="K47" s="146"/>
      <c r="L47" s="146"/>
      <c r="M47" s="146"/>
      <c r="N47" s="146"/>
      <c r="O47" s="146">
        <v>0.68</v>
      </c>
      <c r="P47" s="146">
        <v>0.6</v>
      </c>
      <c r="Q47" s="146">
        <v>0.6</v>
      </c>
      <c r="R47" s="146">
        <v>0</v>
      </c>
      <c r="S47" s="146">
        <v>0.6</v>
      </c>
      <c r="T47" s="146">
        <v>1.2</v>
      </c>
      <c r="U47" s="146">
        <v>0.6</v>
      </c>
      <c r="V47" s="146">
        <v>0.6</v>
      </c>
      <c r="W47" s="146">
        <v>0</v>
      </c>
      <c r="X47" s="146">
        <v>0.6</v>
      </c>
      <c r="Y47" s="146">
        <v>1.2</v>
      </c>
      <c r="Z47" s="146">
        <v>2.4</v>
      </c>
      <c r="AA47" s="146">
        <v>1.2</v>
      </c>
      <c r="AB47" s="146">
        <v>1.2</v>
      </c>
      <c r="AC47" s="146">
        <v>1.2</v>
      </c>
      <c r="AD47" s="146">
        <v>1.2</v>
      </c>
      <c r="AE47" s="146">
        <v>1.2</v>
      </c>
      <c r="AF47" s="146">
        <v>1.2</v>
      </c>
      <c r="AG47" s="146">
        <v>1.2</v>
      </c>
      <c r="AH47" s="146">
        <v>1.2</v>
      </c>
      <c r="AI47" s="146">
        <v>1.2</v>
      </c>
      <c r="AJ47" s="146">
        <v>1.2</v>
      </c>
      <c r="AK47" s="146">
        <v>0</v>
      </c>
      <c r="AL47" s="146">
        <v>0</v>
      </c>
      <c r="AM47" s="146">
        <v>0</v>
      </c>
      <c r="AN47" s="77"/>
      <c r="AO47" s="56"/>
      <c r="AP47" s="56"/>
      <c r="AQ47" s="56"/>
      <c r="AR47" s="56"/>
    </row>
    <row r="48" spans="1:44" x14ac:dyDescent="0.3">
      <c r="A48" s="148" t="s">
        <v>14</v>
      </c>
      <c r="B48" s="151"/>
      <c r="C48" s="413">
        <v>44207</v>
      </c>
      <c r="D48" s="424"/>
      <c r="E48" s="153">
        <v>15.573</v>
      </c>
      <c r="F48" s="153">
        <v>19</v>
      </c>
      <c r="G48" s="153">
        <v>19</v>
      </c>
      <c r="H48" s="153">
        <v>25</v>
      </c>
      <c r="I48" s="153">
        <v>25</v>
      </c>
      <c r="J48" s="153">
        <v>25</v>
      </c>
      <c r="K48" s="153">
        <v>21</v>
      </c>
      <c r="L48" s="153">
        <v>23.5</v>
      </c>
      <c r="M48" s="153">
        <v>23</v>
      </c>
      <c r="N48" s="153">
        <v>16</v>
      </c>
      <c r="O48" s="153">
        <v>7</v>
      </c>
      <c r="P48" s="153">
        <v>14</v>
      </c>
      <c r="Q48" s="153">
        <v>6</v>
      </c>
      <c r="R48" s="153">
        <v>0</v>
      </c>
      <c r="S48" s="153">
        <v>8</v>
      </c>
      <c r="T48" s="153">
        <v>0</v>
      </c>
      <c r="U48" s="153">
        <v>3</v>
      </c>
      <c r="V48" s="153">
        <v>0</v>
      </c>
      <c r="W48" s="153">
        <v>11</v>
      </c>
      <c r="X48" s="153">
        <v>14</v>
      </c>
      <c r="Y48" s="153">
        <v>2.5</v>
      </c>
      <c r="Z48" s="153">
        <v>3</v>
      </c>
      <c r="AA48" s="153">
        <v>0</v>
      </c>
      <c r="AB48" s="153">
        <v>0</v>
      </c>
      <c r="AC48" s="153">
        <v>0</v>
      </c>
      <c r="AD48" s="153">
        <v>0</v>
      </c>
      <c r="AE48" s="153">
        <v>0</v>
      </c>
      <c r="AF48" s="153">
        <v>0</v>
      </c>
      <c r="AG48" s="153">
        <v>0</v>
      </c>
      <c r="AH48" s="153">
        <v>0</v>
      </c>
      <c r="AI48" s="153">
        <v>0</v>
      </c>
      <c r="AJ48" s="153">
        <v>0</v>
      </c>
      <c r="AK48" s="153">
        <v>0</v>
      </c>
      <c r="AL48" s="153">
        <v>0</v>
      </c>
      <c r="AM48" s="153">
        <v>0</v>
      </c>
      <c r="AN48" s="77"/>
      <c r="AO48" s="56"/>
      <c r="AP48" s="56"/>
      <c r="AQ48" s="56"/>
      <c r="AR48" s="56"/>
    </row>
    <row r="49" spans="1:44" x14ac:dyDescent="0.3">
      <c r="A49" s="148" t="s">
        <v>69</v>
      </c>
      <c r="B49" s="151"/>
      <c r="C49" s="413">
        <v>44207</v>
      </c>
      <c r="D49" s="424"/>
      <c r="E49" s="153">
        <v>8.4</v>
      </c>
      <c r="F49" s="153">
        <v>6.2</v>
      </c>
      <c r="G49" s="153">
        <v>6.1</v>
      </c>
      <c r="H49" s="153">
        <v>7.2</v>
      </c>
      <c r="I49" s="153">
        <v>6.7</v>
      </c>
      <c r="J49" s="153">
        <v>6.7</v>
      </c>
      <c r="K49" s="153">
        <v>0</v>
      </c>
      <c r="L49" s="153">
        <v>5.4</v>
      </c>
      <c r="M49" s="153">
        <v>7.2</v>
      </c>
      <c r="N49" s="153">
        <v>6.5</v>
      </c>
      <c r="O49" s="153">
        <v>6.4799999999999995</v>
      </c>
      <c r="P49" s="153">
        <v>6.3</v>
      </c>
      <c r="Q49" s="153">
        <v>6.5</v>
      </c>
      <c r="R49" s="153">
        <v>3.6</v>
      </c>
      <c r="S49" s="153">
        <v>3.6</v>
      </c>
      <c r="T49" s="153">
        <v>5</v>
      </c>
      <c r="U49" s="153">
        <v>4.24</v>
      </c>
      <c r="V49" s="153">
        <v>7.36</v>
      </c>
      <c r="W49" s="153">
        <v>5.36</v>
      </c>
      <c r="X49" s="153">
        <v>5.47</v>
      </c>
      <c r="Y49" s="153">
        <v>6.2</v>
      </c>
      <c r="Z49" s="153">
        <v>7.08</v>
      </c>
      <c r="AA49" s="153">
        <v>7.07</v>
      </c>
      <c r="AB49" s="153">
        <v>7.07</v>
      </c>
      <c r="AC49" s="153">
        <v>5.78</v>
      </c>
      <c r="AD49" s="153">
        <v>5.47</v>
      </c>
      <c r="AE49" s="153">
        <v>5.47</v>
      </c>
      <c r="AF49" s="153">
        <v>5.47</v>
      </c>
      <c r="AG49" s="153">
        <v>5.47</v>
      </c>
      <c r="AH49" s="153">
        <v>5.47</v>
      </c>
      <c r="AI49" s="153">
        <v>5.47</v>
      </c>
      <c r="AJ49" s="153">
        <v>5.47</v>
      </c>
      <c r="AK49" s="153">
        <v>5.47</v>
      </c>
      <c r="AL49" s="153">
        <v>5.47</v>
      </c>
      <c r="AM49" s="153">
        <v>5.47</v>
      </c>
      <c r="AN49" s="77"/>
      <c r="AO49" s="56"/>
      <c r="AP49" s="56"/>
      <c r="AQ49" s="56"/>
      <c r="AR49" s="56"/>
    </row>
    <row r="50" spans="1:44" x14ac:dyDescent="0.3">
      <c r="A50" s="148" t="s">
        <v>70</v>
      </c>
      <c r="B50" s="151"/>
      <c r="C50" s="413">
        <v>44207</v>
      </c>
      <c r="D50" s="424"/>
      <c r="E50" s="153">
        <v>5.89</v>
      </c>
      <c r="F50" s="153">
        <v>5.7</v>
      </c>
      <c r="G50" s="153">
        <v>5.89</v>
      </c>
      <c r="H50" s="153">
        <v>5.89</v>
      </c>
      <c r="I50" s="153">
        <v>5.85</v>
      </c>
      <c r="J50" s="153">
        <v>6.05</v>
      </c>
      <c r="K50" s="153">
        <v>5.85</v>
      </c>
      <c r="L50" s="153">
        <v>6.05</v>
      </c>
      <c r="M50" s="153">
        <v>6.05</v>
      </c>
      <c r="N50" s="153">
        <v>5.66</v>
      </c>
      <c r="O50" s="153">
        <v>6.0449999999999999</v>
      </c>
      <c r="P50" s="153">
        <v>5.85</v>
      </c>
      <c r="Q50" s="153">
        <v>6.05</v>
      </c>
      <c r="R50" s="153">
        <v>5.4</v>
      </c>
      <c r="S50" s="153">
        <v>4.5599999999999996</v>
      </c>
      <c r="T50" s="153">
        <v>5.58</v>
      </c>
      <c r="U50" s="153">
        <v>5.58</v>
      </c>
      <c r="V50" s="153">
        <v>5.58</v>
      </c>
      <c r="W50" s="153">
        <v>5.4</v>
      </c>
      <c r="X50" s="153">
        <v>5.58</v>
      </c>
      <c r="Y50" s="153">
        <v>5.89</v>
      </c>
      <c r="Z50" s="153">
        <v>5.32</v>
      </c>
      <c r="AA50" s="153">
        <v>5.89</v>
      </c>
      <c r="AB50" s="153">
        <v>5.7</v>
      </c>
      <c r="AC50" s="153">
        <v>5.89</v>
      </c>
      <c r="AD50" s="153">
        <v>5.7</v>
      </c>
      <c r="AE50" s="153">
        <v>5.83</v>
      </c>
      <c r="AF50" s="153">
        <v>5.83</v>
      </c>
      <c r="AG50" s="153">
        <v>5.83</v>
      </c>
      <c r="AH50" s="153">
        <v>5.83</v>
      </c>
      <c r="AI50" s="153">
        <v>5.83</v>
      </c>
      <c r="AJ50" s="153">
        <v>5.83</v>
      </c>
      <c r="AK50" s="153">
        <v>5.7</v>
      </c>
      <c r="AL50" s="153">
        <v>5.7</v>
      </c>
      <c r="AM50" s="153">
        <v>5.7</v>
      </c>
      <c r="AN50" s="77"/>
      <c r="AO50" s="56"/>
      <c r="AP50" s="56"/>
      <c r="AQ50" s="56"/>
      <c r="AR50" s="56"/>
    </row>
    <row r="51" spans="1:44" ht="14.5" thickBot="1" x14ac:dyDescent="0.35">
      <c r="A51" s="154" t="s">
        <v>71</v>
      </c>
      <c r="B51" s="155"/>
      <c r="C51" s="415">
        <v>44231</v>
      </c>
      <c r="D51" s="430"/>
      <c r="E51" s="153">
        <v>15.6</v>
      </c>
      <c r="F51" s="153">
        <v>15.42</v>
      </c>
      <c r="G51" s="153">
        <v>16.027000000000001</v>
      </c>
      <c r="H51" s="153">
        <v>15.93</v>
      </c>
      <c r="I51" s="153">
        <v>15.45</v>
      </c>
      <c r="J51" s="153">
        <v>10.85</v>
      </c>
      <c r="K51" s="153">
        <v>10.5</v>
      </c>
      <c r="L51" s="153">
        <v>13.26</v>
      </c>
      <c r="M51" s="153">
        <v>14.281000000000001</v>
      </c>
      <c r="N51" s="153">
        <v>16</v>
      </c>
      <c r="O51" s="153">
        <v>17</v>
      </c>
      <c r="P51" s="153">
        <v>15.6</v>
      </c>
      <c r="Q51" s="153">
        <v>17.05</v>
      </c>
      <c r="R51" s="153">
        <v>15.6</v>
      </c>
      <c r="S51" s="153">
        <v>16.739999999999998</v>
      </c>
      <c r="T51" s="153">
        <v>14.56</v>
      </c>
      <c r="U51" s="153">
        <v>17.2</v>
      </c>
      <c r="V51" s="153">
        <v>16.739999999999998</v>
      </c>
      <c r="W51" s="153">
        <v>16.2</v>
      </c>
      <c r="X51" s="153">
        <v>16.12</v>
      </c>
      <c r="Y51" s="153">
        <v>13.12</v>
      </c>
      <c r="Z51" s="153">
        <v>8.83</v>
      </c>
      <c r="AA51" s="153">
        <v>15.56</v>
      </c>
      <c r="AB51" s="153">
        <v>15</v>
      </c>
      <c r="AC51" s="153">
        <v>15.5</v>
      </c>
      <c r="AD51" s="153">
        <v>15</v>
      </c>
      <c r="AE51" s="153">
        <v>9.41</v>
      </c>
      <c r="AF51" s="153">
        <v>13.19</v>
      </c>
      <c r="AG51" s="153">
        <v>15</v>
      </c>
      <c r="AH51" s="153">
        <v>15.5</v>
      </c>
      <c r="AI51" s="153">
        <v>15</v>
      </c>
      <c r="AJ51" s="153">
        <v>15.08</v>
      </c>
      <c r="AK51" s="153">
        <v>14.87</v>
      </c>
      <c r="AL51" s="153">
        <v>14</v>
      </c>
      <c r="AM51" s="153">
        <v>14</v>
      </c>
      <c r="AN51" s="77"/>
      <c r="AO51" s="56"/>
      <c r="AP51" s="56"/>
      <c r="AQ51" s="56"/>
      <c r="AR51" s="56"/>
    </row>
    <row r="52" spans="1:44" ht="14.5" thickBot="1" x14ac:dyDescent="0.35">
      <c r="A52" s="417" t="s">
        <v>72</v>
      </c>
      <c r="B52" s="418"/>
      <c r="C52" s="418"/>
      <c r="D52" s="431"/>
      <c r="E52" s="156">
        <f>SUM(E46:E51)</f>
        <v>336.07599999999996</v>
      </c>
      <c r="F52" s="157">
        <f t="shared" ref="F52:AM52" si="22">SUM(F46:F51)</f>
        <v>348.84800000000001</v>
      </c>
      <c r="G52" s="157">
        <f t="shared" si="22"/>
        <v>377.517</v>
      </c>
      <c r="H52" s="157">
        <f t="shared" si="22"/>
        <v>371.96999999999997</v>
      </c>
      <c r="I52" s="157">
        <f t="shared" si="22"/>
        <v>372.5</v>
      </c>
      <c r="J52" s="157">
        <f t="shared" si="22"/>
        <v>362.6</v>
      </c>
      <c r="K52" s="157">
        <f t="shared" si="22"/>
        <v>352.35</v>
      </c>
      <c r="L52" s="157">
        <f t="shared" si="22"/>
        <v>358.21</v>
      </c>
      <c r="M52" s="157">
        <f t="shared" si="22"/>
        <v>338.53100000000001</v>
      </c>
      <c r="N52" s="157">
        <f t="shared" si="22"/>
        <v>314.61</v>
      </c>
      <c r="O52" s="157">
        <f t="shared" si="22"/>
        <v>350.30500000000006</v>
      </c>
      <c r="P52" s="157">
        <f t="shared" si="22"/>
        <v>333.35000000000008</v>
      </c>
      <c r="Q52" s="157">
        <f t="shared" si="22"/>
        <v>261.2</v>
      </c>
      <c r="R52" s="157">
        <f t="shared" si="22"/>
        <v>263.78258821384333</v>
      </c>
      <c r="S52" s="157">
        <f>SUM(S46:S51)</f>
        <v>284.84347858181803</v>
      </c>
      <c r="T52" s="157">
        <f>SUM(T46:T51)</f>
        <v>297.27999999999997</v>
      </c>
      <c r="U52" s="157">
        <f>SUM(U46:U51)</f>
        <v>306.62</v>
      </c>
      <c r="V52" s="157">
        <f t="shared" si="22"/>
        <v>318.67600000000004</v>
      </c>
      <c r="W52" s="157">
        <f t="shared" si="22"/>
        <v>290.13200000000001</v>
      </c>
      <c r="X52" s="157">
        <f t="shared" si="22"/>
        <v>279.91500000000002</v>
      </c>
      <c r="Y52" s="157">
        <f t="shared" si="22"/>
        <v>306.19499999999999</v>
      </c>
      <c r="Z52" s="157">
        <f t="shared" si="22"/>
        <v>272.63</v>
      </c>
      <c r="AA52" s="157">
        <f t="shared" si="22"/>
        <v>315.2348790847924</v>
      </c>
      <c r="AB52" s="157">
        <f t="shared" si="22"/>
        <v>299.77206822153971</v>
      </c>
      <c r="AC52" s="157">
        <f t="shared" si="22"/>
        <v>311.40587980447191</v>
      </c>
      <c r="AD52" s="157">
        <f t="shared" si="22"/>
        <v>304.60645893118965</v>
      </c>
      <c r="AE52" s="157">
        <f t="shared" si="22"/>
        <v>237.74</v>
      </c>
      <c r="AF52" s="157">
        <f t="shared" si="22"/>
        <v>320.19</v>
      </c>
      <c r="AG52" s="157">
        <f t="shared" si="22"/>
        <v>299.45000000000005</v>
      </c>
      <c r="AH52" s="157">
        <f t="shared" si="22"/>
        <v>283.34478840125394</v>
      </c>
      <c r="AI52" s="157">
        <f t="shared" si="22"/>
        <v>307.73456112852659</v>
      </c>
      <c r="AJ52" s="157">
        <f t="shared" si="22"/>
        <v>318.52568965517247</v>
      </c>
      <c r="AK52" s="157">
        <f t="shared" si="22"/>
        <v>316.98568965517251</v>
      </c>
      <c r="AL52" s="157">
        <f t="shared" si="22"/>
        <v>287.95965517241387</v>
      </c>
      <c r="AM52" s="157">
        <f t="shared" si="22"/>
        <v>287.95965517241387</v>
      </c>
      <c r="AN52" s="77"/>
      <c r="AO52" s="56"/>
      <c r="AP52" s="56"/>
      <c r="AQ52" s="56"/>
      <c r="AR52" s="56"/>
    </row>
    <row r="53" spans="1:44" ht="14.5" thickBot="1" x14ac:dyDescent="0.35">
      <c r="A53" s="142" t="s">
        <v>73</v>
      </c>
      <c r="B53" s="55"/>
      <c r="C53" s="56"/>
      <c r="D53" s="56"/>
      <c r="E53" s="56"/>
      <c r="F53" s="56"/>
      <c r="G53" s="56"/>
      <c r="H53" s="56"/>
      <c r="I53" s="56"/>
      <c r="J53" s="56"/>
      <c r="K53" s="56"/>
      <c r="L53" s="56"/>
      <c r="M53" s="122">
        <f>M59-M95-M101-M102-M103-M111-M112-M113-M114-M115-M116-M117-M118-M120-M121-M123-M124-M125-M126-M127-M128-M129-M130-M131</f>
        <v>118.10699999999997</v>
      </c>
      <c r="N53" s="122">
        <f>N59-N95-N101-N102-N103-N111-N112-N113-N114-N115-N116-N117-N118-N120-N121-N123-N124-N125-N126-N127-N128-N129-N130-N131</f>
        <v>139.47399999999999</v>
      </c>
      <c r="O53" s="122">
        <f>O59-O95-O101-O102-O103-O111-O112-O113-O114-O115-O116-O117-O118-O120-O121-O123-O124-O125-O126-O127-O128-O129-O130-O131</f>
        <v>140.74199999999999</v>
      </c>
      <c r="P53" s="122">
        <f>P59-P95-P101-P102-P103-P111-P112-P113-P114-P115-P116-P117-P118-P120-P121-P123-P124-P125-P126-P127-P128-P129-P130-P131</f>
        <v>89.700999999999979</v>
      </c>
      <c r="Q53" s="122">
        <f>Q59-Q95-Q101-Q102-Q103-Q111-Q112-Q113-Q114-Q115-Q116-Q117-Q118-Q120-Q121-Q123-Q124-Q125-Q126-Q127-Q128-Q129-Q130-Q131</f>
        <v>115.392</v>
      </c>
      <c r="R53" s="122">
        <f t="shared" ref="R53:AM53" si="23">R59-R95-R99-R101-R102-R103-R111-R112-R113-R114-R115-R116-R117-R118-R120-R121-R123-R124-R125-R126-R127-R128-R129-R130-R131</f>
        <v>90.575999999999993</v>
      </c>
      <c r="S53" s="122">
        <f t="shared" si="23"/>
        <v>104.07799999999997</v>
      </c>
      <c r="T53" s="122">
        <f t="shared" si="23"/>
        <v>105.9876373626374</v>
      </c>
      <c r="U53" s="122">
        <f>U59-U95-U99-U101-U102-U103-U111-U112-U113-U114-U115-U116-U117-U118-U120-U121-U123-U124-U125-U126-U127-U128-U129-U130-U131</f>
        <v>124.39</v>
      </c>
      <c r="V53" s="122">
        <f>V59-V95-V99-V101-V102-V103-V111-V112-V113-V114-V115-V116-V117-V118-V120-V121-V123-V124-V125-V126-V127-V128-V129-V130-V131</f>
        <v>118.44200000000002</v>
      </c>
      <c r="W53" s="122">
        <f t="shared" si="23"/>
        <v>108.9</v>
      </c>
      <c r="X53" s="122">
        <f t="shared" si="23"/>
        <v>106.32599999999999</v>
      </c>
      <c r="Y53" s="122">
        <f t="shared" si="23"/>
        <v>119.73485793868549</v>
      </c>
      <c r="Z53" s="122">
        <f t="shared" si="23"/>
        <v>88.984232274350305</v>
      </c>
      <c r="AA53" s="122">
        <f t="shared" si="23"/>
        <v>112.52501939324189</v>
      </c>
      <c r="AB53" s="122">
        <f t="shared" si="23"/>
        <v>99.630604399839513</v>
      </c>
      <c r="AC53" s="122">
        <f t="shared" si="23"/>
        <v>109.01354680977997</v>
      </c>
      <c r="AD53" s="122">
        <f t="shared" si="23"/>
        <v>95.403690133360016</v>
      </c>
      <c r="AE53" s="122">
        <f t="shared" si="23"/>
        <v>41.433099140662989</v>
      </c>
      <c r="AF53" s="122">
        <f t="shared" si="23"/>
        <v>127.32999999999998</v>
      </c>
      <c r="AG53" s="122">
        <f t="shared" si="23"/>
        <v>98.31</v>
      </c>
      <c r="AH53" s="122">
        <f t="shared" si="23"/>
        <v>86.810788401253916</v>
      </c>
      <c r="AI53" s="122">
        <f t="shared" si="23"/>
        <v>136.73956112852656</v>
      </c>
      <c r="AJ53" s="122">
        <f t="shared" si="23"/>
        <v>111.7136896551724</v>
      </c>
      <c r="AK53" s="122">
        <f t="shared" si="23"/>
        <v>108.79968965517239</v>
      </c>
      <c r="AL53" s="122">
        <f t="shared" si="23"/>
        <v>86.283655172413845</v>
      </c>
      <c r="AM53" s="122">
        <f t="shared" si="23"/>
        <v>109.15968965517239</v>
      </c>
      <c r="AN53" s="56"/>
      <c r="AO53" s="56"/>
      <c r="AP53" s="56"/>
      <c r="AQ53" s="56"/>
      <c r="AR53" s="56"/>
    </row>
    <row r="54" spans="1:44" s="70" customFormat="1" ht="14.5" thickBot="1" x14ac:dyDescent="0.35">
      <c r="A54" s="426" t="s">
        <v>29</v>
      </c>
      <c r="B54" s="427"/>
      <c r="C54" s="427" t="s">
        <v>61</v>
      </c>
      <c r="D54" s="427"/>
      <c r="E54" s="123">
        <f t="shared" ref="E54:AM54" si="24">E3</f>
        <v>43587</v>
      </c>
      <c r="F54" s="65">
        <f t="shared" si="24"/>
        <v>43618</v>
      </c>
      <c r="G54" s="65">
        <f t="shared" si="24"/>
        <v>43648</v>
      </c>
      <c r="H54" s="65">
        <f t="shared" si="24"/>
        <v>43679</v>
      </c>
      <c r="I54" s="65">
        <f t="shared" si="24"/>
        <v>43710</v>
      </c>
      <c r="J54" s="65">
        <f t="shared" si="24"/>
        <v>43740</v>
      </c>
      <c r="K54" s="65">
        <f t="shared" si="24"/>
        <v>43771</v>
      </c>
      <c r="L54" s="65">
        <f t="shared" si="24"/>
        <v>43801</v>
      </c>
      <c r="M54" s="65">
        <f t="shared" si="24"/>
        <v>43832</v>
      </c>
      <c r="N54" s="65">
        <f t="shared" si="24"/>
        <v>43863</v>
      </c>
      <c r="O54" s="65">
        <f t="shared" si="24"/>
        <v>43892</v>
      </c>
      <c r="P54" s="65">
        <f t="shared" si="24"/>
        <v>43923</v>
      </c>
      <c r="Q54" s="65">
        <f t="shared" si="24"/>
        <v>43953</v>
      </c>
      <c r="R54" s="65">
        <f t="shared" si="24"/>
        <v>43984</v>
      </c>
      <c r="S54" s="65">
        <f t="shared" si="24"/>
        <v>44014</v>
      </c>
      <c r="T54" s="65">
        <f t="shared" si="24"/>
        <v>44045</v>
      </c>
      <c r="U54" s="65">
        <f t="shared" si="24"/>
        <v>44076</v>
      </c>
      <c r="V54" s="65">
        <f t="shared" si="24"/>
        <v>44106</v>
      </c>
      <c r="W54" s="65">
        <f t="shared" si="24"/>
        <v>44137</v>
      </c>
      <c r="X54" s="65">
        <f t="shared" si="24"/>
        <v>44167</v>
      </c>
      <c r="Y54" s="65">
        <f t="shared" si="24"/>
        <v>44198</v>
      </c>
      <c r="Z54" s="65">
        <f t="shared" si="24"/>
        <v>44229</v>
      </c>
      <c r="AA54" s="65">
        <f t="shared" si="24"/>
        <v>44257</v>
      </c>
      <c r="AB54" s="65">
        <f t="shared" si="24"/>
        <v>44288</v>
      </c>
      <c r="AC54" s="65">
        <f t="shared" si="24"/>
        <v>44318</v>
      </c>
      <c r="AD54" s="65">
        <f t="shared" si="24"/>
        <v>44349</v>
      </c>
      <c r="AE54" s="65">
        <f t="shared" si="24"/>
        <v>44379</v>
      </c>
      <c r="AF54" s="65">
        <f t="shared" si="24"/>
        <v>44410</v>
      </c>
      <c r="AG54" s="65">
        <f t="shared" si="24"/>
        <v>44441</v>
      </c>
      <c r="AH54" s="65">
        <f t="shared" si="24"/>
        <v>44471</v>
      </c>
      <c r="AI54" s="65">
        <f t="shared" si="24"/>
        <v>44502</v>
      </c>
      <c r="AJ54" s="65">
        <f t="shared" si="24"/>
        <v>44532</v>
      </c>
      <c r="AK54" s="65">
        <f t="shared" si="24"/>
        <v>44563</v>
      </c>
      <c r="AL54" s="65">
        <f t="shared" si="24"/>
        <v>44594</v>
      </c>
      <c r="AM54" s="65">
        <f t="shared" si="24"/>
        <v>44622</v>
      </c>
      <c r="AN54" s="114"/>
      <c r="AO54" s="69"/>
      <c r="AP54" s="69"/>
      <c r="AQ54" s="69"/>
      <c r="AR54" s="69"/>
    </row>
    <row r="55" spans="1:44" s="70" customFormat="1" x14ac:dyDescent="0.3">
      <c r="A55" s="143" t="s">
        <v>62</v>
      </c>
      <c r="B55" s="144"/>
      <c r="C55" s="421" t="s">
        <v>74</v>
      </c>
      <c r="D55" s="422"/>
      <c r="E55" s="145"/>
      <c r="F55" s="145"/>
      <c r="G55" s="145"/>
      <c r="H55" s="145"/>
      <c r="I55" s="145"/>
      <c r="J55" s="145"/>
      <c r="K55" s="145"/>
      <c r="L55" s="145"/>
      <c r="M55" s="145"/>
      <c r="N55" s="145"/>
      <c r="O55" s="145"/>
      <c r="P55" s="145"/>
      <c r="Q55" s="158"/>
      <c r="R55" s="158">
        <v>70</v>
      </c>
      <c r="S55" s="158">
        <v>74.078409090909062</v>
      </c>
      <c r="T55" s="158">
        <v>80.5</v>
      </c>
      <c r="U55" s="158">
        <v>75.221000000000004</v>
      </c>
      <c r="V55" s="158">
        <v>85.72</v>
      </c>
      <c r="W55" s="158">
        <v>83.730999999999995</v>
      </c>
      <c r="X55" s="158">
        <v>85</v>
      </c>
      <c r="Y55" s="158">
        <v>93.219380729154906</v>
      </c>
      <c r="Z55" s="158">
        <v>85.441534018875444</v>
      </c>
      <c r="AA55" s="158">
        <v>96.977573447893576</v>
      </c>
      <c r="AB55" s="158">
        <v>90.397175166297103</v>
      </c>
      <c r="AC55" s="158">
        <v>97.277999999999992</v>
      </c>
      <c r="AD55" s="158">
        <v>94.14</v>
      </c>
      <c r="AE55" s="158">
        <v>52.35</v>
      </c>
      <c r="AF55" s="158">
        <v>97.277999999999992</v>
      </c>
      <c r="AG55" s="158">
        <v>90.43</v>
      </c>
      <c r="AH55" s="158">
        <v>82.229233194009041</v>
      </c>
      <c r="AI55" s="158">
        <v>91.593115426765593</v>
      </c>
      <c r="AJ55" s="158">
        <v>93.892536959162683</v>
      </c>
      <c r="AK55" s="158">
        <v>93.892536959162683</v>
      </c>
      <c r="AL55" s="158">
        <v>84.806162414727595</v>
      </c>
      <c r="AM55" s="158">
        <v>93.892536959162683</v>
      </c>
      <c r="AN55" s="114"/>
      <c r="AO55" s="101">
        <f>SUM(Y55:AJ55)</f>
        <v>1065.2265489421584</v>
      </c>
      <c r="AP55" s="69"/>
      <c r="AQ55" s="69"/>
      <c r="AR55" s="69"/>
    </row>
    <row r="56" spans="1:44" s="70" customFormat="1" x14ac:dyDescent="0.3">
      <c r="A56" s="148" t="s">
        <v>64</v>
      </c>
      <c r="B56" s="149"/>
      <c r="C56" s="414" t="s">
        <v>74</v>
      </c>
      <c r="D56" s="423"/>
      <c r="E56" s="145"/>
      <c r="F56" s="145"/>
      <c r="G56" s="145"/>
      <c r="H56" s="145"/>
      <c r="I56" s="145"/>
      <c r="J56" s="145"/>
      <c r="K56" s="145"/>
      <c r="L56" s="145"/>
      <c r="M56" s="145"/>
      <c r="N56" s="145"/>
      <c r="O56" s="145"/>
      <c r="P56" s="145"/>
      <c r="Q56" s="158"/>
      <c r="R56" s="158">
        <f t="shared" ref="R56:AM56" si="25">R59-R55</f>
        <v>168.5</v>
      </c>
      <c r="S56" s="158">
        <f t="shared" si="25"/>
        <v>176.52959090909093</v>
      </c>
      <c r="T56" s="158">
        <f t="shared" si="25"/>
        <v>189.8</v>
      </c>
      <c r="U56" s="158">
        <f t="shared" si="25"/>
        <v>200.779</v>
      </c>
      <c r="V56" s="158">
        <f t="shared" si="25"/>
        <v>194.08200000000002</v>
      </c>
      <c r="W56" s="158">
        <f t="shared" si="25"/>
        <v>171.96899999999999</v>
      </c>
      <c r="X56" s="158">
        <f t="shared" si="25"/>
        <v>182.7</v>
      </c>
      <c r="Y56" s="158">
        <f t="shared" si="25"/>
        <v>184.18247720953059</v>
      </c>
      <c r="Z56" s="159">
        <f t="shared" si="25"/>
        <v>168.89869825547487</v>
      </c>
      <c r="AA56" s="159">
        <f t="shared" si="25"/>
        <v>191.87344594534835</v>
      </c>
      <c r="AB56" s="159">
        <f t="shared" si="25"/>
        <v>182.29942923354238</v>
      </c>
      <c r="AC56" s="159">
        <f t="shared" si="25"/>
        <v>187.20654680978001</v>
      </c>
      <c r="AD56" s="159">
        <f t="shared" si="25"/>
        <v>179.76569013336001</v>
      </c>
      <c r="AE56" s="159">
        <f t="shared" si="25"/>
        <v>163.47999999999999</v>
      </c>
      <c r="AF56" s="159">
        <f t="shared" si="25"/>
        <v>197.22200000000001</v>
      </c>
      <c r="AG56" s="159">
        <f t="shared" si="25"/>
        <v>181.51999999999998</v>
      </c>
      <c r="AH56" s="159">
        <f t="shared" si="25"/>
        <v>173.11555520724488</v>
      </c>
      <c r="AI56" s="159">
        <f t="shared" si="25"/>
        <v>188.64144570176094</v>
      </c>
      <c r="AJ56" s="159">
        <f t="shared" si="25"/>
        <v>197.05315269600976</v>
      </c>
      <c r="AK56" s="159">
        <f t="shared" si="25"/>
        <v>197.05315269600976</v>
      </c>
      <c r="AL56" s="159">
        <f t="shared" si="25"/>
        <v>177.98349275768626</v>
      </c>
      <c r="AM56" s="159">
        <f t="shared" si="25"/>
        <v>197.05315269600976</v>
      </c>
      <c r="AN56" s="114"/>
      <c r="AO56" s="160"/>
      <c r="AP56" s="69"/>
      <c r="AQ56" s="69"/>
      <c r="AR56" s="69"/>
    </row>
    <row r="57" spans="1:44" s="70" customFormat="1" x14ac:dyDescent="0.3">
      <c r="A57" s="150" t="s">
        <v>65</v>
      </c>
      <c r="B57" s="149"/>
      <c r="C57" s="428" t="s">
        <v>74</v>
      </c>
      <c r="D57" s="429"/>
      <c r="E57" s="145"/>
      <c r="F57" s="145"/>
      <c r="G57" s="145"/>
      <c r="H57" s="145"/>
      <c r="I57" s="145"/>
      <c r="J57" s="145"/>
      <c r="K57" s="145"/>
      <c r="L57" s="145"/>
      <c r="M57" s="145"/>
      <c r="N57" s="145"/>
      <c r="O57" s="145"/>
      <c r="P57" s="145"/>
      <c r="Q57" s="158"/>
      <c r="R57" s="158"/>
      <c r="S57" s="158"/>
      <c r="T57" s="158"/>
      <c r="U57" s="158"/>
      <c r="V57" s="158"/>
      <c r="W57" s="158"/>
      <c r="X57" s="158"/>
      <c r="Y57" s="158"/>
      <c r="Z57" s="161">
        <v>38.612364983928693</v>
      </c>
      <c r="AA57" s="161">
        <v>43.169512195121946</v>
      </c>
      <c r="AB57" s="161">
        <v>40.015651279583736</v>
      </c>
      <c r="AC57" s="161">
        <v>40.490907613724104</v>
      </c>
      <c r="AD57" s="161">
        <v>39</v>
      </c>
      <c r="AE57" s="161">
        <v>42.78</v>
      </c>
      <c r="AF57" s="161">
        <v>41.849999999999994</v>
      </c>
      <c r="AG57" s="161">
        <v>31.050000000000004</v>
      </c>
      <c r="AH57" s="161">
        <v>19.5</v>
      </c>
      <c r="AI57" s="161">
        <v>39.439024390243901</v>
      </c>
      <c r="AJ57" s="161">
        <v>41.6609756097561</v>
      </c>
      <c r="AK57" s="161">
        <v>41.6609756097561</v>
      </c>
      <c r="AL57" s="161">
        <v>37.629268292682923</v>
      </c>
      <c r="AM57" s="161">
        <v>41.6609756097561</v>
      </c>
      <c r="AN57" s="114"/>
      <c r="AO57" s="160"/>
      <c r="AP57" s="69"/>
      <c r="AQ57" s="69"/>
      <c r="AR57" s="69"/>
    </row>
    <row r="58" spans="1:44" s="70" customFormat="1" x14ac:dyDescent="0.3">
      <c r="A58" s="150" t="s">
        <v>66</v>
      </c>
      <c r="B58" s="149"/>
      <c r="C58" s="428" t="s">
        <v>74</v>
      </c>
      <c r="D58" s="429"/>
      <c r="E58" s="145"/>
      <c r="F58" s="145"/>
      <c r="G58" s="145"/>
      <c r="H58" s="145"/>
      <c r="I58" s="145"/>
      <c r="J58" s="145"/>
      <c r="K58" s="145"/>
      <c r="L58" s="145"/>
      <c r="M58" s="145"/>
      <c r="N58" s="145"/>
      <c r="O58" s="145"/>
      <c r="P58" s="145"/>
      <c r="Q58" s="158"/>
      <c r="R58" s="158"/>
      <c r="S58" s="158"/>
      <c r="T58" s="158"/>
      <c r="U58" s="158"/>
      <c r="V58" s="158"/>
      <c r="W58" s="158"/>
      <c r="X58" s="158"/>
      <c r="Y58" s="158"/>
      <c r="Z58" s="161">
        <v>130.2863332715462</v>
      </c>
      <c r="AA58" s="161">
        <v>148.70393375022635</v>
      </c>
      <c r="AB58" s="161">
        <v>142.28377795395863</v>
      </c>
      <c r="AC58" s="161">
        <v>146.71563919605592</v>
      </c>
      <c r="AD58" s="161">
        <v>140.76569013335998</v>
      </c>
      <c r="AE58" s="161">
        <v>120.70000000000002</v>
      </c>
      <c r="AF58" s="161">
        <v>155.37200000000001</v>
      </c>
      <c r="AG58" s="161">
        <v>150.47</v>
      </c>
      <c r="AH58" s="161">
        <v>153.61555520724488</v>
      </c>
      <c r="AI58" s="161">
        <v>149.20242131151704</v>
      </c>
      <c r="AJ58" s="161">
        <v>155.39217708625364</v>
      </c>
      <c r="AK58" s="161">
        <v>155.39217708625364</v>
      </c>
      <c r="AL58" s="161">
        <v>140.35422446500331</v>
      </c>
      <c r="AM58" s="161">
        <v>155.39217708625364</v>
      </c>
      <c r="AN58" s="114"/>
      <c r="AO58" s="69"/>
      <c r="AP58" s="69"/>
      <c r="AQ58" s="69"/>
      <c r="AR58" s="69"/>
    </row>
    <row r="59" spans="1:44" s="6" customFormat="1" x14ac:dyDescent="0.3">
      <c r="A59" s="148" t="s">
        <v>67</v>
      </c>
      <c r="B59" s="149"/>
      <c r="C59" s="414" t="s">
        <v>74</v>
      </c>
      <c r="D59" s="423"/>
      <c r="E59" s="162">
        <v>290.613</v>
      </c>
      <c r="F59" s="163">
        <v>302.52800000000002</v>
      </c>
      <c r="G59" s="163">
        <v>320.20999999999998</v>
      </c>
      <c r="H59" s="164">
        <v>318.428</v>
      </c>
      <c r="I59" s="164">
        <v>304.23599999999999</v>
      </c>
      <c r="J59" s="158">
        <v>311</v>
      </c>
      <c r="K59" s="158">
        <v>316.3</v>
      </c>
      <c r="L59" s="165">
        <v>308.76</v>
      </c>
      <c r="M59" s="158">
        <v>274.16699999999997</v>
      </c>
      <c r="N59" s="158">
        <v>269</v>
      </c>
      <c r="O59" s="158">
        <v>299.5</v>
      </c>
      <c r="P59" s="166">
        <v>248.80099999999999</v>
      </c>
      <c r="Q59" s="158">
        <v>225</v>
      </c>
      <c r="R59" s="158">
        <v>238.5</v>
      </c>
      <c r="S59" s="158">
        <f>251.608-1</f>
        <v>250.608</v>
      </c>
      <c r="T59" s="158">
        <v>270.3</v>
      </c>
      <c r="U59" s="158">
        <v>276</v>
      </c>
      <c r="V59" s="158">
        <v>279.80200000000002</v>
      </c>
      <c r="W59" s="158">
        <v>255.7</v>
      </c>
      <c r="X59" s="165">
        <v>267.7</v>
      </c>
      <c r="Y59" s="158">
        <v>277.40185793868551</v>
      </c>
      <c r="Z59" s="158">
        <v>254.34023227435031</v>
      </c>
      <c r="AA59" s="158">
        <v>288.85101939324193</v>
      </c>
      <c r="AB59" s="158">
        <v>272.69660439983949</v>
      </c>
      <c r="AC59" s="158">
        <v>284.48454680978</v>
      </c>
      <c r="AD59" s="158">
        <v>273.90569013336</v>
      </c>
      <c r="AE59" s="158">
        <v>215.82999999999998</v>
      </c>
      <c r="AF59" s="158">
        <v>294.5</v>
      </c>
      <c r="AG59" s="158">
        <v>271.95</v>
      </c>
      <c r="AH59" s="158">
        <v>255.34478840125394</v>
      </c>
      <c r="AI59" s="158">
        <v>280.23456112852654</v>
      </c>
      <c r="AJ59" s="158">
        <v>290.94568965517243</v>
      </c>
      <c r="AK59" s="158">
        <v>290.94568965517243</v>
      </c>
      <c r="AL59" s="158">
        <v>262.78965517241386</v>
      </c>
      <c r="AM59" s="158">
        <v>290.94568965517243</v>
      </c>
      <c r="AN59" s="77"/>
      <c r="AO59" s="101">
        <f>SUM(Y59:AJ59)</f>
        <v>3260.48499013421</v>
      </c>
      <c r="AP59" s="56"/>
      <c r="AQ59" s="56"/>
      <c r="AR59" s="56"/>
    </row>
    <row r="60" spans="1:44" s="6" customFormat="1" x14ac:dyDescent="0.3">
      <c r="A60" s="148" t="s">
        <v>68</v>
      </c>
      <c r="B60" s="149"/>
      <c r="C60" s="413">
        <v>44238</v>
      </c>
      <c r="D60" s="424"/>
      <c r="E60" s="162"/>
      <c r="F60" s="163"/>
      <c r="G60" s="163"/>
      <c r="H60" s="164"/>
      <c r="I60" s="164"/>
      <c r="J60" s="158"/>
      <c r="K60" s="158"/>
      <c r="L60" s="165"/>
      <c r="M60" s="158"/>
      <c r="N60" s="158"/>
      <c r="O60" s="167">
        <v>0.68</v>
      </c>
      <c r="P60" s="168">
        <v>0.7</v>
      </c>
      <c r="Q60" s="168">
        <v>0.6</v>
      </c>
      <c r="R60" s="168">
        <v>0</v>
      </c>
      <c r="S60" s="168">
        <v>0.6</v>
      </c>
      <c r="T60" s="167">
        <v>0.6</v>
      </c>
      <c r="U60" s="167">
        <v>1.2</v>
      </c>
      <c r="V60" s="169">
        <v>0</v>
      </c>
      <c r="W60" s="169">
        <v>0.6</v>
      </c>
      <c r="X60" s="168">
        <v>1.88</v>
      </c>
      <c r="Y60" s="170">
        <v>0</v>
      </c>
      <c r="Z60" s="171">
        <v>2.4</v>
      </c>
      <c r="AA60" s="172">
        <v>1.2</v>
      </c>
      <c r="AB60" s="172">
        <v>1.2</v>
      </c>
      <c r="AC60" s="172">
        <v>1.2</v>
      </c>
      <c r="AD60" s="172">
        <v>1.2</v>
      </c>
      <c r="AE60" s="172">
        <v>1.2</v>
      </c>
      <c r="AF60" s="172">
        <v>1.2</v>
      </c>
      <c r="AG60" s="172">
        <v>1.2</v>
      </c>
      <c r="AH60" s="172">
        <v>1.2</v>
      </c>
      <c r="AI60" s="172">
        <v>1.2</v>
      </c>
      <c r="AJ60" s="172">
        <v>1.2</v>
      </c>
      <c r="AK60" s="173">
        <v>0</v>
      </c>
      <c r="AL60" s="173">
        <v>0</v>
      </c>
      <c r="AM60" s="173">
        <v>0</v>
      </c>
      <c r="AN60" s="77"/>
      <c r="AO60" s="56"/>
      <c r="AP60" s="56"/>
      <c r="AQ60" s="56"/>
      <c r="AR60" s="56"/>
    </row>
    <row r="61" spans="1:44" x14ac:dyDescent="0.3">
      <c r="A61" s="148" t="s">
        <v>14</v>
      </c>
      <c r="B61" s="149"/>
      <c r="C61" s="413">
        <v>44238</v>
      </c>
      <c r="D61" s="424"/>
      <c r="E61" s="174">
        <v>15.573</v>
      </c>
      <c r="F61" s="175">
        <v>16</v>
      </c>
      <c r="G61" s="174">
        <v>21</v>
      </c>
      <c r="H61" s="175">
        <v>25</v>
      </c>
      <c r="I61" s="175">
        <v>25</v>
      </c>
      <c r="J61" s="175">
        <v>22</v>
      </c>
      <c r="K61" s="176">
        <v>23</v>
      </c>
      <c r="L61" s="176">
        <v>25</v>
      </c>
      <c r="M61" s="158">
        <f>23-3</f>
        <v>20</v>
      </c>
      <c r="N61" s="177">
        <v>18</v>
      </c>
      <c r="O61" s="165">
        <v>7</v>
      </c>
      <c r="P61" s="165">
        <v>2</v>
      </c>
      <c r="Q61" s="178">
        <v>6</v>
      </c>
      <c r="R61" s="178">
        <v>0</v>
      </c>
      <c r="S61" s="179">
        <v>4</v>
      </c>
      <c r="T61" s="179">
        <v>1.2</v>
      </c>
      <c r="U61" s="179">
        <v>0</v>
      </c>
      <c r="V61" s="179">
        <v>0</v>
      </c>
      <c r="W61" s="180">
        <v>13</v>
      </c>
      <c r="X61" s="180">
        <v>11.6</v>
      </c>
      <c r="Y61" s="180">
        <v>19</v>
      </c>
      <c r="Z61" s="180">
        <f>3+12</f>
        <v>15</v>
      </c>
      <c r="AA61" s="179">
        <v>0</v>
      </c>
      <c r="AB61" s="179">
        <v>0</v>
      </c>
      <c r="AC61" s="179">
        <v>0</v>
      </c>
      <c r="AD61" s="179">
        <v>0</v>
      </c>
      <c r="AE61" s="179">
        <v>0</v>
      </c>
      <c r="AF61" s="179">
        <v>0</v>
      </c>
      <c r="AG61" s="179">
        <v>0</v>
      </c>
      <c r="AH61" s="179">
        <v>0</v>
      </c>
      <c r="AI61" s="179">
        <v>0</v>
      </c>
      <c r="AJ61" s="179">
        <v>0</v>
      </c>
      <c r="AK61" s="179">
        <v>0</v>
      </c>
      <c r="AL61" s="179">
        <v>0</v>
      </c>
      <c r="AM61" s="179">
        <v>0</v>
      </c>
      <c r="AN61" s="77"/>
      <c r="AO61" s="56"/>
      <c r="AP61" s="56"/>
      <c r="AQ61" s="56"/>
      <c r="AR61" s="56"/>
    </row>
    <row r="62" spans="1:44" x14ac:dyDescent="0.3">
      <c r="A62" s="148" t="s">
        <v>69</v>
      </c>
      <c r="B62" s="149"/>
      <c r="C62" s="413">
        <v>44242</v>
      </c>
      <c r="D62" s="424"/>
      <c r="E62" s="174">
        <v>8.4</v>
      </c>
      <c r="F62" s="174">
        <v>6.2</v>
      </c>
      <c r="G62" s="175">
        <v>7.2</v>
      </c>
      <c r="H62" s="181">
        <v>7.2</v>
      </c>
      <c r="I62" s="175">
        <v>7.4</v>
      </c>
      <c r="J62" s="175">
        <v>6.7</v>
      </c>
      <c r="K62" s="179">
        <v>0</v>
      </c>
      <c r="L62" s="182">
        <v>3.96</v>
      </c>
      <c r="M62" s="179">
        <v>6.37</v>
      </c>
      <c r="N62" s="179">
        <v>6.1</v>
      </c>
      <c r="O62" s="179">
        <v>6.4799999999999995</v>
      </c>
      <c r="P62" s="179">
        <v>4.3</v>
      </c>
      <c r="Q62" s="179">
        <v>3</v>
      </c>
      <c r="R62" s="179">
        <v>3</v>
      </c>
      <c r="S62" s="179">
        <v>3.5</v>
      </c>
      <c r="T62" s="179">
        <v>3</v>
      </c>
      <c r="U62" s="180">
        <v>3.6</v>
      </c>
      <c r="V62" s="180">
        <f>8.06-2+0.7</f>
        <v>6.7600000000000007</v>
      </c>
      <c r="W62" s="180">
        <v>6.06</v>
      </c>
      <c r="X62" s="182">
        <v>6.67</v>
      </c>
      <c r="Y62" s="182">
        <v>8.3699999999999992</v>
      </c>
      <c r="Z62" s="182">
        <f>6.48+0.6+0.6</f>
        <v>7.68</v>
      </c>
      <c r="AA62" s="182">
        <v>6.63</v>
      </c>
      <c r="AB62" s="179">
        <v>6.63</v>
      </c>
      <c r="AC62" s="179">
        <v>5.78</v>
      </c>
      <c r="AD62" s="179">
        <v>5.9</v>
      </c>
      <c r="AE62" s="179">
        <v>6.12</v>
      </c>
      <c r="AF62" s="179">
        <v>6.12</v>
      </c>
      <c r="AG62" s="179">
        <v>5.47</v>
      </c>
      <c r="AH62" s="179">
        <v>5.47</v>
      </c>
      <c r="AI62" s="179">
        <v>5.47</v>
      </c>
      <c r="AJ62" s="179">
        <v>5.47</v>
      </c>
      <c r="AK62" s="179">
        <v>5.47</v>
      </c>
      <c r="AL62" s="179">
        <v>5.83</v>
      </c>
      <c r="AM62" s="179">
        <v>5.83</v>
      </c>
      <c r="AN62" s="77"/>
      <c r="AO62" s="56"/>
      <c r="AP62" s="56"/>
      <c r="AQ62" s="56"/>
      <c r="AR62" s="56"/>
    </row>
    <row r="63" spans="1:44" x14ac:dyDescent="0.3">
      <c r="A63" s="148" t="s">
        <v>70</v>
      </c>
      <c r="B63" s="149"/>
      <c r="C63" s="413">
        <v>44238</v>
      </c>
      <c r="D63" s="424"/>
      <c r="E63" s="174">
        <v>5.89</v>
      </c>
      <c r="F63" s="174">
        <v>6.22</v>
      </c>
      <c r="G63" s="174">
        <v>5.89</v>
      </c>
      <c r="H63" s="174">
        <v>6.05</v>
      </c>
      <c r="I63" s="174">
        <v>5.85</v>
      </c>
      <c r="J63" s="174">
        <v>6.05</v>
      </c>
      <c r="K63" s="180">
        <v>6.7</v>
      </c>
      <c r="L63" s="179">
        <v>6.05</v>
      </c>
      <c r="M63" s="179">
        <v>6.2</v>
      </c>
      <c r="N63" s="179">
        <v>5.66</v>
      </c>
      <c r="O63" s="179">
        <v>6.0449999999999999</v>
      </c>
      <c r="P63" s="179">
        <v>5.85</v>
      </c>
      <c r="Q63" s="179">
        <v>4.5999999999999996</v>
      </c>
      <c r="R63" s="179">
        <v>5.7</v>
      </c>
      <c r="S63" s="179">
        <v>5.7</v>
      </c>
      <c r="T63" s="179">
        <v>5.68</v>
      </c>
      <c r="U63" s="179">
        <v>5.4</v>
      </c>
      <c r="V63" s="182">
        <v>5.8</v>
      </c>
      <c r="W63" s="182">
        <v>5.4</v>
      </c>
      <c r="X63" s="182">
        <v>5.58</v>
      </c>
      <c r="Y63" s="182">
        <v>5.4870000000000001</v>
      </c>
      <c r="Z63" s="182">
        <v>5.32</v>
      </c>
      <c r="AA63" s="182">
        <v>5.74</v>
      </c>
      <c r="AB63" s="179">
        <v>5.7</v>
      </c>
      <c r="AC63" s="179">
        <v>5.74</v>
      </c>
      <c r="AD63" s="179">
        <v>5.7</v>
      </c>
      <c r="AE63" s="179">
        <v>5.83</v>
      </c>
      <c r="AF63" s="179">
        <v>5.83</v>
      </c>
      <c r="AG63" s="179">
        <v>5.83</v>
      </c>
      <c r="AH63" s="179">
        <v>5.83</v>
      </c>
      <c r="AI63" s="179">
        <v>5.83</v>
      </c>
      <c r="AJ63" s="179">
        <v>5.83</v>
      </c>
      <c r="AK63" s="179">
        <v>5.7</v>
      </c>
      <c r="AL63" s="179">
        <v>5.7</v>
      </c>
      <c r="AM63" s="179">
        <v>5.7</v>
      </c>
      <c r="AN63" s="77"/>
      <c r="AO63" s="56"/>
      <c r="AP63" s="56"/>
      <c r="AQ63" s="56"/>
      <c r="AR63" s="56"/>
    </row>
    <row r="64" spans="1:44" ht="14.5" thickBot="1" x14ac:dyDescent="0.35">
      <c r="A64" s="154" t="s">
        <v>71</v>
      </c>
      <c r="B64" s="183"/>
      <c r="C64" s="415">
        <v>44258</v>
      </c>
      <c r="D64" s="425"/>
      <c r="E64" s="174">
        <v>15.6</v>
      </c>
      <c r="F64" s="174">
        <v>16.100000000000001</v>
      </c>
      <c r="G64" s="174">
        <v>16.027000000000001</v>
      </c>
      <c r="H64" s="174">
        <v>14</v>
      </c>
      <c r="I64" s="174">
        <v>15.45</v>
      </c>
      <c r="J64" s="174">
        <v>10.85</v>
      </c>
      <c r="K64" s="178">
        <v>13.15</v>
      </c>
      <c r="L64" s="178">
        <v>13.26</v>
      </c>
      <c r="M64" s="178">
        <v>17</v>
      </c>
      <c r="N64" s="178">
        <v>17.5</v>
      </c>
      <c r="O64" s="178">
        <v>15</v>
      </c>
      <c r="P64" s="179">
        <v>16.5</v>
      </c>
      <c r="Q64" s="178">
        <v>15</v>
      </c>
      <c r="R64" s="179">
        <v>14.5</v>
      </c>
      <c r="S64" s="179">
        <v>15.5</v>
      </c>
      <c r="T64" s="179">
        <v>13.04</v>
      </c>
      <c r="U64" s="179">
        <v>17.2</v>
      </c>
      <c r="V64" s="180">
        <v>15.83</v>
      </c>
      <c r="W64" s="179">
        <v>16.2</v>
      </c>
      <c r="X64" s="182">
        <v>15.4</v>
      </c>
      <c r="Y64" s="180">
        <v>11</v>
      </c>
      <c r="Z64" s="182">
        <v>6.72</v>
      </c>
      <c r="AA64" s="182">
        <v>15.56</v>
      </c>
      <c r="AB64" s="182">
        <v>15</v>
      </c>
      <c r="AC64" s="182">
        <v>15.5</v>
      </c>
      <c r="AD64" s="182">
        <v>15</v>
      </c>
      <c r="AE64" s="182">
        <v>9.41</v>
      </c>
      <c r="AF64" s="182">
        <v>13.19</v>
      </c>
      <c r="AG64" s="182">
        <v>15</v>
      </c>
      <c r="AH64" s="182">
        <v>15.5</v>
      </c>
      <c r="AI64" s="182">
        <v>15</v>
      </c>
      <c r="AJ64" s="182">
        <v>15.08</v>
      </c>
      <c r="AK64" s="182">
        <v>14.87</v>
      </c>
      <c r="AL64" s="182">
        <v>14</v>
      </c>
      <c r="AM64" s="182">
        <v>15.5</v>
      </c>
      <c r="AN64" s="56"/>
      <c r="AO64" s="56"/>
      <c r="AP64" s="56"/>
      <c r="AQ64" s="56"/>
      <c r="AR64" s="56"/>
    </row>
    <row r="65" spans="1:44" ht="14.5" thickBot="1" x14ac:dyDescent="0.35">
      <c r="A65" s="417" t="s">
        <v>72</v>
      </c>
      <c r="B65" s="418"/>
      <c r="C65" s="418"/>
      <c r="D65" s="418"/>
      <c r="E65" s="156">
        <f>SUM(E59:E64)</f>
        <v>336.07599999999996</v>
      </c>
      <c r="F65" s="157">
        <f t="shared" ref="F65:AM65" si="26">SUM(F59:F64)</f>
        <v>347.04800000000006</v>
      </c>
      <c r="G65" s="157">
        <f t="shared" si="26"/>
        <v>370.32699999999994</v>
      </c>
      <c r="H65" s="157">
        <f t="shared" si="26"/>
        <v>370.678</v>
      </c>
      <c r="I65" s="157">
        <f t="shared" si="26"/>
        <v>357.93599999999998</v>
      </c>
      <c r="J65" s="157">
        <f t="shared" si="26"/>
        <v>356.6</v>
      </c>
      <c r="K65" s="157">
        <f t="shared" si="26"/>
        <v>359.15</v>
      </c>
      <c r="L65" s="157">
        <f t="shared" si="26"/>
        <v>357.03</v>
      </c>
      <c r="M65" s="157">
        <f t="shared" si="26"/>
        <v>323.73699999999997</v>
      </c>
      <c r="N65" s="157">
        <f t="shared" si="26"/>
        <v>316.26000000000005</v>
      </c>
      <c r="O65" s="157">
        <f t="shared" si="26"/>
        <v>334.70500000000004</v>
      </c>
      <c r="P65" s="157">
        <f t="shared" si="26"/>
        <v>278.15100000000001</v>
      </c>
      <c r="Q65" s="157">
        <f t="shared" si="26"/>
        <v>254.2</v>
      </c>
      <c r="R65" s="157">
        <f t="shared" si="26"/>
        <v>261.7</v>
      </c>
      <c r="S65" s="157">
        <f>SUM(S59:S64)</f>
        <v>279.90799999999996</v>
      </c>
      <c r="T65" s="157">
        <f>SUM(T59:T64)</f>
        <v>293.82000000000005</v>
      </c>
      <c r="U65" s="157">
        <f>SUM(U59:U64)</f>
        <v>303.39999999999998</v>
      </c>
      <c r="V65" s="157">
        <f t="shared" si="26"/>
        <v>308.19200000000001</v>
      </c>
      <c r="W65" s="157">
        <f t="shared" si="26"/>
        <v>296.95999999999998</v>
      </c>
      <c r="X65" s="157">
        <f t="shared" si="26"/>
        <v>308.83</v>
      </c>
      <c r="Y65" s="157">
        <f t="shared" si="26"/>
        <v>321.25885793868554</v>
      </c>
      <c r="Z65" s="157">
        <f t="shared" si="26"/>
        <v>291.46023227435035</v>
      </c>
      <c r="AA65" s="157">
        <f t="shared" si="26"/>
        <v>317.98101939324192</v>
      </c>
      <c r="AB65" s="157">
        <f t="shared" si="26"/>
        <v>301.22660439983946</v>
      </c>
      <c r="AC65" s="157">
        <f t="shared" si="26"/>
        <v>312.70454680977997</v>
      </c>
      <c r="AD65" s="157">
        <f t="shared" si="26"/>
        <v>301.70569013335995</v>
      </c>
      <c r="AE65" s="157">
        <f t="shared" si="26"/>
        <v>238.39</v>
      </c>
      <c r="AF65" s="157">
        <f t="shared" si="26"/>
        <v>320.83999999999997</v>
      </c>
      <c r="AG65" s="157">
        <f t="shared" si="26"/>
        <v>299.45</v>
      </c>
      <c r="AH65" s="157">
        <f t="shared" si="26"/>
        <v>283.34478840125394</v>
      </c>
      <c r="AI65" s="157">
        <f t="shared" si="26"/>
        <v>307.73456112852654</v>
      </c>
      <c r="AJ65" s="157">
        <f t="shared" si="26"/>
        <v>318.52568965517241</v>
      </c>
      <c r="AK65" s="157">
        <f t="shared" si="26"/>
        <v>316.98568965517245</v>
      </c>
      <c r="AL65" s="157">
        <f t="shared" si="26"/>
        <v>288.31965517241383</v>
      </c>
      <c r="AM65" s="157">
        <f t="shared" si="26"/>
        <v>317.9756896551724</v>
      </c>
      <c r="AN65" s="77"/>
      <c r="AO65" s="56"/>
      <c r="AP65" s="56"/>
      <c r="AQ65" s="56"/>
      <c r="AR65" s="56"/>
    </row>
    <row r="66" spans="1:44" ht="14.5" thickBot="1" x14ac:dyDescent="0.35">
      <c r="A66" s="142" t="s">
        <v>75</v>
      </c>
      <c r="B66" s="55"/>
      <c r="C66" s="56"/>
      <c r="D66" s="56"/>
      <c r="E66" s="56"/>
      <c r="F66" s="56"/>
      <c r="G66" s="56"/>
      <c r="H66" s="56"/>
      <c r="I66" s="56"/>
      <c r="J66" s="56"/>
      <c r="K66" s="56"/>
      <c r="L66" s="56"/>
      <c r="M66" s="56"/>
      <c r="N66" s="56"/>
      <c r="O66" s="56"/>
      <c r="P66" s="184"/>
      <c r="Q66" s="184"/>
      <c r="R66" s="184"/>
      <c r="S66" s="184"/>
      <c r="T66" s="184"/>
      <c r="U66" s="184"/>
      <c r="V66" s="184"/>
      <c r="W66" s="184">
        <v>25</v>
      </c>
      <c r="X66" s="184">
        <v>9</v>
      </c>
      <c r="Y66" s="184"/>
      <c r="Z66" s="184"/>
      <c r="AA66" s="184"/>
      <c r="AB66" s="184"/>
      <c r="AC66" s="184"/>
      <c r="AD66" s="184"/>
      <c r="AE66" s="184"/>
      <c r="AF66" s="184"/>
      <c r="AG66" s="184"/>
      <c r="AH66" s="184"/>
      <c r="AI66" s="184"/>
      <c r="AJ66" s="184"/>
      <c r="AK66" s="184"/>
      <c r="AL66" s="184"/>
      <c r="AM66" s="184"/>
      <c r="AN66" s="56"/>
      <c r="AO66" s="56"/>
      <c r="AP66" s="56"/>
      <c r="AQ66" s="56"/>
      <c r="AR66" s="56"/>
    </row>
    <row r="67" spans="1:44" s="70" customFormat="1" ht="14.5" thickBot="1" x14ac:dyDescent="0.35">
      <c r="A67" s="419" t="s">
        <v>29</v>
      </c>
      <c r="B67" s="420"/>
      <c r="C67" s="420" t="s">
        <v>61</v>
      </c>
      <c r="D67" s="420"/>
      <c r="E67" s="185">
        <f t="shared" ref="E67:AM67" si="27">E3</f>
        <v>43587</v>
      </c>
      <c r="F67" s="186">
        <f t="shared" si="27"/>
        <v>43618</v>
      </c>
      <c r="G67" s="186">
        <f t="shared" si="27"/>
        <v>43648</v>
      </c>
      <c r="H67" s="186">
        <f t="shared" si="27"/>
        <v>43679</v>
      </c>
      <c r="I67" s="186">
        <f t="shared" si="27"/>
        <v>43710</v>
      </c>
      <c r="J67" s="186">
        <f t="shared" si="27"/>
        <v>43740</v>
      </c>
      <c r="K67" s="186">
        <f t="shared" si="27"/>
        <v>43771</v>
      </c>
      <c r="L67" s="186">
        <f t="shared" si="27"/>
        <v>43801</v>
      </c>
      <c r="M67" s="186">
        <f t="shared" si="27"/>
        <v>43832</v>
      </c>
      <c r="N67" s="186">
        <f t="shared" si="27"/>
        <v>43863</v>
      </c>
      <c r="O67" s="186">
        <f t="shared" si="27"/>
        <v>43892</v>
      </c>
      <c r="P67" s="186">
        <f t="shared" si="27"/>
        <v>43923</v>
      </c>
      <c r="Q67" s="186">
        <f t="shared" si="27"/>
        <v>43953</v>
      </c>
      <c r="R67" s="186">
        <f t="shared" si="27"/>
        <v>43984</v>
      </c>
      <c r="S67" s="186">
        <f t="shared" si="27"/>
        <v>44014</v>
      </c>
      <c r="T67" s="186">
        <f t="shared" si="27"/>
        <v>44045</v>
      </c>
      <c r="U67" s="186">
        <f t="shared" si="27"/>
        <v>44076</v>
      </c>
      <c r="V67" s="186">
        <f t="shared" si="27"/>
        <v>44106</v>
      </c>
      <c r="W67" s="186">
        <f t="shared" si="27"/>
        <v>44137</v>
      </c>
      <c r="X67" s="186">
        <f t="shared" si="27"/>
        <v>44167</v>
      </c>
      <c r="Y67" s="186">
        <f t="shared" si="27"/>
        <v>44198</v>
      </c>
      <c r="Z67" s="186">
        <f t="shared" si="27"/>
        <v>44229</v>
      </c>
      <c r="AA67" s="186">
        <f t="shared" si="27"/>
        <v>44257</v>
      </c>
      <c r="AB67" s="186">
        <f t="shared" si="27"/>
        <v>44288</v>
      </c>
      <c r="AC67" s="186">
        <f t="shared" si="27"/>
        <v>44318</v>
      </c>
      <c r="AD67" s="186">
        <f t="shared" si="27"/>
        <v>44349</v>
      </c>
      <c r="AE67" s="186">
        <f t="shared" si="27"/>
        <v>44379</v>
      </c>
      <c r="AF67" s="186">
        <f t="shared" si="27"/>
        <v>44410</v>
      </c>
      <c r="AG67" s="186">
        <f t="shared" si="27"/>
        <v>44441</v>
      </c>
      <c r="AH67" s="186">
        <f t="shared" si="27"/>
        <v>44471</v>
      </c>
      <c r="AI67" s="186">
        <f t="shared" si="27"/>
        <v>44502</v>
      </c>
      <c r="AJ67" s="186">
        <f t="shared" si="27"/>
        <v>44532</v>
      </c>
      <c r="AK67" s="186">
        <f t="shared" si="27"/>
        <v>44563</v>
      </c>
      <c r="AL67" s="186">
        <f t="shared" si="27"/>
        <v>44594</v>
      </c>
      <c r="AM67" s="186">
        <f t="shared" si="27"/>
        <v>44622</v>
      </c>
      <c r="AN67" s="114"/>
      <c r="AO67" s="69"/>
      <c r="AP67" s="69"/>
      <c r="AQ67" s="69"/>
      <c r="AR67" s="69"/>
    </row>
    <row r="68" spans="1:44" s="70" customFormat="1" ht="14.5" thickBot="1" x14ac:dyDescent="0.35">
      <c r="A68" s="143" t="s">
        <v>62</v>
      </c>
      <c r="B68" s="144"/>
      <c r="C68" s="421"/>
      <c r="D68" s="422"/>
      <c r="E68" s="185"/>
      <c r="F68" s="186"/>
      <c r="G68" s="186"/>
      <c r="H68" s="186"/>
      <c r="I68" s="186"/>
      <c r="J68" s="186"/>
      <c r="K68" s="186"/>
      <c r="L68" s="186"/>
      <c r="M68" s="186"/>
      <c r="N68" s="186"/>
      <c r="O68" s="186"/>
      <c r="P68" s="186"/>
      <c r="Q68" s="187">
        <f t="shared" ref="Q68:AM69" si="28">Q55-Q42</f>
        <v>0</v>
      </c>
      <c r="R68" s="187">
        <f t="shared" si="28"/>
        <v>-0.53409090909087809</v>
      </c>
      <c r="S68" s="187">
        <f t="shared" si="28"/>
        <v>0.35240909090906314</v>
      </c>
      <c r="T68" s="187">
        <f t="shared" si="28"/>
        <v>0.76000000000000512</v>
      </c>
      <c r="U68" s="187">
        <f t="shared" si="28"/>
        <v>0</v>
      </c>
      <c r="V68" s="187">
        <f t="shared" si="28"/>
        <v>0.8960000000000008</v>
      </c>
      <c r="W68" s="187">
        <f t="shared" si="28"/>
        <v>1.8689999999999998</v>
      </c>
      <c r="X68" s="187">
        <f t="shared" si="28"/>
        <v>5.5799999999999983</v>
      </c>
      <c r="Y68" s="187">
        <f t="shared" si="28"/>
        <v>-0.51461927084508829</v>
      </c>
      <c r="Z68" s="187">
        <f t="shared" si="28"/>
        <v>2.4733540685734425</v>
      </c>
      <c r="AA68" s="187">
        <f t="shared" si="28"/>
        <v>0.34425025804725351</v>
      </c>
      <c r="AB68" s="187">
        <f t="shared" si="28"/>
        <v>-1.0182926829268411</v>
      </c>
      <c r="AC68" s="187">
        <f t="shared" si="28"/>
        <v>0.31000000000000227</v>
      </c>
      <c r="AD68" s="187">
        <f t="shared" si="28"/>
        <v>0.29999999999999716</v>
      </c>
      <c r="AE68" s="187">
        <f t="shared" si="28"/>
        <v>0.31000000000000227</v>
      </c>
      <c r="AF68" s="187">
        <f t="shared" si="28"/>
        <v>0.31000000000000227</v>
      </c>
      <c r="AG68" s="187">
        <f t="shared" si="28"/>
        <v>0.65000000000000568</v>
      </c>
      <c r="AH68" s="187">
        <f t="shared" si="28"/>
        <v>1.0520977011494352</v>
      </c>
      <c r="AI68" s="187">
        <f t="shared" si="28"/>
        <v>0.29213624894870804</v>
      </c>
      <c r="AJ68" s="187">
        <f t="shared" si="28"/>
        <v>0.46912811886738837</v>
      </c>
      <c r="AK68" s="187">
        <f t="shared" si="28"/>
        <v>0.46912811886738837</v>
      </c>
      <c r="AL68" s="187">
        <f t="shared" si="28"/>
        <v>0.42372862349313323</v>
      </c>
      <c r="AM68" s="187">
        <f t="shared" si="28"/>
        <v>9.5101031679282215</v>
      </c>
      <c r="AN68" s="114"/>
      <c r="AO68" s="69"/>
      <c r="AP68" s="69"/>
      <c r="AQ68" s="69"/>
      <c r="AR68" s="69"/>
    </row>
    <row r="69" spans="1:44" s="70" customFormat="1" ht="14.5" thickBot="1" x14ac:dyDescent="0.35">
      <c r="A69" s="148" t="s">
        <v>64</v>
      </c>
      <c r="B69" s="149"/>
      <c r="C69" s="414"/>
      <c r="D69" s="423"/>
      <c r="E69" s="185"/>
      <c r="F69" s="186"/>
      <c r="G69" s="186"/>
      <c r="H69" s="186"/>
      <c r="I69" s="186"/>
      <c r="J69" s="186"/>
      <c r="K69" s="186"/>
      <c r="L69" s="186"/>
      <c r="M69" s="186"/>
      <c r="N69" s="186"/>
      <c r="O69" s="186"/>
      <c r="P69" s="186"/>
      <c r="Q69" s="152">
        <f t="shared" si="28"/>
        <v>0</v>
      </c>
      <c r="R69" s="152">
        <f t="shared" si="28"/>
        <v>-1.0589090909091112</v>
      </c>
      <c r="S69" s="152">
        <f t="shared" si="28"/>
        <v>-1.0878876727270779</v>
      </c>
      <c r="T69" s="152">
        <f t="shared" si="28"/>
        <v>-1.3999999999999773</v>
      </c>
      <c r="U69" s="152">
        <f t="shared" si="28"/>
        <v>0</v>
      </c>
      <c r="V69" s="152">
        <f t="shared" si="28"/>
        <v>-9.4899999999999807</v>
      </c>
      <c r="W69" s="152">
        <f t="shared" si="28"/>
        <v>1.6589999999999918</v>
      </c>
      <c r="X69" s="152">
        <f t="shared" si="28"/>
        <v>23.974999999999966</v>
      </c>
      <c r="Y69" s="152">
        <f t="shared" si="28"/>
        <v>0.63147720953054431</v>
      </c>
      <c r="Z69" s="152">
        <f t="shared" si="28"/>
        <v>5.8668782057768567</v>
      </c>
      <c r="AA69" s="152">
        <f t="shared" si="28"/>
        <v>2.9918900504022474</v>
      </c>
      <c r="AB69" s="152">
        <f t="shared" si="28"/>
        <v>2.9128288612265862</v>
      </c>
      <c r="AC69" s="152">
        <f t="shared" si="28"/>
        <v>1.1386670053080366</v>
      </c>
      <c r="AD69" s="152">
        <f t="shared" si="28"/>
        <v>-3.6307687978296315</v>
      </c>
      <c r="AE69" s="152">
        <f t="shared" si="28"/>
        <v>-0.3100000000000307</v>
      </c>
      <c r="AF69" s="152">
        <f t="shared" si="28"/>
        <v>-0.31000000000000227</v>
      </c>
      <c r="AG69" s="152">
        <f t="shared" si="28"/>
        <v>-0.65000000000006253</v>
      </c>
      <c r="AH69" s="152">
        <f t="shared" si="28"/>
        <v>-1.0520977011494494</v>
      </c>
      <c r="AI69" s="152">
        <f t="shared" si="28"/>
        <v>-0.29213624894876489</v>
      </c>
      <c r="AJ69" s="152">
        <f t="shared" si="28"/>
        <v>-0.46912811886744521</v>
      </c>
      <c r="AK69" s="152">
        <f t="shared" si="28"/>
        <v>-0.46912811886744521</v>
      </c>
      <c r="AL69" s="152">
        <f t="shared" si="28"/>
        <v>-0.42372862349313323</v>
      </c>
      <c r="AM69" s="152">
        <f t="shared" si="28"/>
        <v>18.645931314830364</v>
      </c>
      <c r="AN69" s="114"/>
      <c r="AO69" s="69"/>
      <c r="AP69" s="69"/>
      <c r="AQ69" s="69"/>
      <c r="AR69" s="69"/>
    </row>
    <row r="70" spans="1:44" s="70" customFormat="1" ht="14.5" thickBot="1" x14ac:dyDescent="0.35">
      <c r="A70" s="150" t="s">
        <v>65</v>
      </c>
      <c r="B70" s="149"/>
      <c r="C70" s="81"/>
      <c r="D70" s="188"/>
      <c r="E70" s="185"/>
      <c r="F70" s="186"/>
      <c r="G70" s="186"/>
      <c r="H70" s="186"/>
      <c r="I70" s="186"/>
      <c r="J70" s="186"/>
      <c r="K70" s="186"/>
      <c r="L70" s="186"/>
      <c r="M70" s="186"/>
      <c r="N70" s="186"/>
      <c r="O70" s="186"/>
      <c r="P70" s="186"/>
      <c r="Q70" s="152"/>
      <c r="R70" s="152"/>
      <c r="S70" s="152"/>
      <c r="T70" s="152"/>
      <c r="U70" s="152"/>
      <c r="V70" s="152"/>
      <c r="W70" s="152"/>
      <c r="X70" s="152"/>
      <c r="Y70" s="152"/>
      <c r="Z70" s="152"/>
      <c r="AA70" s="152"/>
      <c r="AB70" s="152"/>
      <c r="AC70" s="152"/>
      <c r="AD70" s="152"/>
      <c r="AE70" s="152"/>
      <c r="AF70" s="152"/>
      <c r="AG70" s="152"/>
      <c r="AH70" s="152"/>
      <c r="AI70" s="152"/>
      <c r="AJ70" s="152"/>
      <c r="AK70" s="152"/>
      <c r="AL70" s="152"/>
      <c r="AM70" s="152"/>
      <c r="AN70" s="114"/>
      <c r="AO70" s="69"/>
      <c r="AP70" s="69"/>
      <c r="AQ70" s="69"/>
      <c r="AR70" s="69"/>
    </row>
    <row r="71" spans="1:44" s="70" customFormat="1" ht="14.5" thickBot="1" x14ac:dyDescent="0.35">
      <c r="A71" s="150" t="s">
        <v>66</v>
      </c>
      <c r="B71" s="149"/>
      <c r="C71" s="81"/>
      <c r="D71" s="188"/>
      <c r="E71" s="185"/>
      <c r="F71" s="186"/>
      <c r="G71" s="186"/>
      <c r="H71" s="186"/>
      <c r="I71" s="186"/>
      <c r="J71" s="186"/>
      <c r="K71" s="186"/>
      <c r="L71" s="186"/>
      <c r="M71" s="186"/>
      <c r="N71" s="186"/>
      <c r="O71" s="186"/>
      <c r="P71" s="186"/>
      <c r="Q71" s="152"/>
      <c r="R71" s="152"/>
      <c r="S71" s="152"/>
      <c r="T71" s="152"/>
      <c r="U71" s="152"/>
      <c r="V71" s="152"/>
      <c r="W71" s="152"/>
      <c r="X71" s="152"/>
      <c r="Y71" s="152"/>
      <c r="Z71" s="152"/>
      <c r="AA71" s="152"/>
      <c r="AB71" s="152"/>
      <c r="AC71" s="152"/>
      <c r="AD71" s="152"/>
      <c r="AE71" s="152"/>
      <c r="AF71" s="152"/>
      <c r="AG71" s="152"/>
      <c r="AH71" s="152"/>
      <c r="AI71" s="152"/>
      <c r="AJ71" s="152"/>
      <c r="AK71" s="152"/>
      <c r="AL71" s="152"/>
      <c r="AM71" s="152"/>
      <c r="AN71" s="114"/>
      <c r="AO71" s="69"/>
      <c r="AP71" s="69"/>
      <c r="AQ71" s="69"/>
      <c r="AR71" s="69"/>
    </row>
    <row r="72" spans="1:44" s="6" customFormat="1" x14ac:dyDescent="0.3">
      <c r="A72" s="148" t="s">
        <v>67</v>
      </c>
      <c r="B72" s="149"/>
      <c r="C72" s="414"/>
      <c r="D72" s="423"/>
      <c r="E72" s="189">
        <f t="shared" ref="E72:AM72" si="29">E59-E46</f>
        <v>0</v>
      </c>
      <c r="F72" s="187">
        <f t="shared" si="29"/>
        <v>0</v>
      </c>
      <c r="G72" s="187">
        <f t="shared" si="29"/>
        <v>-10.29000000000002</v>
      </c>
      <c r="H72" s="187">
        <f t="shared" si="29"/>
        <v>0.47800000000000864</v>
      </c>
      <c r="I72" s="187">
        <f t="shared" si="29"/>
        <v>-15.26400000000001</v>
      </c>
      <c r="J72" s="187">
        <f t="shared" si="29"/>
        <v>-3</v>
      </c>
      <c r="K72" s="187">
        <f t="shared" si="29"/>
        <v>1.3000000000000114</v>
      </c>
      <c r="L72" s="187">
        <f t="shared" si="29"/>
        <v>-1.2400000000000091</v>
      </c>
      <c r="M72" s="187">
        <f t="shared" si="29"/>
        <v>-13.833000000000027</v>
      </c>
      <c r="N72" s="187">
        <f t="shared" si="29"/>
        <v>-1.4499999999999886</v>
      </c>
      <c r="O72" s="187">
        <f t="shared" si="29"/>
        <v>-13.600000000000023</v>
      </c>
      <c r="P72" s="187">
        <f t="shared" si="29"/>
        <v>-42.199000000000012</v>
      </c>
      <c r="Q72" s="152">
        <f t="shared" si="29"/>
        <v>0</v>
      </c>
      <c r="R72" s="152">
        <f t="shared" si="29"/>
        <v>-0.68258821384330304</v>
      </c>
      <c r="S72" s="152">
        <f t="shared" si="29"/>
        <v>-0.73547858181800052</v>
      </c>
      <c r="T72" s="152">
        <f t="shared" si="29"/>
        <v>-0.63999999999998636</v>
      </c>
      <c r="U72" s="152">
        <f t="shared" si="29"/>
        <v>0</v>
      </c>
      <c r="V72" s="152">
        <f t="shared" si="29"/>
        <v>-8.5939999999999941</v>
      </c>
      <c r="W72" s="152">
        <f t="shared" si="29"/>
        <v>3.5279999999999916</v>
      </c>
      <c r="X72" s="152">
        <f t="shared" si="29"/>
        <v>29.554999999999978</v>
      </c>
      <c r="Y72" s="152">
        <f t="shared" si="29"/>
        <v>0.11685793868548444</v>
      </c>
      <c r="Z72" s="152">
        <f t="shared" si="29"/>
        <v>8.3402322743503134</v>
      </c>
      <c r="AA72" s="152">
        <f t="shared" si="29"/>
        <v>3.3361403084495009</v>
      </c>
      <c r="AB72" s="152">
        <f t="shared" si="29"/>
        <v>1.8945361782997452</v>
      </c>
      <c r="AC72" s="152">
        <f t="shared" si="29"/>
        <v>1.4486670053080388</v>
      </c>
      <c r="AD72" s="152">
        <f t="shared" si="29"/>
        <v>-3.3307687978296485</v>
      </c>
      <c r="AE72" s="152">
        <f t="shared" si="29"/>
        <v>0</v>
      </c>
      <c r="AF72" s="152">
        <f t="shared" si="29"/>
        <v>0</v>
      </c>
      <c r="AG72" s="152">
        <f t="shared" si="29"/>
        <v>0</v>
      </c>
      <c r="AH72" s="152">
        <f t="shared" si="29"/>
        <v>0</v>
      </c>
      <c r="AI72" s="152">
        <f t="shared" si="29"/>
        <v>0</v>
      </c>
      <c r="AJ72" s="152">
        <f t="shared" si="29"/>
        <v>0</v>
      </c>
      <c r="AK72" s="152">
        <f t="shared" si="29"/>
        <v>0</v>
      </c>
      <c r="AL72" s="152">
        <f t="shared" si="29"/>
        <v>0</v>
      </c>
      <c r="AM72" s="152">
        <f t="shared" si="29"/>
        <v>28.156034482758571</v>
      </c>
      <c r="AN72" s="77"/>
      <c r="AO72" s="56"/>
      <c r="AP72" s="56"/>
      <c r="AQ72" s="56"/>
      <c r="AR72" s="56"/>
    </row>
    <row r="73" spans="1:44" x14ac:dyDescent="0.3">
      <c r="A73" s="148" t="s">
        <v>14</v>
      </c>
      <c r="B73" s="149"/>
      <c r="C73" s="413"/>
      <c r="D73" s="414"/>
      <c r="E73" s="190">
        <f t="shared" ref="E73:AM76" si="30">E61-E48</f>
        <v>0</v>
      </c>
      <c r="F73" s="152">
        <f t="shared" si="30"/>
        <v>-3</v>
      </c>
      <c r="G73" s="152">
        <f t="shared" si="30"/>
        <v>2</v>
      </c>
      <c r="H73" s="152">
        <f t="shared" si="30"/>
        <v>0</v>
      </c>
      <c r="I73" s="152">
        <f t="shared" si="30"/>
        <v>0</v>
      </c>
      <c r="J73" s="152">
        <f t="shared" si="30"/>
        <v>-3</v>
      </c>
      <c r="K73" s="152">
        <f t="shared" si="30"/>
        <v>2</v>
      </c>
      <c r="L73" s="152">
        <f t="shared" si="30"/>
        <v>1.5</v>
      </c>
      <c r="M73" s="152">
        <f t="shared" si="30"/>
        <v>-3</v>
      </c>
      <c r="N73" s="152">
        <f t="shared" si="30"/>
        <v>2</v>
      </c>
      <c r="O73" s="152">
        <f t="shared" si="30"/>
        <v>0</v>
      </c>
      <c r="P73" s="152">
        <f t="shared" si="30"/>
        <v>-12</v>
      </c>
      <c r="Q73" s="152">
        <f t="shared" si="30"/>
        <v>0</v>
      </c>
      <c r="R73" s="152">
        <f t="shared" si="30"/>
        <v>0</v>
      </c>
      <c r="S73" s="152">
        <f t="shared" si="30"/>
        <v>-4</v>
      </c>
      <c r="T73" s="152">
        <f t="shared" si="30"/>
        <v>1.2</v>
      </c>
      <c r="U73" s="152">
        <f t="shared" si="30"/>
        <v>-3</v>
      </c>
      <c r="V73" s="152">
        <f t="shared" si="30"/>
        <v>0</v>
      </c>
      <c r="W73" s="152">
        <f t="shared" si="30"/>
        <v>2</v>
      </c>
      <c r="X73" s="152">
        <f t="shared" si="30"/>
        <v>-2.4000000000000004</v>
      </c>
      <c r="Y73" s="152">
        <f t="shared" si="30"/>
        <v>16.5</v>
      </c>
      <c r="Z73" s="152">
        <f t="shared" si="30"/>
        <v>12</v>
      </c>
      <c r="AA73" s="152">
        <f t="shared" si="30"/>
        <v>0</v>
      </c>
      <c r="AB73" s="152">
        <f t="shared" si="30"/>
        <v>0</v>
      </c>
      <c r="AC73" s="152">
        <f t="shared" si="30"/>
        <v>0</v>
      </c>
      <c r="AD73" s="152">
        <f t="shared" si="30"/>
        <v>0</v>
      </c>
      <c r="AE73" s="152">
        <f t="shared" si="30"/>
        <v>0</v>
      </c>
      <c r="AF73" s="152">
        <f t="shared" si="30"/>
        <v>0</v>
      </c>
      <c r="AG73" s="152">
        <f t="shared" si="30"/>
        <v>0</v>
      </c>
      <c r="AH73" s="152">
        <f t="shared" si="30"/>
        <v>0</v>
      </c>
      <c r="AI73" s="152">
        <f t="shared" si="30"/>
        <v>0</v>
      </c>
      <c r="AJ73" s="152">
        <f t="shared" si="30"/>
        <v>0</v>
      </c>
      <c r="AK73" s="152">
        <f t="shared" si="30"/>
        <v>0</v>
      </c>
      <c r="AL73" s="152">
        <f t="shared" si="30"/>
        <v>0</v>
      </c>
      <c r="AM73" s="152">
        <f t="shared" si="30"/>
        <v>0</v>
      </c>
      <c r="AN73" s="77"/>
      <c r="AO73" s="56"/>
      <c r="AP73" s="56"/>
      <c r="AQ73" s="56"/>
      <c r="AR73" s="56"/>
    </row>
    <row r="74" spans="1:44" x14ac:dyDescent="0.3">
      <c r="A74" s="148" t="s">
        <v>69</v>
      </c>
      <c r="B74" s="149"/>
      <c r="C74" s="413"/>
      <c r="D74" s="414"/>
      <c r="E74" s="190">
        <f t="shared" si="30"/>
        <v>0</v>
      </c>
      <c r="F74" s="152">
        <f t="shared" si="30"/>
        <v>0</v>
      </c>
      <c r="G74" s="152">
        <f t="shared" si="30"/>
        <v>1.1000000000000005</v>
      </c>
      <c r="H74" s="152">
        <f t="shared" si="30"/>
        <v>0</v>
      </c>
      <c r="I74" s="152">
        <f t="shared" si="30"/>
        <v>0.70000000000000018</v>
      </c>
      <c r="J74" s="152">
        <f t="shared" si="30"/>
        <v>0</v>
      </c>
      <c r="K74" s="152">
        <f t="shared" si="30"/>
        <v>0</v>
      </c>
      <c r="L74" s="152">
        <f t="shared" si="30"/>
        <v>-1.4400000000000004</v>
      </c>
      <c r="M74" s="152">
        <f t="shared" si="30"/>
        <v>-0.83000000000000007</v>
      </c>
      <c r="N74" s="152">
        <f t="shared" si="30"/>
        <v>-0.40000000000000036</v>
      </c>
      <c r="O74" s="152">
        <f t="shared" si="30"/>
        <v>0</v>
      </c>
      <c r="P74" s="152">
        <f t="shared" si="30"/>
        <v>-2</v>
      </c>
      <c r="Q74" s="152">
        <f t="shared" si="30"/>
        <v>-3.5</v>
      </c>
      <c r="R74" s="152">
        <f t="shared" si="30"/>
        <v>-0.60000000000000009</v>
      </c>
      <c r="S74" s="152">
        <f t="shared" si="30"/>
        <v>-0.10000000000000009</v>
      </c>
      <c r="T74" s="152">
        <f t="shared" si="30"/>
        <v>-2</v>
      </c>
      <c r="U74" s="152">
        <f t="shared" si="30"/>
        <v>-0.64000000000000012</v>
      </c>
      <c r="V74" s="152">
        <f t="shared" si="30"/>
        <v>-0.59999999999999964</v>
      </c>
      <c r="W74" s="152">
        <f t="shared" si="30"/>
        <v>0.69999999999999929</v>
      </c>
      <c r="X74" s="152">
        <f t="shared" si="30"/>
        <v>1.2000000000000002</v>
      </c>
      <c r="Y74" s="152">
        <f t="shared" si="30"/>
        <v>2.169999999999999</v>
      </c>
      <c r="Z74" s="152">
        <f t="shared" si="30"/>
        <v>0.59999999999999964</v>
      </c>
      <c r="AA74" s="152">
        <f t="shared" si="30"/>
        <v>-0.44000000000000039</v>
      </c>
      <c r="AB74" s="152">
        <f t="shared" si="30"/>
        <v>-0.44000000000000039</v>
      </c>
      <c r="AC74" s="152">
        <f t="shared" si="30"/>
        <v>0</v>
      </c>
      <c r="AD74" s="152">
        <f t="shared" si="30"/>
        <v>0.4300000000000006</v>
      </c>
      <c r="AE74" s="152">
        <f t="shared" si="30"/>
        <v>0.65000000000000036</v>
      </c>
      <c r="AF74" s="152">
        <f t="shared" si="30"/>
        <v>0.65000000000000036</v>
      </c>
      <c r="AG74" s="152">
        <f t="shared" si="30"/>
        <v>0</v>
      </c>
      <c r="AH74" s="152">
        <f t="shared" si="30"/>
        <v>0</v>
      </c>
      <c r="AI74" s="152">
        <f t="shared" si="30"/>
        <v>0</v>
      </c>
      <c r="AJ74" s="152">
        <f t="shared" si="30"/>
        <v>0</v>
      </c>
      <c r="AK74" s="152">
        <f t="shared" si="30"/>
        <v>0</v>
      </c>
      <c r="AL74" s="152">
        <f t="shared" si="30"/>
        <v>0.36000000000000032</v>
      </c>
      <c r="AM74" s="152">
        <f t="shared" si="30"/>
        <v>0.36000000000000032</v>
      </c>
      <c r="AN74" s="77"/>
      <c r="AO74" s="56"/>
      <c r="AP74" s="56"/>
      <c r="AQ74" s="56"/>
      <c r="AR74" s="56"/>
    </row>
    <row r="75" spans="1:44" x14ac:dyDescent="0.3">
      <c r="A75" s="148" t="s">
        <v>70</v>
      </c>
      <c r="B75" s="149"/>
      <c r="C75" s="413"/>
      <c r="D75" s="414"/>
      <c r="E75" s="190">
        <f t="shared" si="30"/>
        <v>0</v>
      </c>
      <c r="F75" s="152">
        <f t="shared" si="30"/>
        <v>0.51999999999999957</v>
      </c>
      <c r="G75" s="152">
        <f t="shared" si="30"/>
        <v>0</v>
      </c>
      <c r="H75" s="152">
        <f t="shared" si="30"/>
        <v>0.16000000000000014</v>
      </c>
      <c r="I75" s="152">
        <f t="shared" si="30"/>
        <v>0</v>
      </c>
      <c r="J75" s="152">
        <f t="shared" si="30"/>
        <v>0</v>
      </c>
      <c r="K75" s="152">
        <f t="shared" si="30"/>
        <v>0.85000000000000053</v>
      </c>
      <c r="L75" s="152">
        <f t="shared" si="30"/>
        <v>0</v>
      </c>
      <c r="M75" s="152">
        <f t="shared" si="30"/>
        <v>0.15000000000000036</v>
      </c>
      <c r="N75" s="152">
        <f t="shared" si="30"/>
        <v>0</v>
      </c>
      <c r="O75" s="152">
        <f t="shared" si="30"/>
        <v>0</v>
      </c>
      <c r="P75" s="152">
        <f t="shared" si="30"/>
        <v>0</v>
      </c>
      <c r="Q75" s="152">
        <f t="shared" si="30"/>
        <v>-1.4500000000000002</v>
      </c>
      <c r="R75" s="152">
        <f t="shared" si="30"/>
        <v>0.29999999999999982</v>
      </c>
      <c r="S75" s="152">
        <f t="shared" si="30"/>
        <v>1.1400000000000006</v>
      </c>
      <c r="T75" s="152">
        <f t="shared" si="30"/>
        <v>9.9999999999999645E-2</v>
      </c>
      <c r="U75" s="152">
        <f t="shared" si="30"/>
        <v>-0.17999999999999972</v>
      </c>
      <c r="V75" s="152">
        <f t="shared" si="30"/>
        <v>0.21999999999999975</v>
      </c>
      <c r="W75" s="152">
        <f t="shared" si="30"/>
        <v>0</v>
      </c>
      <c r="X75" s="152">
        <f t="shared" si="30"/>
        <v>0</v>
      </c>
      <c r="Y75" s="152">
        <f t="shared" si="30"/>
        <v>-0.40299999999999958</v>
      </c>
      <c r="Z75" s="152">
        <f t="shared" si="30"/>
        <v>0</v>
      </c>
      <c r="AA75" s="152">
        <f t="shared" si="30"/>
        <v>-0.14999999999999947</v>
      </c>
      <c r="AB75" s="152">
        <f t="shared" si="30"/>
        <v>0</v>
      </c>
      <c r="AC75" s="152">
        <f t="shared" si="30"/>
        <v>-0.14999999999999947</v>
      </c>
      <c r="AD75" s="152">
        <f t="shared" si="30"/>
        <v>0</v>
      </c>
      <c r="AE75" s="152">
        <f t="shared" si="30"/>
        <v>0</v>
      </c>
      <c r="AF75" s="152">
        <f t="shared" si="30"/>
        <v>0</v>
      </c>
      <c r="AG75" s="152">
        <f t="shared" si="30"/>
        <v>0</v>
      </c>
      <c r="AH75" s="152">
        <f t="shared" si="30"/>
        <v>0</v>
      </c>
      <c r="AI75" s="152">
        <f t="shared" si="30"/>
        <v>0</v>
      </c>
      <c r="AJ75" s="152">
        <f t="shared" si="30"/>
        <v>0</v>
      </c>
      <c r="AK75" s="152">
        <f t="shared" si="30"/>
        <v>0</v>
      </c>
      <c r="AL75" s="152">
        <f t="shared" si="30"/>
        <v>0</v>
      </c>
      <c r="AM75" s="152">
        <f t="shared" si="30"/>
        <v>0</v>
      </c>
      <c r="AN75" s="77"/>
      <c r="AO75" s="56"/>
      <c r="AP75" s="56"/>
      <c r="AQ75" s="56"/>
      <c r="AR75" s="56"/>
    </row>
    <row r="76" spans="1:44" ht="14.5" thickBot="1" x14ac:dyDescent="0.35">
      <c r="A76" s="154" t="s">
        <v>71</v>
      </c>
      <c r="B76" s="183"/>
      <c r="C76" s="415"/>
      <c r="D76" s="416"/>
      <c r="E76" s="191">
        <f t="shared" si="30"/>
        <v>0</v>
      </c>
      <c r="F76" s="192">
        <f t="shared" si="30"/>
        <v>0.68000000000000149</v>
      </c>
      <c r="G76" s="192">
        <f t="shared" si="30"/>
        <v>0</v>
      </c>
      <c r="H76" s="192">
        <f t="shared" si="30"/>
        <v>-1.9299999999999997</v>
      </c>
      <c r="I76" s="192">
        <f t="shared" si="30"/>
        <v>0</v>
      </c>
      <c r="J76" s="192">
        <f t="shared" si="30"/>
        <v>0</v>
      </c>
      <c r="K76" s="192">
        <f t="shared" si="30"/>
        <v>2.6500000000000004</v>
      </c>
      <c r="L76" s="192">
        <f t="shared" si="30"/>
        <v>0</v>
      </c>
      <c r="M76" s="192">
        <f t="shared" si="30"/>
        <v>2.7189999999999994</v>
      </c>
      <c r="N76" s="192">
        <f t="shared" si="30"/>
        <v>1.5</v>
      </c>
      <c r="O76" s="192">
        <f t="shared" si="30"/>
        <v>-2</v>
      </c>
      <c r="P76" s="192">
        <f t="shared" si="30"/>
        <v>0.90000000000000036</v>
      </c>
      <c r="Q76" s="192">
        <f t="shared" si="30"/>
        <v>-2.0500000000000007</v>
      </c>
      <c r="R76" s="192">
        <f t="shared" si="30"/>
        <v>-1.0999999999999996</v>
      </c>
      <c r="S76" s="192">
        <f t="shared" si="30"/>
        <v>-1.2399999999999984</v>
      </c>
      <c r="T76" s="192">
        <f t="shared" si="30"/>
        <v>-1.5200000000000014</v>
      </c>
      <c r="U76" s="192">
        <f t="shared" si="30"/>
        <v>0</v>
      </c>
      <c r="V76" s="192">
        <f t="shared" si="30"/>
        <v>-0.90999999999999837</v>
      </c>
      <c r="W76" s="192">
        <f t="shared" si="30"/>
        <v>0</v>
      </c>
      <c r="X76" s="192">
        <f t="shared" si="30"/>
        <v>-0.72000000000000064</v>
      </c>
      <c r="Y76" s="192">
        <f t="shared" si="30"/>
        <v>-2.1199999999999992</v>
      </c>
      <c r="Z76" s="192">
        <f t="shared" si="30"/>
        <v>-2.1100000000000003</v>
      </c>
      <c r="AA76" s="192">
        <f t="shared" si="30"/>
        <v>0</v>
      </c>
      <c r="AB76" s="192">
        <f t="shared" si="30"/>
        <v>0</v>
      </c>
      <c r="AC76" s="192">
        <f t="shared" si="30"/>
        <v>0</v>
      </c>
      <c r="AD76" s="192">
        <f t="shared" si="30"/>
        <v>0</v>
      </c>
      <c r="AE76" s="192">
        <f t="shared" si="30"/>
        <v>0</v>
      </c>
      <c r="AF76" s="192">
        <f t="shared" si="30"/>
        <v>0</v>
      </c>
      <c r="AG76" s="192">
        <f t="shared" si="30"/>
        <v>0</v>
      </c>
      <c r="AH76" s="192">
        <f t="shared" si="30"/>
        <v>0</v>
      </c>
      <c r="AI76" s="192">
        <f t="shared" si="30"/>
        <v>0</v>
      </c>
      <c r="AJ76" s="192">
        <f t="shared" si="30"/>
        <v>0</v>
      </c>
      <c r="AK76" s="192">
        <f t="shared" si="30"/>
        <v>0</v>
      </c>
      <c r="AL76" s="192">
        <f t="shared" si="30"/>
        <v>0</v>
      </c>
      <c r="AM76" s="192">
        <f t="shared" si="30"/>
        <v>1.5</v>
      </c>
      <c r="AN76" s="77"/>
      <c r="AO76" s="56"/>
      <c r="AP76" s="56"/>
      <c r="AQ76" s="56"/>
      <c r="AR76" s="56"/>
    </row>
    <row r="77" spans="1:44" ht="14.5" thickBot="1" x14ac:dyDescent="0.35">
      <c r="A77" s="417" t="s">
        <v>72</v>
      </c>
      <c r="B77" s="418"/>
      <c r="C77" s="418"/>
      <c r="D77" s="418"/>
      <c r="E77" s="193">
        <f t="shared" ref="E77:AM77" si="31">SUM(E72:E76)</f>
        <v>0</v>
      </c>
      <c r="F77" s="194">
        <f t="shared" si="31"/>
        <v>-1.7999999999999989</v>
      </c>
      <c r="G77" s="194">
        <f t="shared" si="31"/>
        <v>-7.1900000000000199</v>
      </c>
      <c r="H77" s="194">
        <f t="shared" si="31"/>
        <v>-1.2919999999999909</v>
      </c>
      <c r="I77" s="194">
        <f t="shared" si="31"/>
        <v>-14.564000000000011</v>
      </c>
      <c r="J77" s="194">
        <f t="shared" si="31"/>
        <v>-6</v>
      </c>
      <c r="K77" s="194">
        <f t="shared" si="31"/>
        <v>6.8000000000000123</v>
      </c>
      <c r="L77" s="194">
        <f t="shared" si="31"/>
        <v>-1.1800000000000095</v>
      </c>
      <c r="M77" s="194">
        <f t="shared" si="31"/>
        <v>-14.794000000000027</v>
      </c>
      <c r="N77" s="194">
        <f t="shared" si="31"/>
        <v>1.650000000000011</v>
      </c>
      <c r="O77" s="194">
        <f t="shared" si="31"/>
        <v>-15.600000000000023</v>
      </c>
      <c r="P77" s="194">
        <f t="shared" si="31"/>
        <v>-55.299000000000014</v>
      </c>
      <c r="Q77" s="194">
        <f t="shared" si="31"/>
        <v>-7.0000000000000009</v>
      </c>
      <c r="R77" s="194">
        <f t="shared" si="31"/>
        <v>-2.0825882138433029</v>
      </c>
      <c r="S77" s="194">
        <f t="shared" si="31"/>
        <v>-4.935478581817998</v>
      </c>
      <c r="T77" s="194">
        <f t="shared" si="31"/>
        <v>-2.8599999999999879</v>
      </c>
      <c r="U77" s="194">
        <f t="shared" si="31"/>
        <v>-3.82</v>
      </c>
      <c r="V77" s="194">
        <f t="shared" si="31"/>
        <v>-9.8839999999999915</v>
      </c>
      <c r="W77" s="194">
        <f t="shared" si="31"/>
        <v>6.2279999999999909</v>
      </c>
      <c r="X77" s="194">
        <f t="shared" si="31"/>
        <v>27.634999999999977</v>
      </c>
      <c r="Y77" s="194">
        <f t="shared" si="31"/>
        <v>16.263857938685483</v>
      </c>
      <c r="Z77" s="194">
        <f t="shared" si="31"/>
        <v>18.830232274350315</v>
      </c>
      <c r="AA77" s="194">
        <f t="shared" si="31"/>
        <v>2.7461403084495011</v>
      </c>
      <c r="AB77" s="194">
        <f t="shared" si="31"/>
        <v>1.4545361782997448</v>
      </c>
      <c r="AC77" s="194">
        <f t="shared" si="31"/>
        <v>1.2986670053080394</v>
      </c>
      <c r="AD77" s="194">
        <f t="shared" si="31"/>
        <v>-2.9007687978296479</v>
      </c>
      <c r="AE77" s="194">
        <f t="shared" si="31"/>
        <v>0.65000000000000036</v>
      </c>
      <c r="AF77" s="194">
        <f t="shared" si="31"/>
        <v>0.65000000000000036</v>
      </c>
      <c r="AG77" s="194">
        <f t="shared" si="31"/>
        <v>0</v>
      </c>
      <c r="AH77" s="194">
        <f t="shared" si="31"/>
        <v>0</v>
      </c>
      <c r="AI77" s="194">
        <f t="shared" si="31"/>
        <v>0</v>
      </c>
      <c r="AJ77" s="194">
        <f t="shared" si="31"/>
        <v>0</v>
      </c>
      <c r="AK77" s="194">
        <f t="shared" si="31"/>
        <v>0</v>
      </c>
      <c r="AL77" s="194">
        <f t="shared" si="31"/>
        <v>0.36000000000000032</v>
      </c>
      <c r="AM77" s="194">
        <f t="shared" si="31"/>
        <v>30.01603448275857</v>
      </c>
      <c r="AN77" s="77"/>
      <c r="AO77" s="56"/>
      <c r="AP77" s="56"/>
      <c r="AQ77" s="56"/>
      <c r="AR77" s="56"/>
    </row>
    <row r="78" spans="1:44" ht="13.25" hidden="1" customHeight="1" x14ac:dyDescent="0.3">
      <c r="A78" s="195" t="s">
        <v>76</v>
      </c>
      <c r="B78" s="196"/>
      <c r="C78" s="196" t="s">
        <v>77</v>
      </c>
      <c r="D78" s="196"/>
      <c r="E78" s="197"/>
      <c r="F78" s="197"/>
      <c r="G78" s="197"/>
      <c r="H78" s="197"/>
      <c r="I78" s="197"/>
      <c r="J78" s="197"/>
      <c r="K78" s="197"/>
      <c r="L78" s="197"/>
      <c r="M78" s="197"/>
      <c r="N78" s="197"/>
      <c r="O78" s="197"/>
      <c r="P78" s="197"/>
      <c r="Q78" s="197"/>
      <c r="R78" s="197"/>
      <c r="S78" s="197"/>
      <c r="T78" s="197"/>
      <c r="U78" s="197"/>
      <c r="V78" s="197"/>
      <c r="W78" s="197"/>
      <c r="X78" s="197"/>
      <c r="Y78" s="197"/>
      <c r="Z78" s="198">
        <f t="shared" ref="Z78:AM78" si="32">IF(Z107&gt;Z8,Z8,Z107)</f>
        <v>39</v>
      </c>
      <c r="AA78" s="198">
        <f t="shared" si="32"/>
        <v>21</v>
      </c>
      <c r="AB78" s="198">
        <f t="shared" si="32"/>
        <v>31</v>
      </c>
      <c r="AC78" s="198">
        <f t="shared" si="32"/>
        <v>34</v>
      </c>
      <c r="AD78" s="198">
        <f t="shared" si="32"/>
        <v>34</v>
      </c>
      <c r="AE78" s="198">
        <f t="shared" si="32"/>
        <v>61.290929419999998</v>
      </c>
      <c r="AF78" s="198">
        <f t="shared" si="32"/>
        <v>14</v>
      </c>
      <c r="AG78" s="198">
        <f t="shared" si="32"/>
        <v>38</v>
      </c>
      <c r="AH78" s="198">
        <f t="shared" si="32"/>
        <v>37</v>
      </c>
      <c r="AI78" s="198">
        <f t="shared" si="32"/>
        <v>0</v>
      </c>
      <c r="AJ78" s="198">
        <f t="shared" si="32"/>
        <v>28</v>
      </c>
      <c r="AK78" s="198">
        <f t="shared" si="32"/>
        <v>23</v>
      </c>
      <c r="AL78" s="198">
        <f t="shared" si="32"/>
        <v>39</v>
      </c>
      <c r="AM78" s="198">
        <f t="shared" si="32"/>
        <v>39</v>
      </c>
      <c r="AN78" s="77"/>
      <c r="AO78" s="56"/>
      <c r="AP78" s="56"/>
      <c r="AQ78" s="56"/>
      <c r="AR78" s="56"/>
    </row>
    <row r="79" spans="1:44" ht="13.25" hidden="1" customHeight="1" x14ac:dyDescent="0.3">
      <c r="A79" s="199"/>
      <c r="B79" s="196"/>
      <c r="C79" s="196" t="s">
        <v>78</v>
      </c>
      <c r="D79" s="196"/>
      <c r="E79" s="197"/>
      <c r="F79" s="197"/>
      <c r="G79" s="197"/>
      <c r="H79" s="197"/>
      <c r="I79" s="197"/>
      <c r="J79" s="197"/>
      <c r="K79" s="197"/>
      <c r="L79" s="197"/>
      <c r="M79" s="197"/>
      <c r="N79" s="197"/>
      <c r="O79" s="197"/>
      <c r="P79" s="197"/>
      <c r="Q79" s="197"/>
      <c r="R79" s="197"/>
      <c r="S79" s="197"/>
      <c r="T79" s="197"/>
      <c r="U79" s="197"/>
      <c r="V79" s="197"/>
      <c r="W79" s="197"/>
      <c r="X79" s="197"/>
      <c r="Y79" s="197"/>
      <c r="Z79" s="198">
        <f t="shared" ref="Z79:AM79" si="33">IF(Z8=Z78,0,Z8-Z107)</f>
        <v>0</v>
      </c>
      <c r="AA79" s="198">
        <f t="shared" si="33"/>
        <v>0</v>
      </c>
      <c r="AB79" s="198">
        <f t="shared" si="33"/>
        <v>0</v>
      </c>
      <c r="AC79" s="198">
        <f t="shared" si="33"/>
        <v>0</v>
      </c>
      <c r="AD79" s="198">
        <f t="shared" si="33"/>
        <v>0</v>
      </c>
      <c r="AE79" s="198">
        <f t="shared" si="33"/>
        <v>37.709070580000002</v>
      </c>
      <c r="AF79" s="198">
        <f t="shared" si="33"/>
        <v>0</v>
      </c>
      <c r="AG79" s="198">
        <f t="shared" si="33"/>
        <v>0</v>
      </c>
      <c r="AH79" s="198">
        <f t="shared" si="33"/>
        <v>0</v>
      </c>
      <c r="AI79" s="198">
        <f t="shared" si="33"/>
        <v>0</v>
      </c>
      <c r="AJ79" s="198">
        <f t="shared" si="33"/>
        <v>0</v>
      </c>
      <c r="AK79" s="198">
        <f t="shared" si="33"/>
        <v>0</v>
      </c>
      <c r="AL79" s="198">
        <f t="shared" si="33"/>
        <v>0</v>
      </c>
      <c r="AM79" s="198">
        <f t="shared" si="33"/>
        <v>0</v>
      </c>
      <c r="AN79" s="77"/>
      <c r="AO79" s="56"/>
      <c r="AP79" s="56"/>
      <c r="AQ79" s="56"/>
      <c r="AR79" s="56"/>
    </row>
    <row r="80" spans="1:44" ht="13.25" hidden="1" customHeight="1" x14ac:dyDescent="0.3">
      <c r="A80" s="199"/>
      <c r="B80" s="196"/>
      <c r="C80" s="196" t="s">
        <v>79</v>
      </c>
      <c r="D80" s="196"/>
      <c r="E80" s="197"/>
      <c r="F80" s="197"/>
      <c r="G80" s="197"/>
      <c r="H80" s="197"/>
      <c r="I80" s="197"/>
      <c r="J80" s="197"/>
      <c r="K80" s="197"/>
      <c r="L80" s="197"/>
      <c r="M80" s="197"/>
      <c r="N80" s="197"/>
      <c r="O80" s="197"/>
      <c r="P80" s="197"/>
      <c r="Q80" s="197"/>
      <c r="R80" s="197"/>
      <c r="S80" s="197"/>
      <c r="T80" s="197"/>
      <c r="U80" s="197"/>
      <c r="V80" s="197"/>
      <c r="W80" s="197"/>
      <c r="X80" s="197"/>
      <c r="Y80" s="197"/>
      <c r="Z80" s="198">
        <f t="shared" ref="Z80:AM80" si="34">IF(Z81+Z82&gt;Z8,0,Z8-(Z81+Z82))</f>
        <v>0</v>
      </c>
      <c r="AA80" s="198">
        <f t="shared" si="34"/>
        <v>0</v>
      </c>
      <c r="AB80" s="198">
        <f t="shared" si="34"/>
        <v>0</v>
      </c>
      <c r="AC80" s="198">
        <f t="shared" si="34"/>
        <v>0</v>
      </c>
      <c r="AD80" s="198">
        <f t="shared" si="34"/>
        <v>0</v>
      </c>
      <c r="AE80" s="198">
        <f t="shared" si="34"/>
        <v>10.709070580000002</v>
      </c>
      <c r="AF80" s="198">
        <f t="shared" si="34"/>
        <v>0</v>
      </c>
      <c r="AG80" s="198">
        <f t="shared" si="34"/>
        <v>0</v>
      </c>
      <c r="AH80" s="198">
        <f t="shared" si="34"/>
        <v>0</v>
      </c>
      <c r="AI80" s="198">
        <f t="shared" si="34"/>
        <v>0</v>
      </c>
      <c r="AJ80" s="198">
        <f t="shared" si="34"/>
        <v>0</v>
      </c>
      <c r="AK80" s="198">
        <f t="shared" si="34"/>
        <v>0</v>
      </c>
      <c r="AL80" s="198">
        <f t="shared" si="34"/>
        <v>0</v>
      </c>
      <c r="AM80" s="198">
        <f t="shared" si="34"/>
        <v>0</v>
      </c>
      <c r="AN80" s="77"/>
      <c r="AO80" s="56"/>
      <c r="AP80" s="56"/>
      <c r="AQ80" s="56"/>
      <c r="AR80" s="56"/>
    </row>
    <row r="81" spans="1:44" ht="13.25" customHeight="1" x14ac:dyDescent="0.3">
      <c r="A81" s="195" t="s">
        <v>76</v>
      </c>
      <c r="B81" s="200" t="s">
        <v>80</v>
      </c>
      <c r="C81" s="200" t="s">
        <v>77</v>
      </c>
      <c r="D81" s="200" t="s">
        <v>81</v>
      </c>
      <c r="E81" s="197"/>
      <c r="F81" s="197"/>
      <c r="G81" s="197"/>
      <c r="H81" s="197"/>
      <c r="I81" s="197"/>
      <c r="J81" s="197"/>
      <c r="K81" s="197"/>
      <c r="L81" s="197"/>
      <c r="M81" s="197"/>
      <c r="N81" s="197"/>
      <c r="O81" s="197"/>
      <c r="P81" s="197"/>
      <c r="Q81" s="197"/>
      <c r="R81" s="197"/>
      <c r="S81" s="197"/>
      <c r="T81" s="197"/>
      <c r="U81" s="197"/>
      <c r="V81" s="197"/>
      <c r="W81" s="197"/>
      <c r="X81" s="197"/>
      <c r="Y81" s="201">
        <v>6</v>
      </c>
      <c r="Z81" s="201">
        <f>Z78</f>
        <v>39</v>
      </c>
      <c r="AA81" s="201">
        <f t="shared" ref="AA81:AM81" si="35">AA78</f>
        <v>21</v>
      </c>
      <c r="AB81" s="201">
        <f t="shared" si="35"/>
        <v>31</v>
      </c>
      <c r="AC81" s="201">
        <f t="shared" si="35"/>
        <v>34</v>
      </c>
      <c r="AD81" s="201">
        <f t="shared" si="35"/>
        <v>34</v>
      </c>
      <c r="AE81" s="201">
        <f t="shared" si="35"/>
        <v>61.290929419999998</v>
      </c>
      <c r="AF81" s="201">
        <f t="shared" si="35"/>
        <v>14</v>
      </c>
      <c r="AG81" s="201">
        <f t="shared" si="35"/>
        <v>38</v>
      </c>
      <c r="AH81" s="201">
        <f t="shared" si="35"/>
        <v>37</v>
      </c>
      <c r="AI81" s="201">
        <f t="shared" si="35"/>
        <v>0</v>
      </c>
      <c r="AJ81" s="201">
        <f t="shared" si="35"/>
        <v>28</v>
      </c>
      <c r="AK81" s="201">
        <f t="shared" si="35"/>
        <v>23</v>
      </c>
      <c r="AL81" s="201">
        <f t="shared" si="35"/>
        <v>39</v>
      </c>
      <c r="AM81" s="201">
        <f t="shared" si="35"/>
        <v>39</v>
      </c>
      <c r="AN81" s="77"/>
      <c r="AO81" s="56"/>
      <c r="AP81" s="56"/>
      <c r="AQ81" s="56"/>
      <c r="AR81" s="56"/>
    </row>
    <row r="82" spans="1:44" ht="13.25" customHeight="1" x14ac:dyDescent="0.3">
      <c r="A82" s="199"/>
      <c r="B82" s="200" t="s">
        <v>80</v>
      </c>
      <c r="C82" s="200" t="s">
        <v>78</v>
      </c>
      <c r="D82" s="200" t="s">
        <v>81</v>
      </c>
      <c r="E82" s="197"/>
      <c r="F82" s="197"/>
      <c r="G82" s="197"/>
      <c r="H82" s="197"/>
      <c r="I82" s="197"/>
      <c r="J82" s="197"/>
      <c r="K82" s="197"/>
      <c r="L82" s="197"/>
      <c r="M82" s="197"/>
      <c r="N82" s="197"/>
      <c r="O82" s="197"/>
      <c r="P82" s="197"/>
      <c r="Q82" s="197"/>
      <c r="R82" s="197"/>
      <c r="S82" s="197"/>
      <c r="T82" s="197"/>
      <c r="U82" s="197"/>
      <c r="V82" s="197"/>
      <c r="W82" s="197"/>
      <c r="X82" s="197"/>
      <c r="Y82" s="197"/>
      <c r="Z82" s="201">
        <f t="shared" ref="Z82:AD82" si="36">IF(Z79&lt;Z111,Z79,Z111)</f>
        <v>0</v>
      </c>
      <c r="AA82" s="201">
        <f t="shared" si="36"/>
        <v>0</v>
      </c>
      <c r="AB82" s="201">
        <f t="shared" si="36"/>
        <v>0</v>
      </c>
      <c r="AC82" s="201">
        <f t="shared" si="36"/>
        <v>0</v>
      </c>
      <c r="AD82" s="201">
        <f t="shared" si="36"/>
        <v>0</v>
      </c>
      <c r="AE82" s="201">
        <f>IF(AE79&lt;AE111,AE79,AE111)</f>
        <v>27</v>
      </c>
      <c r="AF82" s="201">
        <f t="shared" ref="AF82:AM82" si="37">IF(AF79&lt;AF111,AF79,AF111)</f>
        <v>0</v>
      </c>
      <c r="AG82" s="201">
        <f t="shared" si="37"/>
        <v>0</v>
      </c>
      <c r="AH82" s="201">
        <f t="shared" si="37"/>
        <v>0</v>
      </c>
      <c r="AI82" s="201">
        <f t="shared" si="37"/>
        <v>0</v>
      </c>
      <c r="AJ82" s="201">
        <f t="shared" si="37"/>
        <v>0</v>
      </c>
      <c r="AK82" s="201">
        <f t="shared" si="37"/>
        <v>0</v>
      </c>
      <c r="AL82" s="201">
        <f t="shared" si="37"/>
        <v>0</v>
      </c>
      <c r="AM82" s="201">
        <f t="shared" si="37"/>
        <v>0</v>
      </c>
      <c r="AN82" s="77"/>
      <c r="AO82" s="56"/>
      <c r="AP82" s="56"/>
      <c r="AQ82" s="56"/>
      <c r="AR82" s="56"/>
    </row>
    <row r="83" spans="1:44" ht="13.25" customHeight="1" x14ac:dyDescent="0.3">
      <c r="A83" s="199"/>
      <c r="B83" s="200" t="s">
        <v>80</v>
      </c>
      <c r="C83" s="200" t="s">
        <v>79</v>
      </c>
      <c r="D83" s="200" t="s">
        <v>81</v>
      </c>
      <c r="E83" s="197"/>
      <c r="F83" s="197"/>
      <c r="G83" s="197"/>
      <c r="H83" s="197"/>
      <c r="I83" s="197"/>
      <c r="J83" s="197"/>
      <c r="K83" s="197"/>
      <c r="L83" s="197"/>
      <c r="M83" s="197"/>
      <c r="N83" s="197"/>
      <c r="O83" s="197"/>
      <c r="P83" s="197"/>
      <c r="Q83" s="197"/>
      <c r="R83" s="197"/>
      <c r="S83" s="197"/>
      <c r="T83" s="197"/>
      <c r="U83" s="197"/>
      <c r="V83" s="197"/>
      <c r="W83" s="197"/>
      <c r="X83" s="197"/>
      <c r="Y83" s="197"/>
      <c r="Z83" s="201">
        <f>Z80</f>
        <v>0</v>
      </c>
      <c r="AA83" s="201">
        <f t="shared" ref="AA83:AM83" si="38">AA80</f>
        <v>0</v>
      </c>
      <c r="AB83" s="201">
        <f t="shared" si="38"/>
        <v>0</v>
      </c>
      <c r="AC83" s="201">
        <f t="shared" si="38"/>
        <v>0</v>
      </c>
      <c r="AD83" s="201">
        <f t="shared" si="38"/>
        <v>0</v>
      </c>
      <c r="AE83" s="201">
        <f t="shared" si="38"/>
        <v>10.709070580000002</v>
      </c>
      <c r="AF83" s="201">
        <f t="shared" si="38"/>
        <v>0</v>
      </c>
      <c r="AG83" s="201">
        <f t="shared" si="38"/>
        <v>0</v>
      </c>
      <c r="AH83" s="201">
        <f t="shared" si="38"/>
        <v>0</v>
      </c>
      <c r="AI83" s="201">
        <f t="shared" si="38"/>
        <v>0</v>
      </c>
      <c r="AJ83" s="201">
        <f t="shared" si="38"/>
        <v>0</v>
      </c>
      <c r="AK83" s="201">
        <f t="shared" si="38"/>
        <v>0</v>
      </c>
      <c r="AL83" s="201">
        <f t="shared" si="38"/>
        <v>0</v>
      </c>
      <c r="AM83" s="201">
        <f t="shared" si="38"/>
        <v>0</v>
      </c>
      <c r="AN83" s="77"/>
      <c r="AO83" s="56"/>
      <c r="AP83" s="56"/>
      <c r="AQ83" s="56"/>
      <c r="AR83" s="56"/>
    </row>
    <row r="84" spans="1:44" ht="13.25" hidden="1" customHeight="1" x14ac:dyDescent="0.3">
      <c r="A84" s="199"/>
      <c r="B84" s="55"/>
      <c r="C84" s="202" t="s">
        <v>77</v>
      </c>
      <c r="D84" s="56"/>
      <c r="E84" s="197"/>
      <c r="F84" s="197"/>
      <c r="G84" s="197"/>
      <c r="H84" s="197"/>
      <c r="I84" s="197"/>
      <c r="J84" s="197"/>
      <c r="K84" s="203">
        <f t="shared" ref="K84:Q84" si="39">K107-K8</f>
        <v>53.24</v>
      </c>
      <c r="L84" s="203">
        <f t="shared" si="39"/>
        <v>59.77</v>
      </c>
      <c r="M84" s="203">
        <f t="shared" si="39"/>
        <v>70.308482029999993</v>
      </c>
      <c r="N84" s="203">
        <f t="shared" si="39"/>
        <v>62.170128779999992</v>
      </c>
      <c r="O84" s="203">
        <f t="shared" si="39"/>
        <v>67.39</v>
      </c>
      <c r="P84" s="203">
        <f t="shared" si="39"/>
        <v>52.08</v>
      </c>
      <c r="Q84" s="203">
        <f t="shared" si="39"/>
        <v>45.18</v>
      </c>
      <c r="R84" s="203">
        <f t="shared" ref="R84:AM84" si="40">R107-R8-R10</f>
        <v>47.39</v>
      </c>
      <c r="S84" s="203">
        <f t="shared" si="40"/>
        <v>32.54</v>
      </c>
      <c r="T84" s="203">
        <f t="shared" si="40"/>
        <v>32.6</v>
      </c>
      <c r="U84" s="203">
        <f t="shared" si="40"/>
        <v>43.42</v>
      </c>
      <c r="V84" s="203">
        <f t="shared" si="40"/>
        <v>55.54</v>
      </c>
      <c r="W84" s="203">
        <f t="shared" si="40"/>
        <v>27.382407709999995</v>
      </c>
      <c r="X84" s="203">
        <f t="shared" si="40"/>
        <v>35.423000000000002</v>
      </c>
      <c r="Y84" s="203">
        <f t="shared" si="40"/>
        <v>48.21</v>
      </c>
      <c r="Z84" s="204">
        <f t="shared" si="40"/>
        <v>13.25</v>
      </c>
      <c r="AA84" s="204">
        <f t="shared" si="40"/>
        <v>32.649287540000003</v>
      </c>
      <c r="AB84" s="204">
        <f t="shared" si="40"/>
        <v>22.173990040000007</v>
      </c>
      <c r="AC84" s="204">
        <f t="shared" si="40"/>
        <v>21.258795049999989</v>
      </c>
      <c r="AD84" s="204">
        <f t="shared" si="40"/>
        <v>19.033451110000001</v>
      </c>
      <c r="AE84" s="204">
        <f t="shared" si="40"/>
        <v>-37.709070580000002</v>
      </c>
      <c r="AF84" s="204">
        <f t="shared" si="40"/>
        <v>43.299031049999996</v>
      </c>
      <c r="AG84" s="204">
        <f t="shared" si="40"/>
        <v>16.128308189999998</v>
      </c>
      <c r="AH84" s="204">
        <f t="shared" si="40"/>
        <v>16.377177409999987</v>
      </c>
      <c r="AI84" s="204">
        <f t="shared" si="40"/>
        <v>54.286175450000002</v>
      </c>
      <c r="AJ84" s="204">
        <f t="shared" si="40"/>
        <v>26.510846099999995</v>
      </c>
      <c r="AK84" s="204">
        <f t="shared" si="40"/>
        <v>32.231450530000004</v>
      </c>
      <c r="AL84" s="204">
        <f t="shared" si="40"/>
        <v>12.270444030000007</v>
      </c>
      <c r="AM84" s="204">
        <f t="shared" si="40"/>
        <v>12.270444030000007</v>
      </c>
      <c r="AN84" s="77"/>
      <c r="AO84" s="56"/>
      <c r="AP84" s="56"/>
      <c r="AQ84" s="56"/>
      <c r="AR84" s="56"/>
    </row>
    <row r="85" spans="1:44" ht="13.25" hidden="1" customHeight="1" x14ac:dyDescent="0.3">
      <c r="A85" s="195"/>
      <c r="B85" s="55"/>
      <c r="C85" s="202" t="s">
        <v>78</v>
      </c>
      <c r="D85" s="56"/>
      <c r="E85" s="197"/>
      <c r="F85" s="197"/>
      <c r="G85" s="197"/>
      <c r="H85" s="197"/>
      <c r="I85" s="197"/>
      <c r="J85" s="197"/>
      <c r="K85" s="203"/>
      <c r="L85" s="203"/>
      <c r="M85" s="203"/>
      <c r="N85" s="203"/>
      <c r="O85" s="203"/>
      <c r="P85" s="203"/>
      <c r="Q85" s="203"/>
      <c r="R85" s="203"/>
      <c r="S85" s="203"/>
      <c r="T85" s="203"/>
      <c r="U85" s="203"/>
      <c r="V85" s="203"/>
      <c r="W85" s="203"/>
      <c r="X85" s="203"/>
      <c r="Y85" s="203"/>
      <c r="Z85" s="204">
        <f>IF(Z84&gt;0,Z111,Z111+Z84)</f>
        <v>24.4</v>
      </c>
      <c r="AA85" s="204">
        <f t="shared" ref="AA85:AF85" si="41">IF(AA84&gt;0,AA111,AA111+AA84)</f>
        <v>26</v>
      </c>
      <c r="AB85" s="204">
        <f t="shared" si="41"/>
        <v>26</v>
      </c>
      <c r="AC85" s="204">
        <f t="shared" si="41"/>
        <v>27</v>
      </c>
      <c r="AD85" s="204">
        <f t="shared" si="41"/>
        <v>27</v>
      </c>
      <c r="AE85" s="204">
        <f t="shared" si="41"/>
        <v>-10.709070580000002</v>
      </c>
      <c r="AF85" s="204">
        <f t="shared" si="41"/>
        <v>27</v>
      </c>
      <c r="AG85" s="204">
        <f>IF(AG84&gt;0,AG111,AG111+AG84)</f>
        <v>27</v>
      </c>
      <c r="AH85" s="204">
        <f t="shared" ref="AH85:AM85" si="42">IF(AH84&gt;0,AH111,AH111+AH84)</f>
        <v>27</v>
      </c>
      <c r="AI85" s="204">
        <f t="shared" si="42"/>
        <v>27</v>
      </c>
      <c r="AJ85" s="204">
        <f t="shared" si="42"/>
        <v>27</v>
      </c>
      <c r="AK85" s="204">
        <f t="shared" si="42"/>
        <v>27</v>
      </c>
      <c r="AL85" s="204">
        <f t="shared" si="42"/>
        <v>27</v>
      </c>
      <c r="AM85" s="204">
        <f t="shared" si="42"/>
        <v>27</v>
      </c>
      <c r="AN85" s="77"/>
      <c r="AO85" s="56"/>
      <c r="AP85" s="56"/>
      <c r="AQ85" s="56"/>
      <c r="AR85" s="56"/>
    </row>
    <row r="86" spans="1:44" ht="13.25" hidden="1" customHeight="1" x14ac:dyDescent="0.3">
      <c r="A86" s="195"/>
      <c r="B86" s="55"/>
      <c r="C86" s="202" t="s">
        <v>79</v>
      </c>
      <c r="D86" s="56"/>
      <c r="E86" s="197"/>
      <c r="F86" s="197"/>
      <c r="G86" s="197"/>
      <c r="H86" s="197"/>
      <c r="I86" s="197"/>
      <c r="J86" s="197"/>
      <c r="K86" s="203"/>
      <c r="L86" s="203"/>
      <c r="M86" s="203"/>
      <c r="N86" s="203"/>
      <c r="O86" s="203"/>
      <c r="P86" s="203"/>
      <c r="Q86" s="203"/>
      <c r="R86" s="203"/>
      <c r="S86" s="203"/>
      <c r="T86" s="203"/>
      <c r="U86" s="203"/>
      <c r="V86" s="203"/>
      <c r="W86" s="203"/>
      <c r="X86" s="203"/>
      <c r="Y86" s="203"/>
      <c r="Z86" s="204">
        <f t="shared" ref="Z86:AD86" si="43">IF(Z85&gt;=0,Z112,Z112+Z85)</f>
        <v>15</v>
      </c>
      <c r="AA86" s="204">
        <f t="shared" si="43"/>
        <v>17</v>
      </c>
      <c r="AB86" s="204">
        <f t="shared" si="43"/>
        <v>16</v>
      </c>
      <c r="AC86" s="204">
        <f t="shared" si="43"/>
        <v>17</v>
      </c>
      <c r="AD86" s="204">
        <f t="shared" si="43"/>
        <v>17</v>
      </c>
      <c r="AE86" s="204">
        <f>IF(AE85&gt;=0,AE112,AE112+AE85)</f>
        <v>6.2909294199999977</v>
      </c>
      <c r="AF86" s="204">
        <f t="shared" ref="AF86:AM86" si="44">IF(AF85&gt;=0,AF112,AF112+AF85)</f>
        <v>17</v>
      </c>
      <c r="AG86" s="204">
        <f t="shared" si="44"/>
        <v>17</v>
      </c>
      <c r="AH86" s="204">
        <f t="shared" si="44"/>
        <v>17</v>
      </c>
      <c r="AI86" s="204">
        <f t="shared" si="44"/>
        <v>17</v>
      </c>
      <c r="AJ86" s="204">
        <f t="shared" si="44"/>
        <v>17</v>
      </c>
      <c r="AK86" s="204">
        <f t="shared" si="44"/>
        <v>17</v>
      </c>
      <c r="AL86" s="204">
        <f t="shared" si="44"/>
        <v>17</v>
      </c>
      <c r="AM86" s="204">
        <f t="shared" si="44"/>
        <v>17</v>
      </c>
      <c r="AN86" s="77"/>
      <c r="AO86" s="56"/>
      <c r="AP86" s="56"/>
      <c r="AQ86" s="56"/>
      <c r="AR86" s="56"/>
    </row>
    <row r="87" spans="1:44" ht="13.25" customHeight="1" x14ac:dyDescent="0.3">
      <c r="A87" s="199"/>
      <c r="B87" s="205" t="s">
        <v>30</v>
      </c>
      <c r="C87" s="205" t="s">
        <v>77</v>
      </c>
      <c r="D87" s="205" t="s">
        <v>82</v>
      </c>
      <c r="E87" s="197"/>
      <c r="F87" s="197"/>
      <c r="G87" s="197"/>
      <c r="H87" s="197"/>
      <c r="I87" s="197"/>
      <c r="J87" s="197"/>
      <c r="K87" s="203"/>
      <c r="L87" s="203"/>
      <c r="M87" s="203"/>
      <c r="N87" s="203"/>
      <c r="O87" s="203"/>
      <c r="P87" s="203"/>
      <c r="Q87" s="203"/>
      <c r="R87" s="203"/>
      <c r="S87" s="203"/>
      <c r="T87" s="203"/>
      <c r="U87" s="203"/>
      <c r="V87" s="203"/>
      <c r="W87" s="203"/>
      <c r="X87" s="203"/>
      <c r="Y87" s="203">
        <f t="shared" ref="Y87:AM89" si="45">IF(Y84&lt;0,0,Y84)</f>
        <v>48.21</v>
      </c>
      <c r="Z87" s="203">
        <f t="shared" si="45"/>
        <v>13.25</v>
      </c>
      <c r="AA87" s="203">
        <f t="shared" si="45"/>
        <v>32.649287540000003</v>
      </c>
      <c r="AB87" s="203">
        <f t="shared" si="45"/>
        <v>22.173990040000007</v>
      </c>
      <c r="AC87" s="203">
        <f t="shared" si="45"/>
        <v>21.258795049999989</v>
      </c>
      <c r="AD87" s="203">
        <f t="shared" si="45"/>
        <v>19.033451110000001</v>
      </c>
      <c r="AE87" s="203">
        <f t="shared" si="45"/>
        <v>0</v>
      </c>
      <c r="AF87" s="203">
        <f t="shared" si="45"/>
        <v>43.299031049999996</v>
      </c>
      <c r="AG87" s="203">
        <f t="shared" si="45"/>
        <v>16.128308189999998</v>
      </c>
      <c r="AH87" s="203">
        <f t="shared" si="45"/>
        <v>16.377177409999987</v>
      </c>
      <c r="AI87" s="203">
        <f t="shared" si="45"/>
        <v>54.286175450000002</v>
      </c>
      <c r="AJ87" s="203">
        <f t="shared" si="45"/>
        <v>26.510846099999995</v>
      </c>
      <c r="AK87" s="203">
        <f t="shared" si="45"/>
        <v>32.231450530000004</v>
      </c>
      <c r="AL87" s="203">
        <f t="shared" si="45"/>
        <v>12.270444030000007</v>
      </c>
      <c r="AM87" s="203">
        <f t="shared" si="45"/>
        <v>12.270444030000007</v>
      </c>
      <c r="AN87" s="77"/>
      <c r="AO87" s="56"/>
      <c r="AP87" s="56"/>
      <c r="AQ87" s="56"/>
      <c r="AR87" s="56"/>
    </row>
    <row r="88" spans="1:44" ht="13.25" customHeight="1" x14ac:dyDescent="0.3">
      <c r="A88" s="199"/>
      <c r="B88" s="205" t="s">
        <v>30</v>
      </c>
      <c r="C88" s="205" t="s">
        <v>78</v>
      </c>
      <c r="D88" s="205" t="s">
        <v>82</v>
      </c>
      <c r="E88" s="197"/>
      <c r="F88" s="197"/>
      <c r="G88" s="197"/>
      <c r="H88" s="197"/>
      <c r="I88" s="197"/>
      <c r="J88" s="197"/>
      <c r="K88" s="203"/>
      <c r="L88" s="203"/>
      <c r="M88" s="203"/>
      <c r="N88" s="203"/>
      <c r="O88" s="203"/>
      <c r="P88" s="203"/>
      <c r="Q88" s="203"/>
      <c r="R88" s="203"/>
      <c r="S88" s="203"/>
      <c r="T88" s="203"/>
      <c r="U88" s="203"/>
      <c r="V88" s="203"/>
      <c r="W88" s="203"/>
      <c r="X88" s="203"/>
      <c r="Y88" s="203"/>
      <c r="Z88" s="203">
        <f t="shared" si="45"/>
        <v>24.4</v>
      </c>
      <c r="AA88" s="203">
        <f t="shared" si="45"/>
        <v>26</v>
      </c>
      <c r="AB88" s="203">
        <f t="shared" si="45"/>
        <v>26</v>
      </c>
      <c r="AC88" s="203">
        <f t="shared" si="45"/>
        <v>27</v>
      </c>
      <c r="AD88" s="203">
        <f t="shared" si="45"/>
        <v>27</v>
      </c>
      <c r="AE88" s="203">
        <f t="shared" si="45"/>
        <v>0</v>
      </c>
      <c r="AF88" s="203">
        <f t="shared" si="45"/>
        <v>27</v>
      </c>
      <c r="AG88" s="203">
        <f t="shared" si="45"/>
        <v>27</v>
      </c>
      <c r="AH88" s="203">
        <f t="shared" si="45"/>
        <v>27</v>
      </c>
      <c r="AI88" s="203">
        <f t="shared" si="45"/>
        <v>27</v>
      </c>
      <c r="AJ88" s="203">
        <f t="shared" si="45"/>
        <v>27</v>
      </c>
      <c r="AK88" s="203">
        <f t="shared" si="45"/>
        <v>27</v>
      </c>
      <c r="AL88" s="203">
        <f t="shared" si="45"/>
        <v>27</v>
      </c>
      <c r="AM88" s="203">
        <f t="shared" si="45"/>
        <v>27</v>
      </c>
      <c r="AN88" s="77"/>
      <c r="AO88" s="56"/>
      <c r="AP88" s="56"/>
      <c r="AQ88" s="56"/>
      <c r="AR88" s="56"/>
    </row>
    <row r="89" spans="1:44" ht="13.25" customHeight="1" x14ac:dyDescent="0.3">
      <c r="A89" s="199"/>
      <c r="B89" s="205" t="s">
        <v>30</v>
      </c>
      <c r="C89" s="205" t="s">
        <v>79</v>
      </c>
      <c r="D89" s="205" t="s">
        <v>82</v>
      </c>
      <c r="E89" s="197"/>
      <c r="F89" s="197"/>
      <c r="G89" s="197"/>
      <c r="H89" s="197"/>
      <c r="I89" s="197"/>
      <c r="J89" s="197"/>
      <c r="K89" s="203"/>
      <c r="L89" s="203"/>
      <c r="M89" s="203"/>
      <c r="N89" s="203"/>
      <c r="O89" s="203"/>
      <c r="P89" s="203"/>
      <c r="Q89" s="203"/>
      <c r="R89" s="203"/>
      <c r="S89" s="203"/>
      <c r="T89" s="203"/>
      <c r="U89" s="203"/>
      <c r="V89" s="203"/>
      <c r="W89" s="203"/>
      <c r="X89" s="203"/>
      <c r="Y89" s="203"/>
      <c r="Z89" s="203">
        <f>IF(Z86&lt;0,0,Z86)</f>
        <v>15</v>
      </c>
      <c r="AA89" s="203">
        <f t="shared" si="45"/>
        <v>17</v>
      </c>
      <c r="AB89" s="203">
        <f t="shared" si="45"/>
        <v>16</v>
      </c>
      <c r="AC89" s="203">
        <f>IF(AC86&lt;0,0,AC86)</f>
        <v>17</v>
      </c>
      <c r="AD89" s="203">
        <f t="shared" si="45"/>
        <v>17</v>
      </c>
      <c r="AE89" s="203">
        <f>IF(AE86&lt;0,0,AE86)</f>
        <v>6.2909294199999977</v>
      </c>
      <c r="AF89" s="203">
        <f t="shared" si="45"/>
        <v>17</v>
      </c>
      <c r="AG89" s="203">
        <f t="shared" si="45"/>
        <v>17</v>
      </c>
      <c r="AH89" s="203">
        <f t="shared" si="45"/>
        <v>17</v>
      </c>
      <c r="AI89" s="203">
        <f t="shared" si="45"/>
        <v>17</v>
      </c>
      <c r="AJ89" s="203">
        <f t="shared" si="45"/>
        <v>17</v>
      </c>
      <c r="AK89" s="203">
        <f t="shared" si="45"/>
        <v>17</v>
      </c>
      <c r="AL89" s="203">
        <f t="shared" si="45"/>
        <v>17</v>
      </c>
      <c r="AM89" s="203">
        <f t="shared" si="45"/>
        <v>17</v>
      </c>
      <c r="AN89" s="77"/>
      <c r="AO89" s="56"/>
      <c r="AP89" s="56"/>
      <c r="AQ89" s="56"/>
      <c r="AR89" s="56"/>
    </row>
    <row r="90" spans="1:44" x14ac:dyDescent="0.3">
      <c r="A90" s="206"/>
      <c r="B90" s="207" t="s">
        <v>83</v>
      </c>
      <c r="C90" s="206"/>
      <c r="D90" s="207" t="s">
        <v>84</v>
      </c>
      <c r="E90" s="197"/>
      <c r="F90" s="197"/>
      <c r="G90" s="197"/>
      <c r="H90" s="197"/>
      <c r="I90" s="197"/>
      <c r="J90" s="197"/>
      <c r="K90" s="208">
        <f>SUM(K107:K150)-K8-K61</f>
        <v>186.98999999999998</v>
      </c>
      <c r="L90" s="208">
        <f>SUM(L107:L150)-L8-L61</f>
        <v>176.72567744999995</v>
      </c>
      <c r="M90" s="208">
        <f>SUM(M107:M151)-M8-M61</f>
        <v>184.30329082000003</v>
      </c>
      <c r="N90" s="208">
        <f>SUM(N107:N151)-N8-N61</f>
        <v>172.28545953</v>
      </c>
      <c r="O90" s="208">
        <f>SUM(O107:O151)-O8-O61</f>
        <v>172.38000000000002</v>
      </c>
      <c r="P90" s="208">
        <f>SUM(P107:P151)-P8-P61</f>
        <v>142.44</v>
      </c>
      <c r="Q90" s="208">
        <f>SUM(Q107:Q151)-Q8-Q61</f>
        <v>138.16</v>
      </c>
      <c r="R90" s="208">
        <f t="shared" ref="R90:AL90" si="46">SUM(R107:R151)-R8-R61-R10</f>
        <v>154.13999999999999</v>
      </c>
      <c r="S90" s="208">
        <f t="shared" si="46"/>
        <v>152.03</v>
      </c>
      <c r="T90" s="208">
        <f t="shared" si="46"/>
        <v>164.28000000000006</v>
      </c>
      <c r="U90" s="208">
        <f t="shared" si="46"/>
        <v>174.54000000000002</v>
      </c>
      <c r="V90" s="208">
        <f t="shared" si="46"/>
        <v>191.40999999999997</v>
      </c>
      <c r="W90" s="208">
        <f t="shared" si="46"/>
        <v>148.50240770999997</v>
      </c>
      <c r="X90" s="208">
        <f t="shared" si="46"/>
        <v>163.09299999999999</v>
      </c>
      <c r="Y90" s="208">
        <f t="shared" si="46"/>
        <v>157.68</v>
      </c>
      <c r="Z90" s="208">
        <f t="shared" si="46"/>
        <v>129.34743945000002</v>
      </c>
      <c r="AA90" s="208">
        <f t="shared" si="46"/>
        <v>166.04442810999996</v>
      </c>
      <c r="AB90" s="208">
        <f t="shared" si="46"/>
        <v>152.81542811</v>
      </c>
      <c r="AC90" s="208">
        <f t="shared" si="46"/>
        <v>156.24170779999997</v>
      </c>
      <c r="AD90" s="208">
        <f t="shared" si="46"/>
        <v>152.19335405999996</v>
      </c>
      <c r="AE90" s="208">
        <f t="shared" si="46"/>
        <v>97.762597409999984</v>
      </c>
      <c r="AF90" s="208">
        <f t="shared" si="46"/>
        <v>179.80864503999999</v>
      </c>
      <c r="AG90" s="208">
        <f t="shared" si="46"/>
        <v>151.76345454</v>
      </c>
      <c r="AH90" s="208">
        <f t="shared" si="46"/>
        <v>152.67817172999997</v>
      </c>
      <c r="AI90" s="208">
        <f t="shared" si="46"/>
        <v>189.96678416999998</v>
      </c>
      <c r="AJ90" s="208">
        <f t="shared" si="46"/>
        <v>163.64178730999996</v>
      </c>
      <c r="AK90" s="208">
        <f t="shared" si="46"/>
        <v>167.78011480000001</v>
      </c>
      <c r="AL90" s="208">
        <f t="shared" si="46"/>
        <v>143.23287545999997</v>
      </c>
      <c r="AM90" s="208">
        <f t="shared" ref="AM90" si="47">SUM(AM107:AM151)-AM8-AM61-AM10</f>
        <v>143.23287545999997</v>
      </c>
      <c r="AN90" s="77"/>
      <c r="AO90" s="56"/>
      <c r="AP90" s="56"/>
      <c r="AQ90" s="56"/>
      <c r="AR90" s="56"/>
    </row>
    <row r="91" spans="1:44" x14ac:dyDescent="0.3">
      <c r="A91" s="206"/>
      <c r="B91" s="207" t="s">
        <v>85</v>
      </c>
      <c r="C91" s="206"/>
      <c r="D91" s="207" t="s">
        <v>86</v>
      </c>
      <c r="E91" s="197"/>
      <c r="F91" s="197"/>
      <c r="G91" s="197"/>
      <c r="H91" s="197"/>
      <c r="I91" s="197"/>
      <c r="J91" s="197"/>
      <c r="K91" s="208">
        <f t="shared" ref="K91:AM91" si="48">K107+K108+K111+K112+K113+K115+K117+K120+K123+K125+K127+K128+K135+K138+K140+K143+K145+K147+K149-K8-K10</f>
        <v>171.64</v>
      </c>
      <c r="L91" s="208">
        <f t="shared" si="48"/>
        <v>177.10567744999997</v>
      </c>
      <c r="M91" s="208">
        <f t="shared" si="48"/>
        <v>181.64329082</v>
      </c>
      <c r="N91" s="208">
        <f t="shared" si="48"/>
        <v>172.19545952999999</v>
      </c>
      <c r="O91" s="208">
        <f t="shared" si="48"/>
        <v>161.47</v>
      </c>
      <c r="P91" s="208">
        <f t="shared" si="48"/>
        <v>132.49</v>
      </c>
      <c r="Q91" s="208">
        <f t="shared" si="48"/>
        <v>131.46</v>
      </c>
      <c r="R91" s="208">
        <f t="shared" si="48"/>
        <v>136.26</v>
      </c>
      <c r="S91" s="208">
        <f t="shared" si="48"/>
        <v>132.22999999999999</v>
      </c>
      <c r="T91" s="208">
        <f t="shared" si="48"/>
        <v>133.78</v>
      </c>
      <c r="U91" s="208">
        <f t="shared" si="48"/>
        <v>144.84</v>
      </c>
      <c r="V91" s="208">
        <f t="shared" si="48"/>
        <v>159.91</v>
      </c>
      <c r="W91" s="208">
        <f t="shared" si="48"/>
        <v>128.70240770999999</v>
      </c>
      <c r="X91" s="208">
        <f t="shared" si="48"/>
        <v>142.04300000000001</v>
      </c>
      <c r="Y91" s="208">
        <f t="shared" si="48"/>
        <v>150.13</v>
      </c>
      <c r="Z91" s="208">
        <f t="shared" si="48"/>
        <v>109.42743945000001</v>
      </c>
      <c r="AA91" s="208">
        <f t="shared" si="48"/>
        <v>135.07442810999999</v>
      </c>
      <c r="AB91" s="208">
        <f t="shared" si="48"/>
        <v>121.64542811000001</v>
      </c>
      <c r="AC91" s="208">
        <f t="shared" si="48"/>
        <v>124.22170779999999</v>
      </c>
      <c r="AD91" s="208">
        <f t="shared" si="48"/>
        <v>120.39335406000001</v>
      </c>
      <c r="AE91" s="208">
        <f t="shared" si="48"/>
        <v>66.18259741</v>
      </c>
      <c r="AF91" s="208">
        <f t="shared" si="48"/>
        <v>148.22864504</v>
      </c>
      <c r="AG91" s="208">
        <f t="shared" si="48"/>
        <v>119.53345454000001</v>
      </c>
      <c r="AH91" s="208">
        <f t="shared" si="48"/>
        <v>120.49817173</v>
      </c>
      <c r="AI91" s="208">
        <f t="shared" si="48"/>
        <v>157.78678417</v>
      </c>
      <c r="AJ91" s="208">
        <f t="shared" si="48"/>
        <v>131.46178730999998</v>
      </c>
      <c r="AK91" s="208">
        <f t="shared" si="48"/>
        <v>136.80011480000002</v>
      </c>
      <c r="AL91" s="208">
        <f t="shared" si="48"/>
        <v>112.61287546</v>
      </c>
      <c r="AM91" s="208">
        <f t="shared" si="48"/>
        <v>112.61287546</v>
      </c>
      <c r="AN91" s="77"/>
      <c r="AO91" s="56"/>
      <c r="AP91" s="56"/>
      <c r="AQ91" s="56"/>
      <c r="AR91" s="56"/>
    </row>
    <row r="92" spans="1:44" x14ac:dyDescent="0.3">
      <c r="A92" s="209"/>
      <c r="B92" s="210" t="s">
        <v>87</v>
      </c>
      <c r="C92" s="209"/>
      <c r="D92" s="211" t="s">
        <v>88</v>
      </c>
      <c r="E92" s="197"/>
      <c r="F92" s="197"/>
      <c r="G92" s="197"/>
      <c r="H92" s="197"/>
      <c r="I92" s="197"/>
      <c r="J92" s="197"/>
      <c r="K92" s="197"/>
      <c r="L92" s="197"/>
      <c r="M92" s="212">
        <f t="shared" ref="M92:AJ92" si="49">M107+M108+M109+M158+M136+M135</f>
        <v>160.64329082</v>
      </c>
      <c r="N92" s="212">
        <f t="shared" si="49"/>
        <v>152.08545953000001</v>
      </c>
      <c r="O92" s="212">
        <f t="shared" si="49"/>
        <v>147.27000000000001</v>
      </c>
      <c r="P92" s="212">
        <f t="shared" si="49"/>
        <v>120.19</v>
      </c>
      <c r="Q92" s="212">
        <f t="shared" si="49"/>
        <v>121.35999999999999</v>
      </c>
      <c r="R92" s="212">
        <f t="shared" si="49"/>
        <v>125.03999999999999</v>
      </c>
      <c r="S92" s="212">
        <f t="shared" si="49"/>
        <v>142.72999999999999</v>
      </c>
      <c r="T92" s="212">
        <f t="shared" si="49"/>
        <v>149.02000000000001</v>
      </c>
      <c r="U92" s="212">
        <f t="shared" si="49"/>
        <v>147.04</v>
      </c>
      <c r="V92" s="212">
        <f t="shared" si="49"/>
        <v>149.34</v>
      </c>
      <c r="W92" s="212">
        <f t="shared" si="49"/>
        <v>148.90240770999998</v>
      </c>
      <c r="X92" s="212">
        <f t="shared" si="49"/>
        <v>148.19</v>
      </c>
      <c r="Y92" s="212">
        <f t="shared" si="49"/>
        <v>142.56</v>
      </c>
      <c r="Z92" s="212">
        <f t="shared" si="49"/>
        <v>137.14743945000001</v>
      </c>
      <c r="AA92" s="212">
        <f t="shared" si="49"/>
        <v>144.63442810999999</v>
      </c>
      <c r="AB92" s="212">
        <f t="shared" si="49"/>
        <v>140.64542811000001</v>
      </c>
      <c r="AC92" s="212">
        <f t="shared" si="49"/>
        <v>144.72170779999999</v>
      </c>
      <c r="AD92" s="212">
        <f t="shared" si="49"/>
        <v>140.39335406000001</v>
      </c>
      <c r="AE92" s="212">
        <f t="shared" si="49"/>
        <v>145.59259741</v>
      </c>
      <c r="AF92" s="212">
        <f t="shared" si="49"/>
        <v>146.41864504</v>
      </c>
      <c r="AG92" s="212">
        <f t="shared" si="49"/>
        <v>143.53345454000001</v>
      </c>
      <c r="AH92" s="212">
        <f t="shared" si="49"/>
        <v>143.99817173</v>
      </c>
      <c r="AI92" s="212">
        <f t="shared" si="49"/>
        <v>143.78678417</v>
      </c>
      <c r="AJ92" s="212">
        <f t="shared" si="49"/>
        <v>145.54178730999999</v>
      </c>
      <c r="AK92" s="212">
        <f>AK107+AK108+AK109+AK158+AK136+AK135</f>
        <v>145.67011480000002</v>
      </c>
      <c r="AL92" s="212">
        <f>AL107+AL108+AL109+AL158+AL136+AL135</f>
        <v>136.61287546</v>
      </c>
      <c r="AM92" s="212">
        <f>AM107+AM108+AM109+AM158+AM136+AM135</f>
        <v>138.11287546</v>
      </c>
      <c r="AN92" s="77"/>
      <c r="AO92" s="56"/>
      <c r="AP92" s="56"/>
      <c r="AQ92" s="56"/>
      <c r="AR92" s="56"/>
    </row>
    <row r="93" spans="1:44" s="6" customFormat="1" x14ac:dyDescent="0.3">
      <c r="A93" s="213"/>
      <c r="B93" s="214" t="s">
        <v>89</v>
      </c>
      <c r="C93" s="214" t="s">
        <v>15</v>
      </c>
      <c r="D93" s="215" t="s">
        <v>15</v>
      </c>
      <c r="E93" s="216"/>
      <c r="F93" s="216"/>
      <c r="G93" s="216"/>
      <c r="H93" s="216"/>
      <c r="I93" s="216"/>
      <c r="J93" s="216"/>
      <c r="K93" s="216"/>
      <c r="L93" s="216"/>
      <c r="M93" s="216"/>
      <c r="N93" s="216"/>
      <c r="O93" s="216"/>
      <c r="P93" s="216"/>
      <c r="Q93" s="216"/>
      <c r="R93" s="216"/>
      <c r="S93" s="216"/>
      <c r="T93" s="216"/>
      <c r="U93" s="216"/>
      <c r="V93" s="216"/>
      <c r="W93" s="216"/>
      <c r="X93" s="197"/>
      <c r="Y93" s="197"/>
      <c r="Z93" s="197"/>
      <c r="AA93" s="197"/>
      <c r="AB93" s="217">
        <f>24-AB99</f>
        <v>15.5</v>
      </c>
      <c r="AC93" s="197"/>
      <c r="AD93" s="197"/>
      <c r="AE93" s="217">
        <f>12.326+5.573</f>
        <v>17.899000000000001</v>
      </c>
      <c r="AF93" s="197"/>
      <c r="AG93" s="197"/>
      <c r="AH93" s="217">
        <v>5.5730000000000004</v>
      </c>
      <c r="AI93" s="197"/>
      <c r="AJ93" s="197"/>
      <c r="AK93" s="197"/>
      <c r="AL93" s="197"/>
      <c r="AM93" s="197"/>
      <c r="AN93" s="218"/>
      <c r="AO93" s="101">
        <f>SUM(Y93:AJ93)</f>
        <v>38.972000000000001</v>
      </c>
    </row>
    <row r="94" spans="1:44" x14ac:dyDescent="0.3">
      <c r="A94" s="213"/>
      <c r="B94" s="219" t="s">
        <v>30</v>
      </c>
      <c r="C94" s="219" t="s">
        <v>90</v>
      </c>
      <c r="D94" s="220" t="s">
        <v>30</v>
      </c>
      <c r="E94" s="197"/>
      <c r="F94" s="197"/>
      <c r="G94" s="197"/>
      <c r="H94" s="197"/>
      <c r="I94" s="197"/>
      <c r="J94" s="197"/>
      <c r="K94" s="197"/>
      <c r="L94" s="197"/>
      <c r="M94" s="197"/>
      <c r="N94" s="197"/>
      <c r="O94" s="197"/>
      <c r="P94" s="197"/>
      <c r="Q94" s="197"/>
      <c r="R94" s="197"/>
      <c r="S94" s="197"/>
      <c r="T94" s="197"/>
      <c r="U94" s="197"/>
      <c r="V94" s="197"/>
      <c r="W94" s="197"/>
      <c r="X94" s="197"/>
      <c r="Y94" s="153">
        <f>Y99+Y100+Y93</f>
        <v>0</v>
      </c>
      <c r="Z94" s="153">
        <f>Z99+Z100+Z93</f>
        <v>9</v>
      </c>
      <c r="AA94" s="153">
        <f>AA99+AA100+AA93</f>
        <v>10.8</v>
      </c>
      <c r="AB94" s="153">
        <f>AB99+AB100+AB93</f>
        <v>24</v>
      </c>
      <c r="AC94" s="153">
        <f t="shared" ref="AC94:AJ94" si="50">AC99+AC100+AC93</f>
        <v>10.007999999999999</v>
      </c>
      <c r="AD94" s="153">
        <f t="shared" si="50"/>
        <v>17.539000000000001</v>
      </c>
      <c r="AE94" s="153">
        <f t="shared" si="50"/>
        <v>17.899000000000001</v>
      </c>
      <c r="AF94" s="153">
        <f t="shared" si="50"/>
        <v>12.539000000000001</v>
      </c>
      <c r="AG94" s="153">
        <f t="shared" si="50"/>
        <v>12.399000000000001</v>
      </c>
      <c r="AH94" s="153">
        <f t="shared" si="50"/>
        <v>16.599</v>
      </c>
      <c r="AI94" s="153">
        <f t="shared" si="50"/>
        <v>12.679</v>
      </c>
      <c r="AJ94" s="153">
        <f t="shared" si="50"/>
        <v>13.459</v>
      </c>
      <c r="AK94" s="153">
        <f>AK99+AK100+AK93</f>
        <v>10.8</v>
      </c>
      <c r="AL94" s="153">
        <f>AL99+AL100+AL93</f>
        <v>10.8</v>
      </c>
      <c r="AM94" s="153">
        <f>AM99+AM100+AM93</f>
        <v>10.8</v>
      </c>
      <c r="AN94" s="77"/>
      <c r="AO94" s="56"/>
      <c r="AP94" s="56"/>
      <c r="AQ94" s="56"/>
      <c r="AR94" s="56"/>
    </row>
    <row r="95" spans="1:44" s="77" customFormat="1" ht="22.5" thickBot="1" x14ac:dyDescent="0.45">
      <c r="A95" s="221" t="s">
        <v>91</v>
      </c>
      <c r="B95" s="219" t="s">
        <v>30</v>
      </c>
      <c r="C95" s="220" t="s">
        <v>92</v>
      </c>
      <c r="D95" s="220" t="s">
        <v>30</v>
      </c>
      <c r="E95" s="222">
        <v>97.96</v>
      </c>
      <c r="F95" s="222">
        <f>79+2</f>
        <v>81</v>
      </c>
      <c r="G95" s="222">
        <v>71</v>
      </c>
      <c r="H95" s="222">
        <f>67.5-0.5</f>
        <v>67</v>
      </c>
      <c r="I95" s="223">
        <f>61.5+0.5</f>
        <v>62</v>
      </c>
      <c r="J95" s="222">
        <v>63</v>
      </c>
      <c r="K95" s="222">
        <f>57+4+2+2</f>
        <v>65</v>
      </c>
      <c r="L95" s="224">
        <f>(59.5+5.5+1.5+2)-3</f>
        <v>65.5</v>
      </c>
      <c r="M95" s="222">
        <v>47</v>
      </c>
      <c r="N95" s="222">
        <v>22</v>
      </c>
      <c r="O95" s="224">
        <v>39</v>
      </c>
      <c r="P95" s="224">
        <f t="shared" ref="P95:AM95" si="51">P97+P98</f>
        <v>44.5</v>
      </c>
      <c r="Q95" s="224">
        <f t="shared" si="51"/>
        <v>43.5</v>
      </c>
      <c r="R95" s="223">
        <f t="shared" si="51"/>
        <v>55.5</v>
      </c>
      <c r="S95" s="223">
        <f t="shared" si="51"/>
        <v>47.93</v>
      </c>
      <c r="T95" s="223">
        <f t="shared" si="51"/>
        <v>56.379999999999995</v>
      </c>
      <c r="U95" s="223">
        <f t="shared" si="51"/>
        <v>42.91</v>
      </c>
      <c r="V95" s="223">
        <f t="shared" si="51"/>
        <v>43</v>
      </c>
      <c r="W95" s="223">
        <f t="shared" si="51"/>
        <v>48.4</v>
      </c>
      <c r="X95" s="223">
        <f t="shared" si="51"/>
        <v>58.5</v>
      </c>
      <c r="Y95" s="223">
        <f t="shared" si="51"/>
        <v>56.42</v>
      </c>
      <c r="Z95" s="223">
        <f t="shared" si="51"/>
        <v>40.159999999999997</v>
      </c>
      <c r="AA95" s="223">
        <f t="shared" si="51"/>
        <v>51.32</v>
      </c>
      <c r="AB95" s="223">
        <f t="shared" si="51"/>
        <v>54.6</v>
      </c>
      <c r="AC95" s="223">
        <f t="shared" si="51"/>
        <v>56.42</v>
      </c>
      <c r="AD95" s="223">
        <f t="shared" si="51"/>
        <v>54.6</v>
      </c>
      <c r="AE95" s="223">
        <f t="shared" si="51"/>
        <v>88.32</v>
      </c>
      <c r="AF95" s="223">
        <f t="shared" si="51"/>
        <v>56.42</v>
      </c>
      <c r="AG95" s="223">
        <f t="shared" si="51"/>
        <v>54.6</v>
      </c>
      <c r="AH95" s="223">
        <f t="shared" si="51"/>
        <v>56.42</v>
      </c>
      <c r="AI95" s="223">
        <f t="shared" si="51"/>
        <v>54.6</v>
      </c>
      <c r="AJ95" s="223">
        <f t="shared" si="51"/>
        <v>56.42</v>
      </c>
      <c r="AK95" s="223">
        <f t="shared" si="51"/>
        <v>56.42</v>
      </c>
      <c r="AL95" s="223">
        <f t="shared" si="51"/>
        <v>54.260000000000005</v>
      </c>
      <c r="AM95" s="223">
        <f t="shared" si="51"/>
        <v>56.42</v>
      </c>
    </row>
    <row r="96" spans="1:44" s="70" customFormat="1" ht="14.5" thickBot="1" x14ac:dyDescent="0.35">
      <c r="A96" s="225" t="s">
        <v>93</v>
      </c>
      <c r="B96" s="226" t="s">
        <v>94</v>
      </c>
      <c r="C96" s="63" t="s">
        <v>91</v>
      </c>
      <c r="D96" s="64" t="s">
        <v>95</v>
      </c>
      <c r="E96" s="227">
        <f t="shared" ref="E96:AM96" si="52">E3</f>
        <v>43587</v>
      </c>
      <c r="F96" s="227">
        <f t="shared" si="52"/>
        <v>43618</v>
      </c>
      <c r="G96" s="227">
        <f t="shared" si="52"/>
        <v>43648</v>
      </c>
      <c r="H96" s="227">
        <f t="shared" si="52"/>
        <v>43679</v>
      </c>
      <c r="I96" s="227">
        <f t="shared" si="52"/>
        <v>43710</v>
      </c>
      <c r="J96" s="227">
        <f t="shared" si="52"/>
        <v>43740</v>
      </c>
      <c r="K96" s="227">
        <f t="shared" si="52"/>
        <v>43771</v>
      </c>
      <c r="L96" s="227">
        <f t="shared" si="52"/>
        <v>43801</v>
      </c>
      <c r="M96" s="227">
        <f t="shared" si="52"/>
        <v>43832</v>
      </c>
      <c r="N96" s="227">
        <f t="shared" si="52"/>
        <v>43863</v>
      </c>
      <c r="O96" s="227">
        <f t="shared" si="52"/>
        <v>43892</v>
      </c>
      <c r="P96" s="227">
        <f t="shared" si="52"/>
        <v>43923</v>
      </c>
      <c r="Q96" s="227">
        <f t="shared" si="52"/>
        <v>43953</v>
      </c>
      <c r="R96" s="123">
        <f t="shared" si="52"/>
        <v>43984</v>
      </c>
      <c r="S96" s="65">
        <f t="shared" si="52"/>
        <v>44014</v>
      </c>
      <c r="T96" s="65">
        <f t="shared" si="52"/>
        <v>44045</v>
      </c>
      <c r="U96" s="65">
        <f t="shared" si="52"/>
        <v>44076</v>
      </c>
      <c r="V96" s="65">
        <f t="shared" si="52"/>
        <v>44106</v>
      </c>
      <c r="W96" s="65">
        <f t="shared" si="52"/>
        <v>44137</v>
      </c>
      <c r="X96" s="65">
        <f t="shared" si="52"/>
        <v>44167</v>
      </c>
      <c r="Y96" s="185">
        <f t="shared" si="52"/>
        <v>44198</v>
      </c>
      <c r="Z96" s="186">
        <f t="shared" si="52"/>
        <v>44229</v>
      </c>
      <c r="AA96" s="186">
        <f t="shared" si="52"/>
        <v>44257</v>
      </c>
      <c r="AB96" s="186">
        <f t="shared" si="52"/>
        <v>44288</v>
      </c>
      <c r="AC96" s="186">
        <f t="shared" si="52"/>
        <v>44318</v>
      </c>
      <c r="AD96" s="186">
        <f t="shared" si="52"/>
        <v>44349</v>
      </c>
      <c r="AE96" s="186">
        <f t="shared" si="52"/>
        <v>44379</v>
      </c>
      <c r="AF96" s="186">
        <f t="shared" si="52"/>
        <v>44410</v>
      </c>
      <c r="AG96" s="186">
        <f t="shared" si="52"/>
        <v>44441</v>
      </c>
      <c r="AH96" s="186">
        <f t="shared" si="52"/>
        <v>44471</v>
      </c>
      <c r="AI96" s="186">
        <f t="shared" si="52"/>
        <v>44502</v>
      </c>
      <c r="AJ96" s="186">
        <f t="shared" si="52"/>
        <v>44532</v>
      </c>
      <c r="AK96" s="123">
        <f t="shared" si="52"/>
        <v>44563</v>
      </c>
      <c r="AL96" s="65">
        <f t="shared" si="52"/>
        <v>44594</v>
      </c>
      <c r="AM96" s="65">
        <f t="shared" si="52"/>
        <v>44622</v>
      </c>
      <c r="AN96" s="114"/>
      <c r="AO96" s="93" t="s">
        <v>35</v>
      </c>
      <c r="AP96" s="69"/>
      <c r="AQ96" s="69"/>
      <c r="AR96" s="69"/>
    </row>
    <row r="97" spans="1:44" ht="14.75" customHeight="1" x14ac:dyDescent="0.3">
      <c r="A97" s="228" t="s">
        <v>96</v>
      </c>
      <c r="B97" s="229" t="s">
        <v>30</v>
      </c>
      <c r="C97" s="230" t="s">
        <v>97</v>
      </c>
      <c r="D97" s="231" t="s">
        <v>30</v>
      </c>
      <c r="E97" s="197"/>
      <c r="F97" s="197"/>
      <c r="G97" s="197"/>
      <c r="H97" s="197"/>
      <c r="I97" s="197"/>
      <c r="J97" s="197"/>
      <c r="K97" s="197"/>
      <c r="L97" s="197"/>
      <c r="M97" s="197"/>
      <c r="N97" s="197"/>
      <c r="O97" s="197"/>
      <c r="P97" s="232">
        <v>29</v>
      </c>
      <c r="Q97" s="232">
        <v>26</v>
      </c>
      <c r="R97" s="232">
        <v>26</v>
      </c>
      <c r="S97" s="233">
        <v>20.72</v>
      </c>
      <c r="T97" s="233">
        <v>20.38</v>
      </c>
      <c r="U97" s="233">
        <v>22.41</v>
      </c>
      <c r="V97" s="233">
        <v>27</v>
      </c>
      <c r="W97" s="234">
        <f>23+1.4</f>
        <v>24.4</v>
      </c>
      <c r="X97" s="234">
        <v>29</v>
      </c>
      <c r="Y97" s="235">
        <f>720*Y1/1000</f>
        <v>22.32</v>
      </c>
      <c r="Z97" s="236">
        <f>720*Z1/1000</f>
        <v>20.16</v>
      </c>
      <c r="AA97" s="237">
        <f>(720*AA1/1000)-2.5</f>
        <v>19.82</v>
      </c>
      <c r="AB97" s="236">
        <f t="shared" ref="AB97:AM97" si="53">720*AB1/1000</f>
        <v>21.6</v>
      </c>
      <c r="AC97" s="236">
        <f t="shared" si="53"/>
        <v>22.32</v>
      </c>
      <c r="AD97" s="236">
        <f t="shared" si="53"/>
        <v>21.6</v>
      </c>
      <c r="AE97" s="236">
        <f t="shared" si="53"/>
        <v>22.32</v>
      </c>
      <c r="AF97" s="238">
        <f t="shared" si="53"/>
        <v>22.32</v>
      </c>
      <c r="AG97" s="239">
        <f t="shared" si="53"/>
        <v>21.6</v>
      </c>
      <c r="AH97" s="239">
        <f t="shared" si="53"/>
        <v>22.32</v>
      </c>
      <c r="AI97" s="239">
        <f t="shared" si="53"/>
        <v>21.6</v>
      </c>
      <c r="AJ97" s="239">
        <f t="shared" si="53"/>
        <v>22.32</v>
      </c>
      <c r="AK97" s="240">
        <f t="shared" si="53"/>
        <v>22.32</v>
      </c>
      <c r="AL97" s="239">
        <f t="shared" si="53"/>
        <v>20.16</v>
      </c>
      <c r="AM97" s="239">
        <f t="shared" si="53"/>
        <v>22.32</v>
      </c>
      <c r="AN97" s="77"/>
      <c r="AO97" s="101">
        <f>SUM(Y97:AJ97)</f>
        <v>260.29999999999995</v>
      </c>
      <c r="AP97" s="56"/>
      <c r="AQ97" s="56"/>
      <c r="AR97" s="56"/>
    </row>
    <row r="98" spans="1:44" s="56" customFormat="1" x14ac:dyDescent="0.3">
      <c r="A98" s="213"/>
      <c r="B98" s="229" t="s">
        <v>30</v>
      </c>
      <c r="C98" s="219" t="s">
        <v>98</v>
      </c>
      <c r="D98" s="231" t="s">
        <v>30</v>
      </c>
      <c r="E98" s="241"/>
      <c r="F98" s="241"/>
      <c r="G98" s="241"/>
      <c r="H98" s="241"/>
      <c r="I98" s="241"/>
      <c r="J98" s="241"/>
      <c r="K98" s="241"/>
      <c r="L98" s="241"/>
      <c r="M98" s="241"/>
      <c r="N98" s="241"/>
      <c r="O98" s="241"/>
      <c r="P98" s="198">
        <v>15.5</v>
      </c>
      <c r="Q98" s="242">
        <v>17.5</v>
      </c>
      <c r="R98" s="243">
        <v>29.5</v>
      </c>
      <c r="S98" s="244">
        <f>31.21-4</f>
        <v>27.21</v>
      </c>
      <c r="T98" s="198">
        <f>31.25+7.5-2.75</f>
        <v>36</v>
      </c>
      <c r="U98" s="244">
        <v>20.5</v>
      </c>
      <c r="V98" s="198">
        <v>16</v>
      </c>
      <c r="W98" s="244">
        <v>24</v>
      </c>
      <c r="X98" s="245">
        <v>29.5</v>
      </c>
      <c r="Y98" s="246">
        <f>34.1</f>
        <v>34.1</v>
      </c>
      <c r="Z98" s="223">
        <f>25-5</f>
        <v>20</v>
      </c>
      <c r="AA98" s="223">
        <f>31.5</f>
        <v>31.5</v>
      </c>
      <c r="AB98" s="223">
        <v>33</v>
      </c>
      <c r="AC98" s="223">
        <v>34.1</v>
      </c>
      <c r="AD98" s="223">
        <v>33</v>
      </c>
      <c r="AE98" s="223">
        <v>66</v>
      </c>
      <c r="AF98" s="223">
        <v>34.1</v>
      </c>
      <c r="AG98" s="247">
        <v>33</v>
      </c>
      <c r="AH98" s="247">
        <v>34.1</v>
      </c>
      <c r="AI98" s="247">
        <v>33</v>
      </c>
      <c r="AJ98" s="247">
        <v>34.1</v>
      </c>
      <c r="AK98" s="248">
        <v>34.1</v>
      </c>
      <c r="AL98" s="247">
        <v>34.1</v>
      </c>
      <c r="AM98" s="247">
        <v>34.1</v>
      </c>
      <c r="AN98" s="77"/>
      <c r="AO98" s="101">
        <f t="shared" ref="AO98:AO105" si="54">SUM(Y98:AJ98)</f>
        <v>420.00000000000006</v>
      </c>
    </row>
    <row r="99" spans="1:44" x14ac:dyDescent="0.3">
      <c r="A99" s="249"/>
      <c r="B99" s="229" t="s">
        <v>30</v>
      </c>
      <c r="C99" s="220" t="s">
        <v>99</v>
      </c>
      <c r="D99" s="231" t="s">
        <v>30</v>
      </c>
      <c r="E99" s="222"/>
      <c r="F99" s="222"/>
      <c r="G99" s="222"/>
      <c r="H99" s="222"/>
      <c r="I99" s="223"/>
      <c r="J99" s="222"/>
      <c r="K99" s="222"/>
      <c r="L99" s="250"/>
      <c r="M99" s="222"/>
      <c r="N99" s="222"/>
      <c r="O99" s="224"/>
      <c r="P99" s="224"/>
      <c r="Q99" s="224"/>
      <c r="R99" s="224"/>
      <c r="S99" s="224"/>
      <c r="T99" s="224"/>
      <c r="U99" s="224"/>
      <c r="V99" s="224"/>
      <c r="W99" s="224"/>
      <c r="X99" s="224"/>
      <c r="Y99" s="251">
        <v>0</v>
      </c>
      <c r="Z99" s="252">
        <f>10.8-1.8</f>
        <v>9</v>
      </c>
      <c r="AA99" s="253">
        <v>10.8</v>
      </c>
      <c r="AB99" s="254">
        <v>8.5</v>
      </c>
      <c r="AC99" s="255">
        <v>4.4349999999999996</v>
      </c>
      <c r="AD99" s="255">
        <v>11.965999999999999</v>
      </c>
      <c r="AE99" s="254"/>
      <c r="AF99" s="255">
        <v>6.9660000000000002</v>
      </c>
      <c r="AG99" s="255">
        <v>6.8259999999999996</v>
      </c>
      <c r="AH99" s="255">
        <v>11.026</v>
      </c>
      <c r="AI99" s="255">
        <v>7.1059999999999999</v>
      </c>
      <c r="AJ99" s="255">
        <v>7.8860000000000001</v>
      </c>
      <c r="AK99" s="251">
        <v>10.8</v>
      </c>
      <c r="AL99" s="255">
        <v>10.8</v>
      </c>
      <c r="AM99" s="255">
        <v>10.8</v>
      </c>
      <c r="AN99" s="77"/>
      <c r="AO99" s="101">
        <f t="shared" si="54"/>
        <v>84.510999999999996</v>
      </c>
      <c r="AP99" s="56"/>
      <c r="AQ99" s="56"/>
      <c r="AR99" s="56"/>
    </row>
    <row r="100" spans="1:44" x14ac:dyDescent="0.3">
      <c r="A100" s="249"/>
      <c r="B100" s="229" t="s">
        <v>30</v>
      </c>
      <c r="C100" s="220" t="s">
        <v>100</v>
      </c>
      <c r="D100" s="231" t="s">
        <v>30</v>
      </c>
      <c r="E100" s="222"/>
      <c r="F100" s="222"/>
      <c r="G100" s="222"/>
      <c r="H100" s="222"/>
      <c r="I100" s="223"/>
      <c r="J100" s="222"/>
      <c r="K100" s="222"/>
      <c r="L100" s="250"/>
      <c r="M100" s="222"/>
      <c r="N100" s="222"/>
      <c r="O100" s="224"/>
      <c r="P100" s="224"/>
      <c r="Q100" s="224"/>
      <c r="R100" s="224"/>
      <c r="S100" s="224"/>
      <c r="T100" s="224"/>
      <c r="U100" s="224"/>
      <c r="V100" s="224"/>
      <c r="W100" s="224"/>
      <c r="X100" s="224"/>
      <c r="Y100" s="251"/>
      <c r="Z100" s="253"/>
      <c r="AA100" s="253"/>
      <c r="AB100" s="255">
        <v>0</v>
      </c>
      <c r="AC100" s="255">
        <v>5.5730000000000004</v>
      </c>
      <c r="AD100" s="254">
        <v>5.5730000000000004</v>
      </c>
      <c r="AE100" s="254"/>
      <c r="AF100" s="255">
        <v>5.5730000000000004</v>
      </c>
      <c r="AG100" s="255">
        <v>5.5730000000000004</v>
      </c>
      <c r="AH100" s="254"/>
      <c r="AI100" s="255">
        <v>5.5730000000000004</v>
      </c>
      <c r="AJ100" s="255">
        <v>5.5730000000000004</v>
      </c>
      <c r="AK100" s="251"/>
      <c r="AL100" s="255"/>
      <c r="AM100" s="255"/>
      <c r="AN100" s="77"/>
      <c r="AO100" s="101">
        <f t="shared" si="54"/>
        <v>33.438000000000002</v>
      </c>
      <c r="AP100" s="56"/>
      <c r="AQ100" s="56"/>
      <c r="AR100" s="56"/>
    </row>
    <row r="101" spans="1:44" x14ac:dyDescent="0.3">
      <c r="A101" s="249"/>
      <c r="B101" s="229" t="s">
        <v>30</v>
      </c>
      <c r="C101" s="220" t="s">
        <v>101</v>
      </c>
      <c r="D101" s="231" t="s">
        <v>30</v>
      </c>
      <c r="E101" s="222">
        <v>22.7</v>
      </c>
      <c r="F101" s="222">
        <v>32</v>
      </c>
      <c r="G101" s="256">
        <f>15+1</f>
        <v>16</v>
      </c>
      <c r="H101" s="256">
        <f>13+1</f>
        <v>14</v>
      </c>
      <c r="I101" s="223">
        <f>6+2</f>
        <v>8</v>
      </c>
      <c r="J101" s="223">
        <v>6</v>
      </c>
      <c r="K101" s="223">
        <v>6</v>
      </c>
      <c r="L101" s="223">
        <v>13</v>
      </c>
      <c r="M101" s="223">
        <v>12</v>
      </c>
      <c r="N101" s="223">
        <v>12</v>
      </c>
      <c r="O101" s="223">
        <f>12+25</f>
        <v>37</v>
      </c>
      <c r="P101" s="223">
        <f>12+9+5+6</f>
        <v>32</v>
      </c>
      <c r="Q101" s="257">
        <v>0</v>
      </c>
      <c r="R101" s="224"/>
      <c r="S101" s="223"/>
      <c r="T101" s="223"/>
      <c r="U101" s="223"/>
      <c r="V101" s="258"/>
      <c r="W101" s="223"/>
      <c r="X101" s="259"/>
      <c r="Y101" s="260"/>
      <c r="Z101" s="223">
        <f>15+2.5</f>
        <v>17.5</v>
      </c>
      <c r="AA101" s="223">
        <v>3.24</v>
      </c>
      <c r="AB101" s="224"/>
      <c r="AC101" s="261"/>
      <c r="AD101" s="261"/>
      <c r="AE101" s="261">
        <v>0</v>
      </c>
      <c r="AF101" s="261">
        <v>0</v>
      </c>
      <c r="AG101" s="261">
        <v>0</v>
      </c>
      <c r="AH101" s="261">
        <v>0</v>
      </c>
      <c r="AI101" s="261">
        <v>0</v>
      </c>
      <c r="AJ101" s="261">
        <v>0</v>
      </c>
      <c r="AK101" s="260">
        <v>0</v>
      </c>
      <c r="AL101" s="261">
        <v>0</v>
      </c>
      <c r="AM101" s="261">
        <v>0</v>
      </c>
      <c r="AN101" s="77"/>
      <c r="AO101" s="101">
        <f t="shared" si="54"/>
        <v>20.740000000000002</v>
      </c>
      <c r="AP101" s="69"/>
      <c r="AQ101" s="69"/>
      <c r="AR101" s="56"/>
    </row>
    <row r="102" spans="1:44" x14ac:dyDescent="0.3">
      <c r="A102" s="249"/>
      <c r="B102" s="229" t="s">
        <v>30</v>
      </c>
      <c r="C102" s="220" t="s">
        <v>102</v>
      </c>
      <c r="D102" s="231" t="s">
        <v>30</v>
      </c>
      <c r="E102" s="222">
        <v>25.201000000000001</v>
      </c>
      <c r="F102" s="222">
        <v>1.85</v>
      </c>
      <c r="G102" s="222">
        <v>24.5</v>
      </c>
      <c r="H102" s="223">
        <v>25</v>
      </c>
      <c r="I102" s="259">
        <v>26.736999999999998</v>
      </c>
      <c r="J102" s="259">
        <v>33.479999999999997</v>
      </c>
      <c r="K102" s="259">
        <v>31.632000000000001</v>
      </c>
      <c r="L102" s="250">
        <v>25</v>
      </c>
      <c r="M102" s="222">
        <v>32.86</v>
      </c>
      <c r="N102" s="252">
        <v>25.4</v>
      </c>
      <c r="O102" s="252">
        <v>16.645</v>
      </c>
      <c r="P102" s="224">
        <v>24</v>
      </c>
      <c r="Q102" s="262">
        <v>21.957999999999998</v>
      </c>
      <c r="R102" s="224">
        <v>23.643999999999998</v>
      </c>
      <c r="S102" s="263">
        <v>25.8</v>
      </c>
      <c r="T102" s="223">
        <v>31.132362637362636</v>
      </c>
      <c r="U102" s="263">
        <v>30.3</v>
      </c>
      <c r="V102" s="223">
        <f>1060*31/1000</f>
        <v>32.86</v>
      </c>
      <c r="W102" s="223">
        <f>1040*30/1000</f>
        <v>31.2</v>
      </c>
      <c r="X102" s="224">
        <v>25.673999999999999</v>
      </c>
      <c r="Y102" s="264">
        <f>1040*Y1/1000</f>
        <v>32.24</v>
      </c>
      <c r="Z102" s="252">
        <v>28.1</v>
      </c>
      <c r="AA102" s="253">
        <f>1040*AA1/1000</f>
        <v>32.24</v>
      </c>
      <c r="AB102" s="253">
        <f>1040*AB1/1000</f>
        <v>31.2</v>
      </c>
      <c r="AC102" s="253">
        <f>1040*AC1/1000</f>
        <v>32.24</v>
      </c>
      <c r="AD102" s="255">
        <f>1040*AD1/1000</f>
        <v>31.2</v>
      </c>
      <c r="AE102" s="252">
        <v>19.551900859337</v>
      </c>
      <c r="AF102" s="255">
        <f>1040*AF1/1000</f>
        <v>32.24</v>
      </c>
      <c r="AG102" s="255">
        <f>1040*AG1/1000</f>
        <v>31.2</v>
      </c>
      <c r="AH102" s="252">
        <v>21.7</v>
      </c>
      <c r="AI102" s="252">
        <v>0</v>
      </c>
      <c r="AJ102" s="255">
        <f>1040*AJ1/1000</f>
        <v>32.24</v>
      </c>
      <c r="AK102" s="251">
        <f>1040*AK1/1000</f>
        <v>32.24</v>
      </c>
      <c r="AL102" s="255">
        <f>1040*AL1/1000</f>
        <v>29.12</v>
      </c>
      <c r="AM102" s="255">
        <f>1040*AM1/1000</f>
        <v>32.24</v>
      </c>
      <c r="AN102" s="77"/>
      <c r="AO102" s="101">
        <f t="shared" si="54"/>
        <v>324.15190085933699</v>
      </c>
      <c r="AP102" s="69"/>
      <c r="AQ102" s="69"/>
      <c r="AR102" s="56"/>
    </row>
    <row r="103" spans="1:44" ht="14.5" thickBot="1" x14ac:dyDescent="0.35">
      <c r="A103" s="249"/>
      <c r="B103" s="229" t="s">
        <v>30</v>
      </c>
      <c r="C103" s="220" t="s">
        <v>103</v>
      </c>
      <c r="D103" s="231" t="s">
        <v>30</v>
      </c>
      <c r="E103" s="222">
        <v>8.1080000000000005</v>
      </c>
      <c r="F103" s="224">
        <v>11.057</v>
      </c>
      <c r="G103" s="222">
        <f>30.837+1</f>
        <v>31.837</v>
      </c>
      <c r="H103" s="222">
        <v>31.837</v>
      </c>
      <c r="I103" s="222">
        <v>30.81</v>
      </c>
      <c r="J103" s="222">
        <v>31.837</v>
      </c>
      <c r="K103" s="222">
        <v>30.81</v>
      </c>
      <c r="L103" s="250">
        <v>23.632999999999999</v>
      </c>
      <c r="M103" s="250">
        <v>17.95</v>
      </c>
      <c r="N103" s="222">
        <f>26.179-0.873</f>
        <v>25.305999999999997</v>
      </c>
      <c r="O103" s="224">
        <f>28.022-0.417-0.922</f>
        <v>26.682999999999996</v>
      </c>
      <c r="P103" s="250">
        <v>20.55</v>
      </c>
      <c r="Q103" s="265">
        <v>8</v>
      </c>
      <c r="R103" s="222">
        <v>20</v>
      </c>
      <c r="S103" s="263">
        <v>22</v>
      </c>
      <c r="T103" s="24">
        <v>21.2</v>
      </c>
      <c r="U103" s="266">
        <v>21.2</v>
      </c>
      <c r="V103" s="266">
        <v>21.2</v>
      </c>
      <c r="W103" s="267">
        <v>21.2</v>
      </c>
      <c r="X103" s="31">
        <f>21.2+7.5</f>
        <v>28.7</v>
      </c>
      <c r="Y103" s="268">
        <f>21.672+1.635+2.9</f>
        <v>26.207000000000001</v>
      </c>
      <c r="Z103" s="223">
        <f>21.276</f>
        <v>21.276</v>
      </c>
      <c r="AA103" s="261">
        <v>23.556000000000001</v>
      </c>
      <c r="AB103" s="261">
        <v>22.795999999999999</v>
      </c>
      <c r="AC103" s="261">
        <v>23.556000000000001</v>
      </c>
      <c r="AD103" s="261">
        <v>22.036000000000001</v>
      </c>
      <c r="AE103" s="224">
        <v>8.0449999999999999</v>
      </c>
      <c r="AF103" s="224">
        <v>13.064</v>
      </c>
      <c r="AG103" s="261">
        <v>21.884</v>
      </c>
      <c r="AH103" s="261">
        <v>20.257999999999999</v>
      </c>
      <c r="AI103" s="261">
        <v>22.658999999999999</v>
      </c>
      <c r="AJ103" s="261">
        <v>23.556000000000001</v>
      </c>
      <c r="AK103" s="260">
        <v>23.556000000000001</v>
      </c>
      <c r="AL103" s="261">
        <v>23.556000000000001</v>
      </c>
      <c r="AM103" s="261">
        <v>23.556000000000001</v>
      </c>
      <c r="AN103" s="77"/>
      <c r="AO103" s="101">
        <f t="shared" si="54"/>
        <v>248.89300000000003</v>
      </c>
      <c r="AP103" s="69"/>
      <c r="AQ103" s="69"/>
      <c r="AR103" s="56"/>
    </row>
    <row r="104" spans="1:44" ht="14.5" thickBot="1" x14ac:dyDescent="0.35">
      <c r="A104" s="269"/>
      <c r="B104" s="229" t="s">
        <v>30</v>
      </c>
      <c r="C104" s="220" t="s">
        <v>104</v>
      </c>
      <c r="D104" s="231" t="s">
        <v>30</v>
      </c>
      <c r="E104" s="222"/>
      <c r="F104" s="224"/>
      <c r="G104" s="222"/>
      <c r="H104" s="222"/>
      <c r="I104" s="222"/>
      <c r="J104" s="222"/>
      <c r="K104" s="222"/>
      <c r="L104" s="250"/>
      <c r="M104" s="250"/>
      <c r="N104" s="222"/>
      <c r="O104" s="224"/>
      <c r="P104" s="250"/>
      <c r="Q104" s="265"/>
      <c r="R104" s="222"/>
      <c r="S104" s="263"/>
      <c r="T104" s="24"/>
      <c r="U104" s="266"/>
      <c r="V104" s="266"/>
      <c r="W104" s="267"/>
      <c r="X104" s="31"/>
      <c r="Y104" s="270"/>
      <c r="Z104" s="224">
        <v>4.5</v>
      </c>
      <c r="AA104" s="224">
        <f>4+2.5</f>
        <v>6.5</v>
      </c>
      <c r="AB104" s="261">
        <v>4</v>
      </c>
      <c r="AC104" s="261">
        <v>4</v>
      </c>
      <c r="AD104" s="261">
        <v>4</v>
      </c>
      <c r="AE104" s="261"/>
      <c r="AF104" s="261"/>
      <c r="AG104" s="261">
        <v>4</v>
      </c>
      <c r="AH104" s="261">
        <v>4</v>
      </c>
      <c r="AI104" s="261">
        <v>4</v>
      </c>
      <c r="AJ104" s="261">
        <v>4</v>
      </c>
      <c r="AK104" s="271"/>
      <c r="AL104" s="272"/>
      <c r="AM104" s="272"/>
      <c r="AN104" s="77"/>
      <c r="AO104" s="101">
        <f t="shared" si="54"/>
        <v>39</v>
      </c>
      <c r="AP104" s="69"/>
      <c r="AQ104" s="69"/>
      <c r="AR104" s="56"/>
    </row>
    <row r="105" spans="1:44" x14ac:dyDescent="0.3">
      <c r="A105" s="273" t="s">
        <v>105</v>
      </c>
      <c r="B105" s="274" t="s">
        <v>30</v>
      </c>
      <c r="C105" s="275" t="s">
        <v>106</v>
      </c>
      <c r="D105" s="276" t="s">
        <v>30</v>
      </c>
      <c r="E105" s="277"/>
      <c r="F105" s="277">
        <v>0.3</v>
      </c>
      <c r="G105" s="277">
        <v>0.6</v>
      </c>
      <c r="H105" s="277">
        <v>0.65355300000000005</v>
      </c>
      <c r="I105" s="277">
        <v>0.8</v>
      </c>
      <c r="J105" s="277">
        <v>0.64030200000000004</v>
      </c>
      <c r="K105" s="277">
        <v>0.60816493999999999</v>
      </c>
      <c r="L105" s="277">
        <v>0.60244565000000005</v>
      </c>
      <c r="M105" s="277">
        <v>0.8</v>
      </c>
      <c r="N105" s="277">
        <v>0.94</v>
      </c>
      <c r="O105" s="277">
        <v>0.65</v>
      </c>
      <c r="P105" s="278">
        <v>0.7</v>
      </c>
      <c r="Q105" s="277">
        <v>0.60859381000000001</v>
      </c>
      <c r="R105" s="277">
        <v>0.37617381999999999</v>
      </c>
      <c r="S105" s="278">
        <v>0.5</v>
      </c>
      <c r="T105" s="277">
        <v>0.27</v>
      </c>
      <c r="U105" s="278">
        <v>0.7</v>
      </c>
      <c r="V105" s="278">
        <v>0.65</v>
      </c>
      <c r="W105" s="277">
        <v>0.6</v>
      </c>
      <c r="X105" s="277">
        <v>0.6</v>
      </c>
      <c r="Y105" s="279">
        <v>0.6</v>
      </c>
      <c r="Z105" s="280">
        <v>0.6</v>
      </c>
      <c r="AA105" s="280">
        <v>0.6</v>
      </c>
      <c r="AB105" s="280">
        <v>0.6</v>
      </c>
      <c r="AC105" s="280">
        <v>0.6</v>
      </c>
      <c r="AD105" s="280">
        <v>0.6</v>
      </c>
      <c r="AE105" s="280">
        <v>0.6</v>
      </c>
      <c r="AF105" s="280">
        <v>0.6</v>
      </c>
      <c r="AG105" s="280">
        <v>0.6</v>
      </c>
      <c r="AH105" s="280">
        <v>0.6</v>
      </c>
      <c r="AI105" s="280">
        <v>0.6</v>
      </c>
      <c r="AJ105" s="280">
        <v>0.6</v>
      </c>
      <c r="AK105" s="281">
        <v>0.6</v>
      </c>
      <c r="AL105" s="282">
        <v>0.6</v>
      </c>
      <c r="AM105" s="282">
        <v>0.6</v>
      </c>
      <c r="AN105" s="77"/>
      <c r="AO105" s="101">
        <f t="shared" si="54"/>
        <v>7.1999999999999984</v>
      </c>
      <c r="AP105" s="69"/>
      <c r="AQ105" s="69"/>
      <c r="AR105" s="56"/>
    </row>
    <row r="106" spans="1:44" x14ac:dyDescent="0.3">
      <c r="A106" s="269"/>
      <c r="B106" s="274" t="s">
        <v>30</v>
      </c>
      <c r="C106" s="283" t="s">
        <v>107</v>
      </c>
      <c r="D106" s="276" t="s">
        <v>30</v>
      </c>
      <c r="E106" s="277"/>
      <c r="F106" s="277"/>
      <c r="G106" s="277"/>
      <c r="H106" s="277"/>
      <c r="I106" s="277"/>
      <c r="J106" s="277"/>
      <c r="K106" s="277"/>
      <c r="L106" s="277">
        <v>0.5</v>
      </c>
      <c r="M106" s="277">
        <v>0.5</v>
      </c>
      <c r="N106" s="277">
        <v>0.62</v>
      </c>
      <c r="O106" s="277">
        <v>0.65</v>
      </c>
      <c r="P106" s="284">
        <v>0.75</v>
      </c>
      <c r="Q106" s="277">
        <v>0.75</v>
      </c>
      <c r="R106" s="277">
        <v>0.75</v>
      </c>
      <c r="S106" s="278">
        <v>0.9</v>
      </c>
      <c r="T106" s="277">
        <v>0.75</v>
      </c>
      <c r="U106" s="278">
        <v>0.75</v>
      </c>
      <c r="V106" s="277">
        <v>0.8</v>
      </c>
      <c r="W106" s="277">
        <v>0.8</v>
      </c>
      <c r="X106" s="277">
        <v>0.6</v>
      </c>
      <c r="Y106" s="285">
        <v>0.8</v>
      </c>
      <c r="Z106" s="277">
        <v>0.7</v>
      </c>
      <c r="AA106" s="277">
        <v>0.75</v>
      </c>
      <c r="AB106" s="277">
        <v>0.55000000000000004</v>
      </c>
      <c r="AC106" s="277">
        <v>0.65</v>
      </c>
      <c r="AD106" s="277">
        <v>0.6</v>
      </c>
      <c r="AE106" s="277">
        <v>0.8</v>
      </c>
      <c r="AF106" s="277">
        <v>0.9</v>
      </c>
      <c r="AG106" s="277">
        <v>0.8</v>
      </c>
      <c r="AH106" s="277">
        <v>0.8</v>
      </c>
      <c r="AI106" s="277">
        <v>0.7</v>
      </c>
      <c r="AJ106" s="277">
        <v>0.65</v>
      </c>
      <c r="AK106" s="285">
        <v>0.6</v>
      </c>
      <c r="AL106" s="277">
        <v>0.6</v>
      </c>
      <c r="AM106" s="277">
        <v>0.6</v>
      </c>
      <c r="AN106" s="77"/>
      <c r="AO106" s="56"/>
      <c r="AP106" s="69"/>
      <c r="AQ106" s="69"/>
      <c r="AR106" s="56"/>
    </row>
    <row r="107" spans="1:44" x14ac:dyDescent="0.3">
      <c r="A107" s="249"/>
      <c r="B107" s="229" t="s">
        <v>30</v>
      </c>
      <c r="C107" s="286" t="s">
        <v>77</v>
      </c>
      <c r="D107" s="287" t="s">
        <v>108</v>
      </c>
      <c r="E107" s="288">
        <v>64.069999999999993</v>
      </c>
      <c r="F107" s="289">
        <f>66.43791165-3</f>
        <v>63.437911650000004</v>
      </c>
      <c r="G107" s="290">
        <f>67.84931687-2</f>
        <v>65.849316869999996</v>
      </c>
      <c r="H107" s="288">
        <v>62.71</v>
      </c>
      <c r="I107" s="288">
        <v>69.459999999999994</v>
      </c>
      <c r="J107" s="288">
        <v>74.149546740000005</v>
      </c>
      <c r="K107" s="291">
        <v>64.84</v>
      </c>
      <c r="L107" s="291">
        <v>73.87</v>
      </c>
      <c r="M107" s="291">
        <v>70.308482029999993</v>
      </c>
      <c r="N107" s="291">
        <f>66.30012878+1.27-2</f>
        <v>65.57012877999999</v>
      </c>
      <c r="O107" s="289">
        <v>67.39</v>
      </c>
      <c r="P107" s="292">
        <v>52.08</v>
      </c>
      <c r="Q107" s="289">
        <v>47.18</v>
      </c>
      <c r="R107" s="289">
        <v>52.57</v>
      </c>
      <c r="S107" s="289">
        <v>56.54</v>
      </c>
      <c r="T107" s="289">
        <v>59.6</v>
      </c>
      <c r="U107" s="289">
        <v>57.42</v>
      </c>
      <c r="V107" s="289">
        <f>62.54</f>
        <v>62.54</v>
      </c>
      <c r="W107" s="291">
        <v>59.382407709999995</v>
      </c>
      <c r="X107" s="289">
        <v>56.1</v>
      </c>
      <c r="Y107" s="293">
        <f>51.21+3</f>
        <v>54.21</v>
      </c>
      <c r="Z107" s="224">
        <f>52.25</f>
        <v>52.25</v>
      </c>
      <c r="AA107" s="223">
        <v>53.649287540000003</v>
      </c>
      <c r="AB107" s="223">
        <v>53.173990040000007</v>
      </c>
      <c r="AC107" s="223">
        <v>55.258795049999989</v>
      </c>
      <c r="AD107" s="223">
        <v>53.033451110000001</v>
      </c>
      <c r="AE107" s="223">
        <v>61.290929419999998</v>
      </c>
      <c r="AF107" s="223">
        <v>57.299031049999996</v>
      </c>
      <c r="AG107" s="223">
        <v>54.128308189999998</v>
      </c>
      <c r="AH107" s="223">
        <v>53.377177409999987</v>
      </c>
      <c r="AI107" s="223">
        <v>54.286175450000002</v>
      </c>
      <c r="AJ107" s="223">
        <v>54.510846099999995</v>
      </c>
      <c r="AK107" s="294">
        <v>55.231450530000004</v>
      </c>
      <c r="AL107" s="295">
        <v>51.270444030000007</v>
      </c>
      <c r="AM107" s="295">
        <v>51.270444030000007</v>
      </c>
      <c r="AN107" s="77"/>
      <c r="AO107" s="56"/>
      <c r="AP107" s="69"/>
      <c r="AQ107" s="69"/>
      <c r="AR107" s="56"/>
    </row>
    <row r="108" spans="1:44" x14ac:dyDescent="0.3">
      <c r="A108" s="249"/>
      <c r="B108" s="229" t="s">
        <v>30</v>
      </c>
      <c r="C108" s="286" t="s">
        <v>77</v>
      </c>
      <c r="D108" s="296" t="s">
        <v>109</v>
      </c>
      <c r="E108" s="60">
        <v>70.61</v>
      </c>
      <c r="F108" s="60">
        <v>67.131</v>
      </c>
      <c r="G108" s="60">
        <v>68.07940004999999</v>
      </c>
      <c r="H108" s="60">
        <f>67.46768497-1.17</f>
        <v>66.297684969999992</v>
      </c>
      <c r="I108" s="60">
        <v>68.81</v>
      </c>
      <c r="J108" s="60">
        <v>68.09418556</v>
      </c>
      <c r="K108" s="60">
        <v>70.55</v>
      </c>
      <c r="L108" s="60">
        <v>67.655677449999999</v>
      </c>
      <c r="M108" s="60">
        <v>67.334808789999997</v>
      </c>
      <c r="N108" s="60">
        <v>64.025330750000009</v>
      </c>
      <c r="O108" s="289">
        <v>61.08</v>
      </c>
      <c r="P108" s="289">
        <v>50.41</v>
      </c>
      <c r="Q108" s="289">
        <v>54.68</v>
      </c>
      <c r="R108" s="289">
        <v>53.87</v>
      </c>
      <c r="S108" s="289">
        <v>60.69</v>
      </c>
      <c r="T108" s="289">
        <v>61.18</v>
      </c>
      <c r="U108" s="289">
        <v>60.42</v>
      </c>
      <c r="V108" s="60">
        <v>61.37</v>
      </c>
      <c r="W108" s="289">
        <v>60.32</v>
      </c>
      <c r="X108" s="289">
        <v>64.62</v>
      </c>
      <c r="Y108" s="293">
        <v>61.92</v>
      </c>
      <c r="Z108" s="222">
        <v>56.777439450000003</v>
      </c>
      <c r="AA108" s="222">
        <v>59.425140569999996</v>
      </c>
      <c r="AB108" s="222">
        <v>57.471438069999998</v>
      </c>
      <c r="AC108" s="222">
        <v>58.962912750000001</v>
      </c>
      <c r="AD108" s="222">
        <v>57.359902950000006</v>
      </c>
      <c r="AE108" s="222">
        <v>59.891667990000002</v>
      </c>
      <c r="AF108" s="222">
        <v>60.929613990000007</v>
      </c>
      <c r="AG108" s="222">
        <v>59.40514635000001</v>
      </c>
      <c r="AH108" s="222">
        <v>60.120994320000008</v>
      </c>
      <c r="AI108" s="222">
        <v>59.500608720000002</v>
      </c>
      <c r="AJ108" s="222">
        <v>60.950941209999996</v>
      </c>
      <c r="AK108" s="297">
        <v>60.568664269999999</v>
      </c>
      <c r="AL108" s="222">
        <v>56.342431429999998</v>
      </c>
      <c r="AM108" s="222">
        <v>56.342431429999998</v>
      </c>
      <c r="AN108" s="77"/>
      <c r="AO108" s="122"/>
      <c r="AP108" s="69"/>
      <c r="AQ108" s="69"/>
      <c r="AR108" s="56"/>
    </row>
    <row r="109" spans="1:44" x14ac:dyDescent="0.3">
      <c r="A109" s="249"/>
      <c r="B109" s="298" t="s">
        <v>30</v>
      </c>
      <c r="C109" s="299" t="s">
        <v>77</v>
      </c>
      <c r="D109" s="300" t="s">
        <v>110</v>
      </c>
      <c r="E109" s="60"/>
      <c r="F109" s="289"/>
      <c r="G109" s="60"/>
      <c r="H109" s="60">
        <v>2</v>
      </c>
      <c r="I109" s="60"/>
      <c r="J109" s="60"/>
      <c r="K109" s="301">
        <v>13.6</v>
      </c>
      <c r="L109" s="60"/>
      <c r="M109" s="60">
        <v>0.41</v>
      </c>
      <c r="N109" s="60">
        <v>1.27</v>
      </c>
      <c r="O109" s="60">
        <v>3.8000000000000003</v>
      </c>
      <c r="P109" s="60">
        <v>1.2</v>
      </c>
      <c r="Q109" s="60">
        <v>1.55</v>
      </c>
      <c r="R109" s="289">
        <v>4.0999999999999996</v>
      </c>
      <c r="S109" s="289">
        <v>7.4</v>
      </c>
      <c r="T109" s="289">
        <v>14.3</v>
      </c>
      <c r="U109" s="289">
        <v>12</v>
      </c>
      <c r="V109" s="289">
        <f>10.3-0.7</f>
        <v>9.6000000000000014</v>
      </c>
      <c r="W109" s="289">
        <v>13</v>
      </c>
      <c r="X109" s="289">
        <v>11.47</v>
      </c>
      <c r="Y109" s="293">
        <v>4.5</v>
      </c>
      <c r="Z109" s="224">
        <v>6.4</v>
      </c>
      <c r="AA109" s="222">
        <v>16</v>
      </c>
      <c r="AB109" s="222">
        <v>15</v>
      </c>
      <c r="AC109" s="222">
        <v>15</v>
      </c>
      <c r="AD109" s="222">
        <v>15</v>
      </c>
      <c r="AE109" s="222">
        <v>15</v>
      </c>
      <c r="AF109" s="222">
        <v>15</v>
      </c>
      <c r="AG109" s="222">
        <v>15</v>
      </c>
      <c r="AH109" s="222">
        <v>15</v>
      </c>
      <c r="AI109" s="222">
        <v>15</v>
      </c>
      <c r="AJ109" s="222">
        <v>15</v>
      </c>
      <c r="AK109" s="297">
        <v>15</v>
      </c>
      <c r="AL109" s="222">
        <v>15</v>
      </c>
      <c r="AM109" s="222">
        <v>15</v>
      </c>
      <c r="AN109" s="77"/>
      <c r="AO109" s="56"/>
      <c r="AP109" s="69"/>
      <c r="AQ109" s="69"/>
      <c r="AR109" s="56"/>
    </row>
    <row r="110" spans="1:44" x14ac:dyDescent="0.3">
      <c r="A110" s="249"/>
      <c r="B110" s="298" t="s">
        <v>30</v>
      </c>
      <c r="C110" s="299" t="s">
        <v>77</v>
      </c>
      <c r="D110" s="300" t="s">
        <v>111</v>
      </c>
      <c r="E110" s="60"/>
      <c r="F110" s="289"/>
      <c r="G110" s="60"/>
      <c r="H110" s="60"/>
      <c r="I110" s="60"/>
      <c r="J110" s="60"/>
      <c r="K110" s="301"/>
      <c r="L110" s="60"/>
      <c r="M110" s="60"/>
      <c r="N110" s="60"/>
      <c r="O110" s="60"/>
      <c r="P110" s="60"/>
      <c r="Q110" s="60"/>
      <c r="R110" s="289"/>
      <c r="S110" s="289"/>
      <c r="T110" s="289"/>
      <c r="U110" s="60">
        <v>0.3</v>
      </c>
      <c r="V110" s="289">
        <v>0.6</v>
      </c>
      <c r="W110" s="60">
        <v>0.6</v>
      </c>
      <c r="X110" s="60">
        <v>0.6</v>
      </c>
      <c r="Y110" s="293">
        <v>0.25</v>
      </c>
      <c r="Z110" s="224">
        <v>0.4</v>
      </c>
      <c r="AA110" s="222">
        <v>0.4</v>
      </c>
      <c r="AB110" s="222">
        <v>0.4</v>
      </c>
      <c r="AC110" s="222">
        <v>0.4</v>
      </c>
      <c r="AD110" s="222">
        <v>0.3</v>
      </c>
      <c r="AE110" s="222">
        <v>0.3</v>
      </c>
      <c r="AF110" s="222">
        <v>0.3</v>
      </c>
      <c r="AG110" s="222">
        <v>0.3</v>
      </c>
      <c r="AH110" s="222">
        <v>0.25</v>
      </c>
      <c r="AI110" s="222">
        <v>0.25</v>
      </c>
      <c r="AJ110" s="222">
        <v>0.25</v>
      </c>
      <c r="AK110" s="302">
        <v>0.25</v>
      </c>
      <c r="AL110" s="303">
        <v>0.25</v>
      </c>
      <c r="AM110" s="303">
        <v>0.25</v>
      </c>
      <c r="AN110" s="77"/>
      <c r="AO110" s="56"/>
      <c r="AP110" s="69"/>
      <c r="AQ110" s="69"/>
      <c r="AR110" s="56"/>
    </row>
    <row r="111" spans="1:44" x14ac:dyDescent="0.3">
      <c r="A111" s="249"/>
      <c r="B111" s="304" t="s">
        <v>30</v>
      </c>
      <c r="C111" s="305" t="s">
        <v>78</v>
      </c>
      <c r="D111" s="306" t="s">
        <v>81</v>
      </c>
      <c r="E111" s="307">
        <v>22</v>
      </c>
      <c r="F111" s="307">
        <v>22</v>
      </c>
      <c r="G111" s="307">
        <v>32</v>
      </c>
      <c r="H111" s="307">
        <v>32</v>
      </c>
      <c r="I111" s="308">
        <v>33.28</v>
      </c>
      <c r="J111" s="295">
        <v>33.6</v>
      </c>
      <c r="K111" s="295">
        <v>33.6</v>
      </c>
      <c r="L111" s="295">
        <v>33.6</v>
      </c>
      <c r="M111" s="295">
        <v>32</v>
      </c>
      <c r="N111" s="295">
        <v>32</v>
      </c>
      <c r="O111" s="309">
        <v>22</v>
      </c>
      <c r="P111" s="309">
        <v>20</v>
      </c>
      <c r="Q111" s="295">
        <v>20</v>
      </c>
      <c r="R111" s="309">
        <v>23</v>
      </c>
      <c r="S111" s="309">
        <v>27</v>
      </c>
      <c r="T111" s="309">
        <v>26</v>
      </c>
      <c r="U111" s="295">
        <v>26</v>
      </c>
      <c r="V111" s="295">
        <v>26</v>
      </c>
      <c r="W111" s="309">
        <v>25</v>
      </c>
      <c r="X111" s="309">
        <v>26</v>
      </c>
      <c r="Y111" s="310">
        <v>25</v>
      </c>
      <c r="Z111" s="309">
        <f>25-0.6</f>
        <v>24.4</v>
      </c>
      <c r="AA111" s="295">
        <v>26</v>
      </c>
      <c r="AB111" s="295">
        <v>26</v>
      </c>
      <c r="AC111" s="295">
        <v>27</v>
      </c>
      <c r="AD111" s="295">
        <v>27</v>
      </c>
      <c r="AE111" s="295">
        <v>27</v>
      </c>
      <c r="AF111" s="295">
        <v>27</v>
      </c>
      <c r="AG111" s="295">
        <v>27</v>
      </c>
      <c r="AH111" s="295">
        <v>27</v>
      </c>
      <c r="AI111" s="295">
        <v>27</v>
      </c>
      <c r="AJ111" s="295">
        <v>27</v>
      </c>
      <c r="AK111" s="246">
        <v>27</v>
      </c>
      <c r="AL111" s="223">
        <v>27</v>
      </c>
      <c r="AM111" s="223">
        <v>27</v>
      </c>
      <c r="AN111" s="77"/>
      <c r="AO111" s="101">
        <f>SUM(Y111:AJ111)</f>
        <v>317.39999999999998</v>
      </c>
      <c r="AP111" s="311"/>
      <c r="AQ111" s="69"/>
      <c r="AR111" s="56"/>
    </row>
    <row r="112" spans="1:44" x14ac:dyDescent="0.3">
      <c r="A112" s="249"/>
      <c r="B112" s="298" t="s">
        <v>30</v>
      </c>
      <c r="C112" s="312" t="s">
        <v>79</v>
      </c>
      <c r="D112" s="313" t="s">
        <v>81</v>
      </c>
      <c r="E112" s="303">
        <v>0</v>
      </c>
      <c r="F112" s="303">
        <v>14</v>
      </c>
      <c r="G112" s="303">
        <v>20</v>
      </c>
      <c r="H112" s="303">
        <v>14</v>
      </c>
      <c r="I112" s="314">
        <v>12.48</v>
      </c>
      <c r="J112" s="315">
        <v>12.6</v>
      </c>
      <c r="K112" s="315">
        <v>12.6</v>
      </c>
      <c r="L112" s="315">
        <v>12.6</v>
      </c>
      <c r="M112" s="315">
        <v>12</v>
      </c>
      <c r="N112" s="315">
        <v>12</v>
      </c>
      <c r="O112" s="316">
        <v>11</v>
      </c>
      <c r="P112" s="316">
        <v>10</v>
      </c>
      <c r="Q112" s="315">
        <v>11</v>
      </c>
      <c r="R112" s="316">
        <v>12</v>
      </c>
      <c r="S112" s="316">
        <v>12</v>
      </c>
      <c r="T112" s="316">
        <v>14</v>
      </c>
      <c r="U112" s="316">
        <v>15</v>
      </c>
      <c r="V112" s="315">
        <v>17</v>
      </c>
      <c r="W112" s="316">
        <v>16</v>
      </c>
      <c r="X112" s="316">
        <v>16</v>
      </c>
      <c r="Y112" s="316">
        <v>15</v>
      </c>
      <c r="Z112" s="316">
        <v>15</v>
      </c>
      <c r="AA112" s="315">
        <v>17</v>
      </c>
      <c r="AB112" s="315">
        <v>16</v>
      </c>
      <c r="AC112" s="315">
        <v>17</v>
      </c>
      <c r="AD112" s="315">
        <v>17</v>
      </c>
      <c r="AE112" s="315">
        <v>17</v>
      </c>
      <c r="AF112" s="315">
        <v>17</v>
      </c>
      <c r="AG112" s="315">
        <v>17</v>
      </c>
      <c r="AH112" s="315">
        <v>17</v>
      </c>
      <c r="AI112" s="315">
        <v>17</v>
      </c>
      <c r="AJ112" s="315">
        <v>17</v>
      </c>
      <c r="AK112" s="246">
        <v>17</v>
      </c>
      <c r="AL112" s="223">
        <v>17</v>
      </c>
      <c r="AM112" s="223">
        <v>17</v>
      </c>
      <c r="AN112" s="77"/>
      <c r="AO112" s="101">
        <f>SUM(Y112:AJ112)</f>
        <v>199</v>
      </c>
      <c r="AP112" s="311"/>
      <c r="AQ112" s="69"/>
      <c r="AR112" s="56"/>
    </row>
    <row r="113" spans="1:44" x14ac:dyDescent="0.3">
      <c r="A113" s="249"/>
      <c r="B113" s="304" t="s">
        <v>30</v>
      </c>
      <c r="C113" s="317" t="s">
        <v>112</v>
      </c>
      <c r="D113" s="306" t="s">
        <v>81</v>
      </c>
      <c r="E113" s="307"/>
      <c r="F113" s="307"/>
      <c r="G113" s="307"/>
      <c r="H113" s="307"/>
      <c r="I113" s="307"/>
      <c r="J113" s="307"/>
      <c r="K113" s="307"/>
      <c r="L113" s="307"/>
      <c r="M113" s="307"/>
      <c r="N113" s="307"/>
      <c r="O113" s="307"/>
      <c r="P113" s="307"/>
      <c r="Q113" s="307"/>
      <c r="R113" s="307"/>
      <c r="S113" s="295"/>
      <c r="T113" s="307"/>
      <c r="U113" s="307"/>
      <c r="V113" s="307"/>
      <c r="W113" s="307"/>
      <c r="X113" s="318"/>
      <c r="Y113" s="319"/>
      <c r="Z113" s="307"/>
      <c r="AA113" s="307"/>
      <c r="AB113" s="307"/>
      <c r="AC113" s="307"/>
      <c r="AD113" s="307"/>
      <c r="AE113" s="307"/>
      <c r="AF113" s="307"/>
      <c r="AG113" s="307"/>
      <c r="AH113" s="307"/>
      <c r="AI113" s="307"/>
      <c r="AJ113" s="307"/>
      <c r="AK113" s="319"/>
      <c r="AL113" s="307"/>
      <c r="AM113" s="307"/>
      <c r="AN113" s="77"/>
      <c r="AO113" s="56"/>
      <c r="AP113" s="56"/>
      <c r="AQ113" s="56"/>
      <c r="AR113" s="56"/>
    </row>
    <row r="114" spans="1:44" x14ac:dyDescent="0.3">
      <c r="A114" s="249"/>
      <c r="B114" s="298" t="s">
        <v>30</v>
      </c>
      <c r="C114" s="320" t="s">
        <v>112</v>
      </c>
      <c r="D114" s="300" t="s">
        <v>110</v>
      </c>
      <c r="E114" s="303"/>
      <c r="F114" s="303"/>
      <c r="G114" s="316"/>
      <c r="H114" s="303"/>
      <c r="I114" s="303"/>
      <c r="J114" s="303"/>
      <c r="K114" s="303"/>
      <c r="L114" s="303"/>
      <c r="M114" s="303"/>
      <c r="N114" s="303"/>
      <c r="O114" s="303"/>
      <c r="P114" s="303"/>
      <c r="Q114" s="303"/>
      <c r="R114" s="303"/>
      <c r="S114" s="303"/>
      <c r="T114" s="303"/>
      <c r="U114" s="303"/>
      <c r="V114" s="303"/>
      <c r="W114" s="303"/>
      <c r="X114" s="303">
        <v>0</v>
      </c>
      <c r="Y114" s="302">
        <v>0</v>
      </c>
      <c r="Z114" s="303"/>
      <c r="AA114" s="303"/>
      <c r="AB114" s="303"/>
      <c r="AC114" s="303"/>
      <c r="AD114" s="303"/>
      <c r="AE114" s="303"/>
      <c r="AF114" s="303"/>
      <c r="AG114" s="303"/>
      <c r="AH114" s="303"/>
      <c r="AI114" s="303"/>
      <c r="AJ114" s="303"/>
      <c r="AK114" s="302"/>
      <c r="AL114" s="303"/>
      <c r="AM114" s="303"/>
      <c r="AN114" s="77"/>
      <c r="AO114" s="56"/>
      <c r="AP114" s="56"/>
      <c r="AQ114" s="56"/>
      <c r="AR114" s="56"/>
    </row>
    <row r="115" spans="1:44" x14ac:dyDescent="0.3">
      <c r="A115" s="249"/>
      <c r="B115" s="304" t="s">
        <v>30</v>
      </c>
      <c r="C115" s="321" t="s">
        <v>113</v>
      </c>
      <c r="D115" s="306" t="s">
        <v>81</v>
      </c>
      <c r="E115" s="60"/>
      <c r="F115" s="60"/>
      <c r="G115" s="60"/>
      <c r="H115" s="60"/>
      <c r="I115" s="60"/>
      <c r="J115" s="60"/>
      <c r="K115" s="60"/>
      <c r="L115" s="60"/>
      <c r="M115" s="60"/>
      <c r="N115" s="60"/>
      <c r="O115" s="60"/>
      <c r="P115" s="60"/>
      <c r="Q115" s="60"/>
      <c r="R115" s="60"/>
      <c r="S115" s="60"/>
      <c r="T115" s="60"/>
      <c r="U115" s="60"/>
      <c r="V115" s="60"/>
      <c r="W115" s="60"/>
      <c r="X115" s="60"/>
      <c r="Y115" s="297"/>
      <c r="Z115" s="222"/>
      <c r="AA115" s="222"/>
      <c r="AB115" s="222"/>
      <c r="AC115" s="222"/>
      <c r="AD115" s="222"/>
      <c r="AE115" s="222"/>
      <c r="AF115" s="222"/>
      <c r="AG115" s="222"/>
      <c r="AH115" s="222"/>
      <c r="AI115" s="222"/>
      <c r="AJ115" s="222"/>
      <c r="AK115" s="319"/>
      <c r="AL115" s="307"/>
      <c r="AM115" s="307"/>
      <c r="AN115" s="77"/>
      <c r="AO115" s="56"/>
      <c r="AP115" s="56"/>
      <c r="AQ115" s="56"/>
      <c r="AR115" s="56"/>
    </row>
    <row r="116" spans="1:44" x14ac:dyDescent="0.3">
      <c r="A116" s="249"/>
      <c r="B116" s="229" t="s">
        <v>30</v>
      </c>
      <c r="C116" s="322" t="s">
        <v>113</v>
      </c>
      <c r="D116" s="323" t="s">
        <v>110</v>
      </c>
      <c r="E116" s="60"/>
      <c r="F116" s="60"/>
      <c r="G116" s="60"/>
      <c r="H116" s="60"/>
      <c r="I116" s="60"/>
      <c r="J116" s="60"/>
      <c r="K116" s="60"/>
      <c r="L116" s="60"/>
      <c r="M116" s="60"/>
      <c r="N116" s="60"/>
      <c r="O116" s="60"/>
      <c r="P116" s="60"/>
      <c r="Q116" s="60"/>
      <c r="R116" s="60"/>
      <c r="S116" s="60"/>
      <c r="T116" s="60"/>
      <c r="U116" s="60"/>
      <c r="V116" s="60"/>
      <c r="W116" s="60"/>
      <c r="X116" s="60"/>
      <c r="Y116" s="297"/>
      <c r="Z116" s="222"/>
      <c r="AA116" s="222"/>
      <c r="AB116" s="222"/>
      <c r="AC116" s="222"/>
      <c r="AD116" s="222"/>
      <c r="AE116" s="222"/>
      <c r="AF116" s="222"/>
      <c r="AG116" s="222"/>
      <c r="AH116" s="222"/>
      <c r="AI116" s="222"/>
      <c r="AJ116" s="222"/>
      <c r="AK116" s="302"/>
      <c r="AL116" s="303"/>
      <c r="AM116" s="303"/>
      <c r="AN116" s="77"/>
      <c r="AO116" s="56"/>
      <c r="AP116" s="56"/>
      <c r="AQ116" s="56"/>
      <c r="AR116" s="56"/>
    </row>
    <row r="117" spans="1:44" x14ac:dyDescent="0.3">
      <c r="A117" s="249"/>
      <c r="B117" s="304" t="s">
        <v>30</v>
      </c>
      <c r="C117" s="324" t="s">
        <v>114</v>
      </c>
      <c r="D117" s="306" t="s">
        <v>81</v>
      </c>
      <c r="E117" s="307"/>
      <c r="F117" s="307"/>
      <c r="G117" s="307"/>
      <c r="H117" s="307"/>
      <c r="I117" s="307"/>
      <c r="J117" s="307"/>
      <c r="K117" s="307"/>
      <c r="L117" s="307"/>
      <c r="M117" s="307"/>
      <c r="N117" s="307"/>
      <c r="O117" s="307"/>
      <c r="P117" s="307"/>
      <c r="Q117" s="307"/>
      <c r="R117" s="307"/>
      <c r="S117" s="307"/>
      <c r="T117" s="307"/>
      <c r="U117" s="307"/>
      <c r="V117" s="307"/>
      <c r="W117" s="307"/>
      <c r="X117" s="307"/>
      <c r="Y117" s="319"/>
      <c r="Z117" s="307"/>
      <c r="AA117" s="307"/>
      <c r="AB117" s="307"/>
      <c r="AC117" s="307"/>
      <c r="AD117" s="307"/>
      <c r="AE117" s="307"/>
      <c r="AF117" s="307"/>
      <c r="AG117" s="307"/>
      <c r="AH117" s="307"/>
      <c r="AI117" s="307"/>
      <c r="AJ117" s="307"/>
      <c r="AK117" s="297"/>
      <c r="AL117" s="222"/>
      <c r="AM117" s="222"/>
      <c r="AN117" s="77"/>
      <c r="AO117" s="56"/>
      <c r="AP117" s="56"/>
      <c r="AQ117" s="56"/>
      <c r="AR117" s="56"/>
    </row>
    <row r="118" spans="1:44" x14ac:dyDescent="0.3">
      <c r="A118" s="249"/>
      <c r="B118" s="229" t="s">
        <v>30</v>
      </c>
      <c r="C118" s="215" t="s">
        <v>114</v>
      </c>
      <c r="D118" s="323" t="s">
        <v>110</v>
      </c>
      <c r="E118" s="303"/>
      <c r="F118" s="303"/>
      <c r="G118" s="303"/>
      <c r="H118" s="303"/>
      <c r="I118" s="303"/>
      <c r="J118" s="303"/>
      <c r="K118" s="303"/>
      <c r="L118" s="303"/>
      <c r="M118" s="303"/>
      <c r="N118" s="303"/>
      <c r="O118" s="303"/>
      <c r="P118" s="303"/>
      <c r="Q118" s="303"/>
      <c r="R118" s="303">
        <v>1.8</v>
      </c>
      <c r="S118" s="303">
        <v>0.40000000000000013</v>
      </c>
      <c r="T118" s="303">
        <v>1.8</v>
      </c>
      <c r="U118" s="316">
        <v>2.4</v>
      </c>
      <c r="V118" s="303">
        <v>2.6</v>
      </c>
      <c r="W118" s="303">
        <v>3.6</v>
      </c>
      <c r="X118" s="303">
        <v>3.6</v>
      </c>
      <c r="Y118" s="302"/>
      <c r="Z118" s="303">
        <v>4.2</v>
      </c>
      <c r="AA118" s="316">
        <v>3</v>
      </c>
      <c r="AB118" s="303">
        <v>3.6</v>
      </c>
      <c r="AC118" s="303">
        <v>3.6</v>
      </c>
      <c r="AD118" s="303">
        <v>3.6</v>
      </c>
      <c r="AE118" s="303">
        <v>3.6</v>
      </c>
      <c r="AF118" s="303">
        <v>3.6</v>
      </c>
      <c r="AG118" s="303">
        <v>3.6</v>
      </c>
      <c r="AH118" s="303">
        <v>3.6</v>
      </c>
      <c r="AI118" s="303">
        <v>3.6</v>
      </c>
      <c r="AJ118" s="303">
        <v>3.6</v>
      </c>
      <c r="AK118" s="297">
        <v>3.6</v>
      </c>
      <c r="AL118" s="222">
        <v>3.6</v>
      </c>
      <c r="AM118" s="222">
        <v>3.6</v>
      </c>
      <c r="AN118" s="77"/>
      <c r="AO118" s="56"/>
      <c r="AP118" s="56"/>
      <c r="AQ118" s="56"/>
      <c r="AR118" s="56"/>
    </row>
    <row r="119" spans="1:44" x14ac:dyDescent="0.3">
      <c r="A119" s="249"/>
      <c r="B119" s="298" t="s">
        <v>30</v>
      </c>
      <c r="C119" s="325" t="s">
        <v>114</v>
      </c>
      <c r="D119" s="300" t="s">
        <v>111</v>
      </c>
      <c r="E119" s="222"/>
      <c r="F119" s="222"/>
      <c r="G119" s="222"/>
      <c r="H119" s="222"/>
      <c r="I119" s="222"/>
      <c r="J119" s="222"/>
      <c r="K119" s="222"/>
      <c r="L119" s="222"/>
      <c r="M119" s="222"/>
      <c r="N119" s="222"/>
      <c r="O119" s="222"/>
      <c r="P119" s="222"/>
      <c r="Q119" s="222"/>
      <c r="R119" s="222"/>
      <c r="S119" s="222"/>
      <c r="T119" s="222"/>
      <c r="U119" s="224"/>
      <c r="V119" s="222"/>
      <c r="W119" s="222">
        <v>0.6</v>
      </c>
      <c r="X119" s="222">
        <v>0.6</v>
      </c>
      <c r="Y119" s="297"/>
      <c r="Z119" s="222">
        <v>0.8</v>
      </c>
      <c r="AA119" s="224">
        <v>1.2</v>
      </c>
      <c r="AB119" s="222">
        <v>0.6</v>
      </c>
      <c r="AC119" s="222">
        <v>0.6</v>
      </c>
      <c r="AD119" s="222">
        <v>0.6</v>
      </c>
      <c r="AE119" s="222">
        <v>0.6</v>
      </c>
      <c r="AF119" s="222">
        <v>0.6</v>
      </c>
      <c r="AG119" s="222">
        <v>0.6</v>
      </c>
      <c r="AH119" s="222">
        <v>0.6</v>
      </c>
      <c r="AI119" s="222">
        <v>0.6</v>
      </c>
      <c r="AJ119" s="222">
        <v>0.6</v>
      </c>
      <c r="AK119" s="319">
        <v>0.6</v>
      </c>
      <c r="AL119" s="307">
        <v>0.6</v>
      </c>
      <c r="AM119" s="307">
        <v>0.6</v>
      </c>
      <c r="AN119" s="77"/>
      <c r="AO119" s="56"/>
      <c r="AP119" s="56"/>
      <c r="AQ119" s="56"/>
      <c r="AR119" s="56"/>
    </row>
    <row r="120" spans="1:44" x14ac:dyDescent="0.3">
      <c r="A120" s="249"/>
      <c r="B120" s="229" t="s">
        <v>30</v>
      </c>
      <c r="C120" s="326" t="s">
        <v>115</v>
      </c>
      <c r="D120" s="287" t="s">
        <v>81</v>
      </c>
      <c r="E120" s="60"/>
      <c r="F120" s="60"/>
      <c r="G120" s="60"/>
      <c r="H120" s="60"/>
      <c r="I120" s="60"/>
      <c r="J120" s="60"/>
      <c r="K120" s="60"/>
      <c r="L120" s="60"/>
      <c r="M120" s="60"/>
      <c r="N120" s="60"/>
      <c r="O120" s="60"/>
      <c r="P120" s="60"/>
      <c r="Q120" s="60"/>
      <c r="R120" s="60"/>
      <c r="S120" s="60"/>
      <c r="T120" s="60"/>
      <c r="U120" s="60"/>
      <c r="V120" s="60"/>
      <c r="W120" s="60"/>
      <c r="X120" s="60"/>
      <c r="Y120" s="297"/>
      <c r="Z120" s="222"/>
      <c r="AA120" s="222"/>
      <c r="AB120" s="222"/>
      <c r="AC120" s="222"/>
      <c r="AD120" s="222"/>
      <c r="AE120" s="222"/>
      <c r="AF120" s="222"/>
      <c r="AG120" s="222"/>
      <c r="AH120" s="222"/>
      <c r="AI120" s="222"/>
      <c r="AJ120" s="222"/>
      <c r="AK120" s="297"/>
      <c r="AL120" s="222"/>
      <c r="AM120" s="222"/>
      <c r="AN120" s="77"/>
      <c r="AO120" s="56"/>
      <c r="AP120" s="56"/>
      <c r="AQ120" s="56"/>
      <c r="AR120" s="56"/>
    </row>
    <row r="121" spans="1:44" x14ac:dyDescent="0.3">
      <c r="A121" s="249"/>
      <c r="B121" s="229" t="s">
        <v>30</v>
      </c>
      <c r="C121" s="326" t="s">
        <v>115</v>
      </c>
      <c r="D121" s="323" t="s">
        <v>110</v>
      </c>
      <c r="E121" s="60"/>
      <c r="F121" s="60"/>
      <c r="G121" s="60"/>
      <c r="H121" s="60"/>
      <c r="I121" s="60"/>
      <c r="J121" s="60"/>
      <c r="K121" s="60"/>
      <c r="L121" s="60"/>
      <c r="M121" s="60">
        <f>0.22+0.83</f>
        <v>1.05</v>
      </c>
      <c r="N121" s="60">
        <v>0.82000000000000206</v>
      </c>
      <c r="O121" s="289">
        <v>6.43</v>
      </c>
      <c r="P121" s="289">
        <v>7.3999999999999995</v>
      </c>
      <c r="Q121" s="60">
        <v>5.15</v>
      </c>
      <c r="R121" s="289">
        <v>11.98</v>
      </c>
      <c r="S121" s="289">
        <v>11.4</v>
      </c>
      <c r="T121" s="289">
        <v>13.8</v>
      </c>
      <c r="U121" s="60">
        <v>13.8</v>
      </c>
      <c r="V121" s="289">
        <v>17.5</v>
      </c>
      <c r="W121" s="289">
        <f>3.4-2</f>
        <v>1.4</v>
      </c>
      <c r="X121" s="289">
        <f>0.4+3-1.2+0.6+0.7-0.6</f>
        <v>2.9</v>
      </c>
      <c r="Y121" s="293">
        <v>2.8</v>
      </c>
      <c r="Z121" s="224">
        <f>4.52+0.6+0.6</f>
        <v>5.7199999999999989</v>
      </c>
      <c r="AA121" s="224">
        <v>9.17</v>
      </c>
      <c r="AB121" s="222">
        <v>10.37</v>
      </c>
      <c r="AC121" s="222">
        <v>11.22</v>
      </c>
      <c r="AD121" s="222">
        <v>11.1</v>
      </c>
      <c r="AE121" s="222">
        <v>10.88</v>
      </c>
      <c r="AF121" s="222">
        <v>10.88</v>
      </c>
      <c r="AG121" s="222">
        <v>11.53</v>
      </c>
      <c r="AH121" s="222">
        <v>11.53</v>
      </c>
      <c r="AI121" s="222">
        <v>11.53</v>
      </c>
      <c r="AJ121" s="222">
        <v>11.53</v>
      </c>
      <c r="AK121" s="297">
        <v>11.53</v>
      </c>
      <c r="AL121" s="222">
        <v>11.17</v>
      </c>
      <c r="AM121" s="222">
        <v>11.17</v>
      </c>
      <c r="AN121" s="77"/>
      <c r="AO121" s="56"/>
      <c r="AP121" s="56"/>
      <c r="AQ121" s="56"/>
      <c r="AR121" s="56"/>
    </row>
    <row r="122" spans="1:44" x14ac:dyDescent="0.3">
      <c r="A122" s="249"/>
      <c r="B122" s="274" t="s">
        <v>30</v>
      </c>
      <c r="C122" s="327" t="s">
        <v>116</v>
      </c>
      <c r="D122" s="328" t="s">
        <v>110</v>
      </c>
      <c r="E122" s="60"/>
      <c r="F122" s="60"/>
      <c r="G122" s="60"/>
      <c r="H122" s="60"/>
      <c r="I122" s="60"/>
      <c r="J122" s="60"/>
      <c r="K122" s="60"/>
      <c r="L122" s="60"/>
      <c r="M122" s="60"/>
      <c r="N122" s="60"/>
      <c r="O122" s="289"/>
      <c r="P122" s="289"/>
      <c r="Q122" s="60"/>
      <c r="R122" s="289"/>
      <c r="S122" s="289"/>
      <c r="T122" s="289"/>
      <c r="U122" s="60"/>
      <c r="V122" s="60"/>
      <c r="W122" s="60"/>
      <c r="X122" s="60"/>
      <c r="Y122" s="297"/>
      <c r="Z122" s="222"/>
      <c r="AA122" s="222"/>
      <c r="AB122" s="222"/>
      <c r="AC122" s="222"/>
      <c r="AD122" s="222"/>
      <c r="AE122" s="222"/>
      <c r="AF122" s="222"/>
      <c r="AG122" s="222"/>
      <c r="AH122" s="222"/>
      <c r="AI122" s="222"/>
      <c r="AJ122" s="222"/>
      <c r="AK122" s="302"/>
      <c r="AL122" s="303"/>
      <c r="AM122" s="303"/>
      <c r="AN122" s="77"/>
      <c r="AO122" s="56"/>
      <c r="AP122" s="56"/>
      <c r="AQ122" s="56"/>
      <c r="AR122" s="56"/>
    </row>
    <row r="123" spans="1:44" x14ac:dyDescent="0.3">
      <c r="A123" s="249"/>
      <c r="B123" s="304" t="s">
        <v>30</v>
      </c>
      <c r="C123" s="329" t="s">
        <v>68</v>
      </c>
      <c r="D123" s="306" t="s">
        <v>81</v>
      </c>
      <c r="E123" s="307"/>
      <c r="F123" s="307"/>
      <c r="G123" s="307"/>
      <c r="H123" s="307"/>
      <c r="I123" s="307"/>
      <c r="J123" s="307"/>
      <c r="K123" s="307"/>
      <c r="L123" s="307"/>
      <c r="M123" s="307"/>
      <c r="N123" s="307"/>
      <c r="O123" s="307"/>
      <c r="P123" s="307"/>
      <c r="Q123" s="307"/>
      <c r="R123" s="307"/>
      <c r="S123" s="307"/>
      <c r="T123" s="307"/>
      <c r="U123" s="307"/>
      <c r="V123" s="307"/>
      <c r="W123" s="307"/>
      <c r="X123" s="307"/>
      <c r="Y123" s="319"/>
      <c r="Z123" s="307"/>
      <c r="AA123" s="307"/>
      <c r="AB123" s="307"/>
      <c r="AC123" s="307"/>
      <c r="AD123" s="307"/>
      <c r="AE123" s="307"/>
      <c r="AF123" s="307"/>
      <c r="AG123" s="307"/>
      <c r="AH123" s="307"/>
      <c r="AI123" s="307"/>
      <c r="AJ123" s="307"/>
      <c r="AK123" s="297"/>
      <c r="AL123" s="222"/>
      <c r="AM123" s="222"/>
      <c r="AN123" s="77"/>
      <c r="AO123" s="56"/>
      <c r="AP123" s="56"/>
      <c r="AQ123" s="56"/>
      <c r="AR123" s="56"/>
    </row>
    <row r="124" spans="1:44" x14ac:dyDescent="0.3">
      <c r="A124" s="249"/>
      <c r="B124" s="298" t="s">
        <v>30</v>
      </c>
      <c r="C124" s="330" t="s">
        <v>68</v>
      </c>
      <c r="D124" s="300" t="s">
        <v>110</v>
      </c>
      <c r="E124" s="303"/>
      <c r="F124" s="303"/>
      <c r="G124" s="303"/>
      <c r="H124" s="303"/>
      <c r="I124" s="303"/>
      <c r="J124" s="331">
        <v>1.2</v>
      </c>
      <c r="K124" s="315">
        <v>3.4</v>
      </c>
      <c r="L124" s="315">
        <v>3.1</v>
      </c>
      <c r="M124" s="315">
        <v>1.2</v>
      </c>
      <c r="N124" s="303"/>
      <c r="O124" s="303"/>
      <c r="P124" s="303"/>
      <c r="Q124" s="303"/>
      <c r="R124" s="303"/>
      <c r="S124" s="303"/>
      <c r="T124" s="303"/>
      <c r="U124" s="303"/>
      <c r="V124" s="316">
        <v>1.2</v>
      </c>
      <c r="W124" s="303"/>
      <c r="X124" s="303"/>
      <c r="Y124" s="302"/>
      <c r="Z124" s="303"/>
      <c r="AA124" s="303"/>
      <c r="AB124" s="303"/>
      <c r="AC124" s="303"/>
      <c r="AD124" s="303"/>
      <c r="AE124" s="303"/>
      <c r="AF124" s="303"/>
      <c r="AG124" s="303"/>
      <c r="AH124" s="303"/>
      <c r="AI124" s="303"/>
      <c r="AJ124" s="303"/>
      <c r="AK124" s="297"/>
      <c r="AL124" s="222"/>
      <c r="AM124" s="222"/>
      <c r="AN124" s="77"/>
      <c r="AO124" s="56"/>
      <c r="AP124" s="56"/>
      <c r="AQ124" s="56"/>
      <c r="AR124" s="56"/>
    </row>
    <row r="125" spans="1:44" x14ac:dyDescent="0.3">
      <c r="A125" s="249"/>
      <c r="B125" s="304" t="s">
        <v>30</v>
      </c>
      <c r="C125" s="329" t="s">
        <v>117</v>
      </c>
      <c r="D125" s="306" t="s">
        <v>81</v>
      </c>
      <c r="E125" s="60"/>
      <c r="F125" s="60"/>
      <c r="G125" s="60"/>
      <c r="H125" s="60"/>
      <c r="I125" s="60"/>
      <c r="J125" s="60"/>
      <c r="K125" s="60"/>
      <c r="L125" s="60"/>
      <c r="M125" s="60"/>
      <c r="N125" s="60"/>
      <c r="O125" s="60"/>
      <c r="P125" s="60"/>
      <c r="Q125" s="60"/>
      <c r="R125" s="60"/>
      <c r="S125" s="60"/>
      <c r="T125" s="60"/>
      <c r="U125" s="60"/>
      <c r="V125" s="60"/>
      <c r="W125" s="60"/>
      <c r="X125" s="60"/>
      <c r="Y125" s="297"/>
      <c r="Z125" s="222"/>
      <c r="AA125" s="222"/>
      <c r="AB125" s="222"/>
      <c r="AC125" s="222"/>
      <c r="AD125" s="222"/>
      <c r="AE125" s="222"/>
      <c r="AF125" s="222"/>
      <c r="AG125" s="222"/>
      <c r="AH125" s="222"/>
      <c r="AI125" s="222"/>
      <c r="AJ125" s="222"/>
      <c r="AK125" s="319"/>
      <c r="AL125" s="307"/>
      <c r="AM125" s="307"/>
      <c r="AN125" s="77"/>
      <c r="AO125" s="56"/>
      <c r="AP125" s="56"/>
      <c r="AQ125" s="56"/>
      <c r="AR125" s="56"/>
    </row>
    <row r="126" spans="1:44" x14ac:dyDescent="0.3">
      <c r="A126" s="249"/>
      <c r="B126" s="298" t="s">
        <v>30</v>
      </c>
      <c r="C126" s="330" t="s">
        <v>117</v>
      </c>
      <c r="D126" s="300" t="s">
        <v>110</v>
      </c>
      <c r="E126" s="60"/>
      <c r="F126" s="60"/>
      <c r="G126" s="60"/>
      <c r="H126" s="60"/>
      <c r="I126" s="60"/>
      <c r="J126" s="60"/>
      <c r="K126" s="60"/>
      <c r="L126" s="60"/>
      <c r="M126" s="60"/>
      <c r="N126" s="60"/>
      <c r="O126" s="60"/>
      <c r="P126" s="60">
        <v>0.65</v>
      </c>
      <c r="Q126" s="60"/>
      <c r="R126" s="60"/>
      <c r="S126" s="60"/>
      <c r="T126" s="60"/>
      <c r="U126" s="60"/>
      <c r="V126" s="60"/>
      <c r="W126" s="60"/>
      <c r="X126" s="60"/>
      <c r="Y126" s="297">
        <v>0</v>
      </c>
      <c r="Z126" s="222">
        <v>0</v>
      </c>
      <c r="AA126" s="222"/>
      <c r="AB126" s="222"/>
      <c r="AC126" s="222"/>
      <c r="AD126" s="222"/>
      <c r="AE126" s="222"/>
      <c r="AF126" s="222"/>
      <c r="AG126" s="222"/>
      <c r="AH126" s="222"/>
      <c r="AI126" s="222"/>
      <c r="AJ126" s="222"/>
      <c r="AK126" s="302"/>
      <c r="AL126" s="303"/>
      <c r="AM126" s="303"/>
      <c r="AN126" s="77"/>
      <c r="AO126" s="56"/>
      <c r="AP126" s="56"/>
      <c r="AQ126" s="56"/>
      <c r="AR126" s="56"/>
    </row>
    <row r="127" spans="1:44" x14ac:dyDescent="0.3">
      <c r="A127" s="249"/>
      <c r="B127" s="229" t="s">
        <v>30</v>
      </c>
      <c r="C127" s="332" t="s">
        <v>118</v>
      </c>
      <c r="D127" s="287" t="s">
        <v>81</v>
      </c>
      <c r="E127" s="307"/>
      <c r="F127" s="307"/>
      <c r="G127" s="307"/>
      <c r="H127" s="307"/>
      <c r="I127" s="307"/>
      <c r="J127" s="307"/>
      <c r="K127" s="307"/>
      <c r="L127" s="307"/>
      <c r="M127" s="307"/>
      <c r="N127" s="307"/>
      <c r="O127" s="307"/>
      <c r="P127" s="307"/>
      <c r="Q127" s="307"/>
      <c r="R127" s="307"/>
      <c r="S127" s="307"/>
      <c r="T127" s="307"/>
      <c r="U127" s="307"/>
      <c r="V127" s="307"/>
      <c r="W127" s="307"/>
      <c r="X127" s="307"/>
      <c r="Y127" s="319"/>
      <c r="Z127" s="307"/>
      <c r="AA127" s="307"/>
      <c r="AB127" s="307"/>
      <c r="AC127" s="307"/>
      <c r="AD127" s="307"/>
      <c r="AE127" s="307"/>
      <c r="AF127" s="307"/>
      <c r="AG127" s="307"/>
      <c r="AH127" s="307"/>
      <c r="AI127" s="307"/>
      <c r="AJ127" s="307"/>
      <c r="AK127" s="297"/>
      <c r="AL127" s="222"/>
      <c r="AM127" s="222"/>
      <c r="AN127" s="77"/>
      <c r="AO127" s="56"/>
      <c r="AP127" s="56"/>
      <c r="AQ127" s="56"/>
      <c r="AR127" s="56"/>
    </row>
    <row r="128" spans="1:44" x14ac:dyDescent="0.3">
      <c r="A128" s="249"/>
      <c r="B128" s="229" t="s">
        <v>30</v>
      </c>
      <c r="C128" s="332" t="s">
        <v>118</v>
      </c>
      <c r="D128" s="296" t="s">
        <v>109</v>
      </c>
      <c r="E128" s="222"/>
      <c r="F128" s="222"/>
      <c r="G128" s="222"/>
      <c r="H128" s="224"/>
      <c r="I128" s="224"/>
      <c r="J128" s="224"/>
      <c r="K128" s="224"/>
      <c r="L128" s="222"/>
      <c r="M128" s="222"/>
      <c r="N128" s="222"/>
      <c r="O128" s="222"/>
      <c r="P128" s="222"/>
      <c r="Q128" s="222"/>
      <c r="R128" s="222"/>
      <c r="S128" s="222"/>
      <c r="T128" s="222"/>
      <c r="U128" s="222"/>
      <c r="V128" s="222"/>
      <c r="W128" s="222"/>
      <c r="X128" s="222"/>
      <c r="Y128" s="297"/>
      <c r="Z128" s="222"/>
      <c r="AA128" s="222"/>
      <c r="AB128" s="222"/>
      <c r="AC128" s="222"/>
      <c r="AD128" s="222"/>
      <c r="AE128" s="222"/>
      <c r="AF128" s="222"/>
      <c r="AG128" s="222"/>
      <c r="AH128" s="222"/>
      <c r="AI128" s="222"/>
      <c r="AJ128" s="222"/>
      <c r="AK128" s="297"/>
      <c r="AL128" s="222"/>
      <c r="AM128" s="222"/>
      <c r="AN128" s="77"/>
      <c r="AO128" s="56"/>
      <c r="AP128" s="56"/>
      <c r="AQ128" s="56"/>
      <c r="AR128" s="56"/>
    </row>
    <row r="129" spans="1:44" x14ac:dyDescent="0.3">
      <c r="A129" s="249"/>
      <c r="B129" s="298" t="s">
        <v>30</v>
      </c>
      <c r="C129" s="332" t="s">
        <v>118</v>
      </c>
      <c r="D129" s="323" t="s">
        <v>110</v>
      </c>
      <c r="E129" s="303"/>
      <c r="F129" s="303"/>
      <c r="G129" s="303"/>
      <c r="H129" s="303"/>
      <c r="I129" s="316">
        <v>3.9</v>
      </c>
      <c r="J129" s="314">
        <v>4.2</v>
      </c>
      <c r="K129" s="303"/>
      <c r="L129" s="303"/>
      <c r="M129" s="303"/>
      <c r="N129" s="303"/>
      <c r="O129" s="303"/>
      <c r="P129" s="303"/>
      <c r="Q129" s="303"/>
      <c r="R129" s="303"/>
      <c r="S129" s="303"/>
      <c r="T129" s="303"/>
      <c r="U129" s="303"/>
      <c r="V129" s="303"/>
      <c r="W129" s="303"/>
      <c r="X129" s="303"/>
      <c r="Y129" s="302"/>
      <c r="Z129" s="303"/>
      <c r="AA129" s="303"/>
      <c r="AB129" s="303"/>
      <c r="AC129" s="303"/>
      <c r="AD129" s="303"/>
      <c r="AE129" s="303"/>
      <c r="AF129" s="303"/>
      <c r="AG129" s="303"/>
      <c r="AH129" s="303"/>
      <c r="AI129" s="303"/>
      <c r="AJ129" s="303"/>
      <c r="AK129" s="297"/>
      <c r="AL129" s="222"/>
      <c r="AM129" s="222"/>
      <c r="AN129" s="77"/>
      <c r="AO129" s="56"/>
      <c r="AP129" s="56"/>
      <c r="AQ129" s="56"/>
      <c r="AR129" s="56"/>
    </row>
    <row r="130" spans="1:44" x14ac:dyDescent="0.3">
      <c r="A130" s="249"/>
      <c r="B130" s="298" t="s">
        <v>30</v>
      </c>
      <c r="C130" s="333" t="s">
        <v>119</v>
      </c>
      <c r="D130" s="328" t="s">
        <v>110</v>
      </c>
      <c r="E130" s="222"/>
      <c r="F130" s="222"/>
      <c r="G130" s="222"/>
      <c r="H130" s="222"/>
      <c r="I130" s="222"/>
      <c r="J130" s="222"/>
      <c r="K130" s="222"/>
      <c r="L130" s="222"/>
      <c r="M130" s="222"/>
      <c r="N130" s="222"/>
      <c r="O130" s="222"/>
      <c r="P130" s="222"/>
      <c r="Q130" s="222"/>
      <c r="R130" s="222"/>
      <c r="S130" s="222"/>
      <c r="T130" s="222"/>
      <c r="U130" s="222"/>
      <c r="V130" s="222"/>
      <c r="W130" s="222"/>
      <c r="X130" s="222"/>
      <c r="Y130" s="297"/>
      <c r="Z130" s="222"/>
      <c r="AA130" s="222"/>
      <c r="AB130" s="222"/>
      <c r="AC130" s="222"/>
      <c r="AD130" s="222"/>
      <c r="AE130" s="222"/>
      <c r="AF130" s="222"/>
      <c r="AG130" s="222"/>
      <c r="AH130" s="222"/>
      <c r="AI130" s="222"/>
      <c r="AJ130" s="222"/>
      <c r="AK130" s="285"/>
      <c r="AL130" s="277"/>
      <c r="AM130" s="277"/>
      <c r="AN130" s="77"/>
      <c r="AO130" s="56"/>
      <c r="AP130" s="56"/>
      <c r="AQ130" s="56"/>
      <c r="AR130" s="56"/>
    </row>
    <row r="131" spans="1:44" ht="14.5" thickBot="1" x14ac:dyDescent="0.35">
      <c r="A131" s="249"/>
      <c r="B131" s="229" t="s">
        <v>30</v>
      </c>
      <c r="C131" s="329" t="s">
        <v>120</v>
      </c>
      <c r="D131" s="334" t="s">
        <v>110</v>
      </c>
      <c r="E131" s="222"/>
      <c r="F131" s="222"/>
      <c r="G131" s="222"/>
      <c r="H131" s="222"/>
      <c r="I131" s="222"/>
      <c r="J131" s="222"/>
      <c r="K131" s="277"/>
      <c r="L131" s="277"/>
      <c r="M131" s="278"/>
      <c r="N131" s="278"/>
      <c r="O131" s="278"/>
      <c r="P131" s="278"/>
      <c r="Q131" s="309"/>
      <c r="R131" s="309"/>
      <c r="S131" s="309"/>
      <c r="T131" s="309"/>
      <c r="U131" s="309"/>
      <c r="V131" s="309"/>
      <c r="W131" s="309"/>
      <c r="X131" s="309"/>
      <c r="Y131" s="310"/>
      <c r="Z131" s="309"/>
      <c r="AA131" s="309"/>
      <c r="AB131" s="309"/>
      <c r="AC131" s="309"/>
      <c r="AD131" s="309"/>
      <c r="AE131" s="309"/>
      <c r="AF131" s="309"/>
      <c r="AG131" s="309"/>
      <c r="AH131" s="309"/>
      <c r="AI131" s="309"/>
      <c r="AJ131" s="309"/>
      <c r="AK131" s="310"/>
      <c r="AL131" s="309"/>
      <c r="AM131" s="309"/>
      <c r="AN131" s="77"/>
      <c r="AO131" s="56"/>
      <c r="AP131" s="56"/>
      <c r="AQ131" s="56"/>
      <c r="AR131" s="56"/>
    </row>
    <row r="132" spans="1:44" x14ac:dyDescent="0.3">
      <c r="A132" s="249"/>
      <c r="B132" s="335" t="s">
        <v>68</v>
      </c>
      <c r="C132" s="336" t="s">
        <v>77</v>
      </c>
      <c r="D132" s="337" t="s">
        <v>68</v>
      </c>
      <c r="E132" s="222"/>
      <c r="F132" s="222"/>
      <c r="G132" s="222"/>
      <c r="H132" s="222"/>
      <c r="I132" s="222"/>
      <c r="J132" s="222"/>
      <c r="K132" s="307"/>
      <c r="L132" s="307"/>
      <c r="M132" s="309"/>
      <c r="N132" s="309"/>
      <c r="O132" s="338">
        <f>O60</f>
        <v>0.68</v>
      </c>
      <c r="P132" s="295">
        <v>0.7</v>
      </c>
      <c r="Q132" s="295">
        <v>0</v>
      </c>
      <c r="R132" s="295"/>
      <c r="S132" s="295">
        <v>0</v>
      </c>
      <c r="T132" s="295"/>
      <c r="U132" s="295"/>
      <c r="V132" s="309">
        <v>0</v>
      </c>
      <c r="W132" s="295"/>
      <c r="X132" s="309">
        <v>0.68</v>
      </c>
      <c r="Y132" s="339"/>
      <c r="Z132" s="340"/>
      <c r="AA132" s="340"/>
      <c r="AB132" s="340">
        <v>1.2</v>
      </c>
      <c r="AC132" s="340">
        <v>1.2</v>
      </c>
      <c r="AD132" s="340">
        <v>1.2</v>
      </c>
      <c r="AE132" s="340">
        <v>1.2</v>
      </c>
      <c r="AF132" s="340">
        <v>1.2</v>
      </c>
      <c r="AG132" s="340">
        <v>1.2</v>
      </c>
      <c r="AH132" s="340">
        <v>1.2</v>
      </c>
      <c r="AI132" s="340">
        <v>1.2</v>
      </c>
      <c r="AJ132" s="282">
        <v>1.2</v>
      </c>
      <c r="AK132" s="281">
        <v>0</v>
      </c>
      <c r="AL132" s="282">
        <v>0</v>
      </c>
      <c r="AM132" s="282">
        <v>0</v>
      </c>
      <c r="AN132" s="77"/>
      <c r="AO132" s="77"/>
      <c r="AP132" s="56"/>
      <c r="AQ132" s="56"/>
      <c r="AR132" s="56"/>
    </row>
    <row r="133" spans="1:44" x14ac:dyDescent="0.3">
      <c r="A133" s="249"/>
      <c r="B133" s="341" t="s">
        <v>68</v>
      </c>
      <c r="C133" s="326" t="s">
        <v>115</v>
      </c>
      <c r="D133" s="188" t="s">
        <v>68</v>
      </c>
      <c r="E133" s="222"/>
      <c r="F133" s="222"/>
      <c r="G133" s="222"/>
      <c r="H133" s="222"/>
      <c r="I133" s="222"/>
      <c r="J133" s="222"/>
      <c r="K133" s="307"/>
      <c r="L133" s="307"/>
      <c r="M133" s="309"/>
      <c r="N133" s="309"/>
      <c r="O133" s="338"/>
      <c r="P133" s="315"/>
      <c r="Q133" s="315">
        <v>0.6</v>
      </c>
      <c r="R133" s="315">
        <v>0</v>
      </c>
      <c r="S133" s="315">
        <v>0.6</v>
      </c>
      <c r="T133" s="315">
        <v>0.6</v>
      </c>
      <c r="U133" s="316">
        <v>1.2</v>
      </c>
      <c r="V133" s="315"/>
      <c r="W133" s="315">
        <v>0.6</v>
      </c>
      <c r="X133" s="316">
        <f>0.6+0.6</f>
        <v>1.2</v>
      </c>
      <c r="Y133" s="246">
        <v>0</v>
      </c>
      <c r="Z133" s="224">
        <f>1.2+1.2</f>
        <v>2.4</v>
      </c>
      <c r="AA133" s="223">
        <v>1.2</v>
      </c>
      <c r="AB133" s="223"/>
      <c r="AC133" s="223"/>
      <c r="AD133" s="223"/>
      <c r="AE133" s="223"/>
      <c r="AF133" s="223"/>
      <c r="AG133" s="223"/>
      <c r="AH133" s="223"/>
      <c r="AI133" s="223"/>
      <c r="AJ133" s="223"/>
      <c r="AK133" s="246"/>
      <c r="AL133" s="223"/>
      <c r="AM133" s="223"/>
      <c r="AN133" s="56"/>
      <c r="AO133" s="56"/>
      <c r="AP133" s="56"/>
      <c r="AQ133" s="56"/>
      <c r="AR133" s="56"/>
    </row>
    <row r="134" spans="1:44" ht="14.5" thickBot="1" x14ac:dyDescent="0.35">
      <c r="B134" s="343" t="s">
        <v>68</v>
      </c>
      <c r="C134" s="344" t="s">
        <v>117</v>
      </c>
      <c r="D134" s="345" t="s">
        <v>68</v>
      </c>
      <c r="Y134" s="346">
        <f>Y60-Y132-Y133</f>
        <v>0</v>
      </c>
      <c r="Z134" s="347">
        <f t="shared" ref="Z134:AJ134" si="55">Z60-Z132-Z133</f>
        <v>0</v>
      </c>
      <c r="AA134" s="347">
        <f t="shared" si="55"/>
        <v>0</v>
      </c>
      <c r="AB134" s="347">
        <f t="shared" si="55"/>
        <v>0</v>
      </c>
      <c r="AC134" s="347">
        <f t="shared" si="55"/>
        <v>0</v>
      </c>
      <c r="AD134" s="347">
        <f t="shared" si="55"/>
        <v>0</v>
      </c>
      <c r="AE134" s="347">
        <f t="shared" si="55"/>
        <v>0</v>
      </c>
      <c r="AF134" s="347">
        <f t="shared" si="55"/>
        <v>0</v>
      </c>
      <c r="AG134" s="347">
        <f t="shared" si="55"/>
        <v>0</v>
      </c>
      <c r="AH134" s="347">
        <f t="shared" si="55"/>
        <v>0</v>
      </c>
      <c r="AI134" s="347">
        <f t="shared" si="55"/>
        <v>0</v>
      </c>
      <c r="AJ134" s="347">
        <f t="shared" si="55"/>
        <v>0</v>
      </c>
      <c r="AK134" s="346">
        <f>AK60-AK132-AK133</f>
        <v>0</v>
      </c>
      <c r="AL134" s="347">
        <f>AL60-AL132-AL133</f>
        <v>0</v>
      </c>
      <c r="AM134" s="347">
        <f>AM60-AM132-AM133</f>
        <v>0</v>
      </c>
      <c r="AN134" s="56"/>
      <c r="AO134" s="56"/>
      <c r="AP134" s="56"/>
    </row>
    <row r="135" spans="1:44" x14ac:dyDescent="0.3">
      <c r="A135" s="249"/>
      <c r="B135" s="341" t="s">
        <v>14</v>
      </c>
      <c r="C135" s="286" t="s">
        <v>77</v>
      </c>
      <c r="D135" s="287" t="s">
        <v>81</v>
      </c>
      <c r="E135" s="307">
        <v>2.7899999999999983</v>
      </c>
      <c r="F135" s="307">
        <v>0.69</v>
      </c>
      <c r="G135" s="348">
        <f>G61-G136-G137-G138-G139-G140-G141-G143-G144-G145-G146-G147-G148-G149-G150</f>
        <v>1.9996938300000009</v>
      </c>
      <c r="H135" s="349">
        <f>H61-H136-H137-H138-H139-H140-H141-H143-H144-H145-H146-H147-H148-H149-H150</f>
        <v>4.1000000000000005</v>
      </c>
      <c r="I135" s="349">
        <f t="shared" ref="I135:X135" si="56">I61-I136-I137-I138-I139-I140-I141-I143-I144-I145-I146-I147-I148-I149-I150</f>
        <v>5.8</v>
      </c>
      <c r="J135" s="349">
        <f t="shared" si="56"/>
        <v>1.7999999999999989</v>
      </c>
      <c r="K135" s="349">
        <f t="shared" si="56"/>
        <v>1.6500000000000021</v>
      </c>
      <c r="L135" s="349">
        <f t="shared" si="56"/>
        <v>2.7800000000000002</v>
      </c>
      <c r="M135" s="349">
        <f t="shared" si="56"/>
        <v>0</v>
      </c>
      <c r="N135" s="349">
        <f t="shared" si="56"/>
        <v>2.0000000000000036</v>
      </c>
      <c r="O135" s="349">
        <f t="shared" si="56"/>
        <v>0</v>
      </c>
      <c r="P135" s="349">
        <f t="shared" si="56"/>
        <v>-2.2204460492503131E-16</v>
      </c>
      <c r="Q135" s="349">
        <f t="shared" si="56"/>
        <v>0.59999999999999898</v>
      </c>
      <c r="R135" s="349">
        <f t="shared" si="56"/>
        <v>0</v>
      </c>
      <c r="S135" s="349">
        <f t="shared" si="56"/>
        <v>4.4408920985006262E-16</v>
      </c>
      <c r="T135" s="349">
        <f t="shared" si="56"/>
        <v>-5.5511151231257827E-17</v>
      </c>
      <c r="U135" s="349">
        <f t="shared" si="56"/>
        <v>0</v>
      </c>
      <c r="V135" s="349">
        <f t="shared" si="56"/>
        <v>0</v>
      </c>
      <c r="W135" s="349">
        <f t="shared" si="56"/>
        <v>0</v>
      </c>
      <c r="X135" s="349">
        <f t="shared" si="56"/>
        <v>0</v>
      </c>
      <c r="Y135" s="260">
        <f>Y61-Y136-Y137-Y138-Y139-Y140-Y141-Y143-Y144-Y145-Y146-Y147-Y148-Y149-Y150-Y142</f>
        <v>0</v>
      </c>
      <c r="Z135" s="261">
        <f t="shared" ref="Z135:AJ135" si="57">Z61-Z136-Z137-Z138-Z139-Z140-Z141-Z143-Z144-Z145-Z146-Z147-Z148-Z149-Z150-Z142</f>
        <v>0</v>
      </c>
      <c r="AA135" s="261">
        <f t="shared" si="57"/>
        <v>0</v>
      </c>
      <c r="AB135" s="261">
        <f t="shared" si="57"/>
        <v>0</v>
      </c>
      <c r="AC135" s="261">
        <f t="shared" si="57"/>
        <v>0</v>
      </c>
      <c r="AD135" s="261">
        <f t="shared" si="57"/>
        <v>0</v>
      </c>
      <c r="AE135" s="261">
        <f t="shared" si="57"/>
        <v>0</v>
      </c>
      <c r="AF135" s="261">
        <f t="shared" si="57"/>
        <v>0</v>
      </c>
      <c r="AG135" s="261">
        <f t="shared" si="57"/>
        <v>0</v>
      </c>
      <c r="AH135" s="261">
        <f t="shared" si="57"/>
        <v>0</v>
      </c>
      <c r="AI135" s="261">
        <f t="shared" si="57"/>
        <v>0</v>
      </c>
      <c r="AJ135" s="261">
        <f t="shared" si="57"/>
        <v>0</v>
      </c>
      <c r="AK135" s="260">
        <f>AK61-AK136-AK137-AK138-AK139-AK140-AK141-AK143-AK144-AK145-AK146-AK147-AK148-AK149-AK150-AK142</f>
        <v>0</v>
      </c>
      <c r="AL135" s="261">
        <f>AL61-AL136-AL137-AL138-AL139-AL140-AL141-AL143-AL144-AL145-AL146-AL147-AL148-AL149-AL150-AL142</f>
        <v>0</v>
      </c>
      <c r="AM135" s="261">
        <f>AM61-AM136-AM137-AM138-AM139-AM140-AM141-AM143-AM144-AM145-AM146-AM147-AM148-AM149-AM150-AM142</f>
        <v>0</v>
      </c>
      <c r="AN135" s="56"/>
      <c r="AO135" s="56"/>
      <c r="AP135" s="56"/>
      <c r="AQ135" s="56"/>
      <c r="AR135" s="56"/>
    </row>
    <row r="136" spans="1:44" x14ac:dyDescent="0.3">
      <c r="A136" s="249"/>
      <c r="B136" s="341" t="s">
        <v>14</v>
      </c>
      <c r="C136" s="286" t="s">
        <v>77</v>
      </c>
      <c r="D136" s="323" t="s">
        <v>110</v>
      </c>
      <c r="E136" s="222">
        <v>7.9961773800000016</v>
      </c>
      <c r="F136" s="222">
        <v>11.397207600000003</v>
      </c>
      <c r="G136" s="222">
        <v>12.68643397</v>
      </c>
      <c r="H136" s="224">
        <v>12</v>
      </c>
      <c r="I136" s="224">
        <v>12.8</v>
      </c>
      <c r="J136" s="224">
        <v>12</v>
      </c>
      <c r="K136" s="266">
        <v>12.499999999999998</v>
      </c>
      <c r="L136" s="266">
        <v>13</v>
      </c>
      <c r="M136" s="223">
        <v>5.59</v>
      </c>
      <c r="N136" s="223">
        <v>1.7200000000000002</v>
      </c>
      <c r="O136" s="223"/>
      <c r="P136" s="223">
        <v>0</v>
      </c>
      <c r="Q136" s="223">
        <v>2.35</v>
      </c>
      <c r="R136" s="223"/>
      <c r="S136" s="224">
        <f>6.6-4</f>
        <v>2.5999999999999996</v>
      </c>
      <c r="T136" s="223">
        <v>0.9</v>
      </c>
      <c r="U136" s="223"/>
      <c r="V136" s="223"/>
      <c r="W136" s="223"/>
      <c r="X136" s="223">
        <v>0.6</v>
      </c>
      <c r="Y136" s="293">
        <v>10.93</v>
      </c>
      <c r="Z136" s="224">
        <v>15</v>
      </c>
      <c r="AA136" s="223"/>
      <c r="AB136" s="223"/>
      <c r="AC136" s="223"/>
      <c r="AD136" s="223"/>
      <c r="AE136" s="223"/>
      <c r="AF136" s="223"/>
      <c r="AG136" s="223"/>
      <c r="AH136" s="223"/>
      <c r="AI136" s="223"/>
      <c r="AJ136" s="223"/>
      <c r="AK136" s="246"/>
      <c r="AL136" s="223"/>
      <c r="AM136" s="223"/>
      <c r="AN136" s="77"/>
      <c r="AO136" s="56"/>
      <c r="AP136" s="56"/>
      <c r="AQ136" s="56"/>
      <c r="AR136" s="56"/>
    </row>
    <row r="137" spans="1:44" x14ac:dyDescent="0.3">
      <c r="A137" s="249"/>
      <c r="B137" s="350" t="s">
        <v>14</v>
      </c>
      <c r="C137" s="299" t="s">
        <v>77</v>
      </c>
      <c r="D137" s="300" t="s">
        <v>111</v>
      </c>
      <c r="E137" s="303">
        <v>1.3822620000000001E-2</v>
      </c>
      <c r="F137" s="303">
        <v>1.388581E-2</v>
      </c>
      <c r="G137" s="303">
        <v>1.3872200000000001E-2</v>
      </c>
      <c r="H137" s="303">
        <v>0.2</v>
      </c>
      <c r="I137" s="303">
        <v>0.2</v>
      </c>
      <c r="J137" s="303">
        <v>0</v>
      </c>
      <c r="K137" s="315">
        <v>0.85</v>
      </c>
      <c r="L137" s="315">
        <v>0.42</v>
      </c>
      <c r="M137" s="315">
        <v>0</v>
      </c>
      <c r="N137" s="315">
        <v>0</v>
      </c>
      <c r="O137" s="315">
        <v>0</v>
      </c>
      <c r="P137" s="315">
        <v>0</v>
      </c>
      <c r="Q137" s="315"/>
      <c r="R137" s="315"/>
      <c r="S137" s="315"/>
      <c r="T137" s="315">
        <v>0.3</v>
      </c>
      <c r="U137" s="315"/>
      <c r="V137" s="315"/>
      <c r="W137" s="303"/>
      <c r="X137" s="303"/>
      <c r="Y137" s="302"/>
      <c r="Z137" s="303"/>
      <c r="AA137" s="303"/>
      <c r="AB137" s="303"/>
      <c r="AC137" s="303"/>
      <c r="AD137" s="303"/>
      <c r="AE137" s="303"/>
      <c r="AF137" s="303"/>
      <c r="AG137" s="303"/>
      <c r="AH137" s="303"/>
      <c r="AI137" s="303"/>
      <c r="AJ137" s="303"/>
      <c r="AK137" s="302"/>
      <c r="AL137" s="303"/>
      <c r="AM137" s="303"/>
      <c r="AN137" s="77"/>
      <c r="AO137" s="56"/>
      <c r="AP137" s="56"/>
      <c r="AQ137" s="56"/>
      <c r="AR137" s="56"/>
    </row>
    <row r="138" spans="1:44" x14ac:dyDescent="0.3">
      <c r="A138" s="249"/>
      <c r="B138" s="341" t="s">
        <v>14</v>
      </c>
      <c r="C138" s="351" t="s">
        <v>112</v>
      </c>
      <c r="D138" s="287" t="s">
        <v>81</v>
      </c>
      <c r="E138" s="60"/>
      <c r="F138" s="60"/>
      <c r="G138" s="60"/>
      <c r="H138" s="60"/>
      <c r="I138" s="60"/>
      <c r="J138" s="60"/>
      <c r="K138" s="60"/>
      <c r="L138" s="60"/>
      <c r="M138" s="60"/>
      <c r="N138" s="60"/>
      <c r="O138" s="60"/>
      <c r="P138" s="60"/>
      <c r="Q138" s="60"/>
      <c r="R138" s="60"/>
      <c r="S138" s="60"/>
      <c r="T138" s="60"/>
      <c r="U138" s="60"/>
      <c r="V138" s="60"/>
      <c r="W138" s="60"/>
      <c r="X138" s="60"/>
      <c r="Y138" s="297"/>
      <c r="Z138" s="222"/>
      <c r="AA138" s="222"/>
      <c r="AB138" s="222"/>
      <c r="AC138" s="222"/>
      <c r="AD138" s="222"/>
      <c r="AE138" s="222"/>
      <c r="AF138" s="222"/>
      <c r="AG138" s="222"/>
      <c r="AH138" s="222"/>
      <c r="AI138" s="222"/>
      <c r="AJ138" s="222"/>
      <c r="AK138" s="319"/>
      <c r="AL138" s="307"/>
      <c r="AM138" s="307"/>
      <c r="AN138" s="77"/>
      <c r="AO138" s="56"/>
      <c r="AP138" s="56"/>
      <c r="AQ138" s="56"/>
      <c r="AR138" s="56"/>
    </row>
    <row r="139" spans="1:44" x14ac:dyDescent="0.3">
      <c r="A139" s="249"/>
      <c r="B139" s="341" t="s">
        <v>14</v>
      </c>
      <c r="C139" s="351" t="s">
        <v>112</v>
      </c>
      <c r="D139" s="323" t="s">
        <v>110</v>
      </c>
      <c r="E139" s="60"/>
      <c r="F139" s="60"/>
      <c r="G139" s="60"/>
      <c r="H139" s="60"/>
      <c r="I139" s="60"/>
      <c r="J139" s="60"/>
      <c r="K139" s="60"/>
      <c r="L139" s="60"/>
      <c r="M139" s="60"/>
      <c r="N139" s="60"/>
      <c r="O139" s="60"/>
      <c r="P139" s="60"/>
      <c r="Q139" s="60"/>
      <c r="R139" s="60"/>
      <c r="S139" s="60"/>
      <c r="T139" s="60"/>
      <c r="U139" s="60"/>
      <c r="V139" s="60"/>
      <c r="W139" s="60"/>
      <c r="X139" s="60"/>
      <c r="Y139" s="297"/>
      <c r="Z139" s="222"/>
      <c r="AA139" s="222"/>
      <c r="AB139" s="222"/>
      <c r="AC139" s="222"/>
      <c r="AD139" s="222"/>
      <c r="AE139" s="222"/>
      <c r="AF139" s="222"/>
      <c r="AG139" s="222"/>
      <c r="AH139" s="222"/>
      <c r="AI139" s="222"/>
      <c r="AJ139" s="222"/>
      <c r="AK139" s="302"/>
      <c r="AL139" s="303"/>
      <c r="AM139" s="303"/>
      <c r="AN139" s="77"/>
      <c r="AO139" s="56"/>
      <c r="AP139" s="56"/>
      <c r="AQ139" s="56"/>
      <c r="AR139" s="56"/>
    </row>
    <row r="140" spans="1:44" x14ac:dyDescent="0.3">
      <c r="A140" s="249"/>
      <c r="B140" s="352" t="s">
        <v>14</v>
      </c>
      <c r="C140" s="324" t="s">
        <v>114</v>
      </c>
      <c r="D140" s="306" t="s">
        <v>81</v>
      </c>
      <c r="E140" s="307"/>
      <c r="F140" s="307"/>
      <c r="G140" s="307"/>
      <c r="H140" s="307"/>
      <c r="I140" s="307"/>
      <c r="J140" s="307"/>
      <c r="K140" s="307"/>
      <c r="L140" s="307"/>
      <c r="M140" s="307"/>
      <c r="N140" s="307"/>
      <c r="O140" s="307"/>
      <c r="P140" s="307"/>
      <c r="Q140" s="307"/>
      <c r="R140" s="307"/>
      <c r="S140" s="307"/>
      <c r="T140" s="307"/>
      <c r="U140" s="307"/>
      <c r="V140" s="307"/>
      <c r="W140" s="307"/>
      <c r="X140" s="353"/>
      <c r="Y140" s="319"/>
      <c r="Z140" s="307"/>
      <c r="AA140" s="307"/>
      <c r="AB140" s="307"/>
      <c r="AC140" s="307"/>
      <c r="AD140" s="307"/>
      <c r="AE140" s="307"/>
      <c r="AF140" s="307"/>
      <c r="AG140" s="307"/>
      <c r="AH140" s="307"/>
      <c r="AI140" s="307"/>
      <c r="AJ140" s="307"/>
      <c r="AK140" s="319"/>
      <c r="AL140" s="307"/>
      <c r="AM140" s="307"/>
      <c r="AN140" s="77"/>
      <c r="AO140" s="56"/>
      <c r="AP140" s="56"/>
      <c r="AQ140" s="56"/>
      <c r="AR140" s="56"/>
    </row>
    <row r="141" spans="1:44" x14ac:dyDescent="0.3">
      <c r="A141" s="249"/>
      <c r="B141" s="341" t="s">
        <v>14</v>
      </c>
      <c r="C141" s="215" t="s">
        <v>114</v>
      </c>
      <c r="D141" s="323" t="s">
        <v>110</v>
      </c>
      <c r="E141" s="303">
        <v>1.2</v>
      </c>
      <c r="F141" s="303">
        <v>1.2</v>
      </c>
      <c r="G141" s="315">
        <v>0.6</v>
      </c>
      <c r="H141" s="315">
        <v>1.8</v>
      </c>
      <c r="I141" s="354">
        <v>2.4</v>
      </c>
      <c r="J141" s="315">
        <v>1.8</v>
      </c>
      <c r="K141" s="315">
        <v>2.4</v>
      </c>
      <c r="L141" s="315">
        <v>2.4</v>
      </c>
      <c r="M141" s="315">
        <v>4.33</v>
      </c>
      <c r="N141" s="315">
        <v>4.2</v>
      </c>
      <c r="O141" s="316">
        <v>3</v>
      </c>
      <c r="P141" s="316">
        <v>1.8</v>
      </c>
      <c r="Q141" s="315">
        <v>1.8</v>
      </c>
      <c r="R141" s="315"/>
      <c r="S141" s="315">
        <v>1.4</v>
      </c>
      <c r="T141" s="315"/>
      <c r="U141" s="315"/>
      <c r="V141" s="315"/>
      <c r="W141" s="315"/>
      <c r="X141" s="355"/>
      <c r="Y141" s="246">
        <v>3.6</v>
      </c>
      <c r="Z141" s="223"/>
      <c r="AA141" s="223"/>
      <c r="AB141" s="223"/>
      <c r="AC141" s="223"/>
      <c r="AD141" s="223"/>
      <c r="AE141" s="223"/>
      <c r="AF141" s="223"/>
      <c r="AG141" s="223"/>
      <c r="AH141" s="223"/>
      <c r="AI141" s="223"/>
      <c r="AJ141" s="223"/>
      <c r="AK141" s="246"/>
      <c r="AL141" s="223"/>
      <c r="AM141" s="223"/>
      <c r="AN141" s="77"/>
      <c r="AO141" s="56"/>
      <c r="AP141" s="56"/>
      <c r="AQ141" s="56"/>
      <c r="AR141" s="56"/>
    </row>
    <row r="142" spans="1:44" x14ac:dyDescent="0.3">
      <c r="A142" s="249"/>
      <c r="B142" s="350" t="s">
        <v>14</v>
      </c>
      <c r="C142" s="325" t="s">
        <v>114</v>
      </c>
      <c r="D142" s="300" t="s">
        <v>111</v>
      </c>
      <c r="E142" s="222"/>
      <c r="F142" s="222"/>
      <c r="G142" s="223"/>
      <c r="H142" s="223"/>
      <c r="I142" s="266"/>
      <c r="J142" s="223"/>
      <c r="K142" s="223"/>
      <c r="L142" s="223"/>
      <c r="M142" s="223"/>
      <c r="N142" s="223"/>
      <c r="O142" s="224"/>
      <c r="P142" s="224"/>
      <c r="Q142" s="223"/>
      <c r="R142" s="223"/>
      <c r="S142" s="223"/>
      <c r="T142" s="223"/>
      <c r="U142" s="223"/>
      <c r="V142" s="223"/>
      <c r="W142" s="223"/>
      <c r="X142" s="356"/>
      <c r="Y142" s="357">
        <v>0.8</v>
      </c>
      <c r="Z142" s="315"/>
      <c r="AA142" s="315"/>
      <c r="AB142" s="315"/>
      <c r="AC142" s="315"/>
      <c r="AD142" s="315"/>
      <c r="AE142" s="315"/>
      <c r="AF142" s="315"/>
      <c r="AG142" s="315"/>
      <c r="AH142" s="315"/>
      <c r="AI142" s="315"/>
      <c r="AJ142" s="315"/>
      <c r="AK142" s="357"/>
      <c r="AL142" s="315"/>
      <c r="AM142" s="315"/>
      <c r="AN142" s="77"/>
      <c r="AO142" s="56"/>
      <c r="AP142" s="56"/>
      <c r="AQ142" s="56"/>
      <c r="AR142" s="56"/>
    </row>
    <row r="143" spans="1:44" x14ac:dyDescent="0.3">
      <c r="A143" s="249"/>
      <c r="B143" s="341" t="s">
        <v>14</v>
      </c>
      <c r="C143" s="326" t="s">
        <v>115</v>
      </c>
      <c r="D143" s="287" t="s">
        <v>81</v>
      </c>
      <c r="E143" s="60">
        <v>0</v>
      </c>
      <c r="F143" s="60">
        <v>0.7</v>
      </c>
      <c r="G143" s="60">
        <v>0.7</v>
      </c>
      <c r="H143" s="60">
        <v>0.7</v>
      </c>
      <c r="I143" s="60">
        <v>0</v>
      </c>
      <c r="J143" s="60">
        <v>0</v>
      </c>
      <c r="K143" s="60">
        <v>0</v>
      </c>
      <c r="L143" s="60">
        <v>0.7</v>
      </c>
      <c r="M143" s="60">
        <v>0</v>
      </c>
      <c r="N143" s="60">
        <v>0</v>
      </c>
      <c r="O143" s="289">
        <v>0</v>
      </c>
      <c r="P143" s="60">
        <v>0</v>
      </c>
      <c r="Q143" s="60">
        <v>0</v>
      </c>
      <c r="R143" s="60">
        <v>0</v>
      </c>
      <c r="S143" s="60"/>
      <c r="T143" s="60"/>
      <c r="U143" s="60"/>
      <c r="V143" s="60"/>
      <c r="W143" s="60"/>
      <c r="X143" s="60">
        <v>0</v>
      </c>
      <c r="Y143" s="297"/>
      <c r="Z143" s="222"/>
      <c r="AA143" s="222"/>
      <c r="AB143" s="222"/>
      <c r="AC143" s="222"/>
      <c r="AD143" s="222"/>
      <c r="AE143" s="222"/>
      <c r="AF143" s="222"/>
      <c r="AG143" s="222"/>
      <c r="AH143" s="222"/>
      <c r="AI143" s="222"/>
      <c r="AJ143" s="222"/>
      <c r="AK143" s="319"/>
      <c r="AL143" s="307"/>
      <c r="AM143" s="307"/>
      <c r="AN143" s="77"/>
      <c r="AO143" s="56"/>
      <c r="AP143" s="56"/>
      <c r="AQ143" s="56"/>
      <c r="AR143" s="56"/>
    </row>
    <row r="144" spans="1:44" x14ac:dyDescent="0.3">
      <c r="A144" s="249"/>
      <c r="B144" s="341" t="s">
        <v>14</v>
      </c>
      <c r="C144" s="326" t="s">
        <v>115</v>
      </c>
      <c r="D144" s="323" t="s">
        <v>110</v>
      </c>
      <c r="E144" s="60">
        <v>5</v>
      </c>
      <c r="F144" s="60">
        <v>5</v>
      </c>
      <c r="G144" s="60">
        <v>5</v>
      </c>
      <c r="H144" s="60">
        <v>6.2</v>
      </c>
      <c r="I144" s="60">
        <v>3.8</v>
      </c>
      <c r="J144" s="358">
        <v>6.4</v>
      </c>
      <c r="K144" s="358">
        <v>5.6</v>
      </c>
      <c r="L144" s="358">
        <v>5.7</v>
      </c>
      <c r="M144" s="60">
        <v>10.08</v>
      </c>
      <c r="N144" s="60">
        <v>10.079999999999998</v>
      </c>
      <c r="O144" s="289">
        <v>4</v>
      </c>
      <c r="P144" s="60">
        <v>0.20000000000000018</v>
      </c>
      <c r="Q144" s="60">
        <v>1.2500000000000009</v>
      </c>
      <c r="R144" s="60"/>
      <c r="S144" s="60"/>
      <c r="T144" s="60"/>
      <c r="U144" s="60"/>
      <c r="V144" s="60"/>
      <c r="W144" s="289">
        <v>13</v>
      </c>
      <c r="X144" s="289">
        <f>11+3-3</f>
        <v>11</v>
      </c>
      <c r="Y144" s="293">
        <v>3.67</v>
      </c>
      <c r="Z144" s="222"/>
      <c r="AA144" s="222"/>
      <c r="AB144" s="222"/>
      <c r="AC144" s="222"/>
      <c r="AD144" s="222"/>
      <c r="AE144" s="222"/>
      <c r="AF144" s="222"/>
      <c r="AG144" s="222"/>
      <c r="AH144" s="222"/>
      <c r="AI144" s="222"/>
      <c r="AJ144" s="222"/>
      <c r="AK144" s="302"/>
      <c r="AL144" s="303"/>
      <c r="AM144" s="303"/>
      <c r="AN144" s="77"/>
      <c r="AO144" s="56"/>
      <c r="AP144" s="56"/>
      <c r="AQ144" s="56"/>
      <c r="AR144" s="56"/>
    </row>
    <row r="145" spans="1:44" x14ac:dyDescent="0.3">
      <c r="A145" s="249"/>
      <c r="B145" s="352" t="s">
        <v>14</v>
      </c>
      <c r="C145" s="329" t="s">
        <v>68</v>
      </c>
      <c r="D145" s="306" t="s">
        <v>81</v>
      </c>
      <c r="E145" s="307"/>
      <c r="F145" s="307"/>
      <c r="G145" s="307"/>
      <c r="H145" s="307"/>
      <c r="I145" s="307"/>
      <c r="J145" s="307"/>
      <c r="K145" s="307"/>
      <c r="L145" s="307"/>
      <c r="M145" s="307"/>
      <c r="N145" s="307"/>
      <c r="O145" s="307"/>
      <c r="P145" s="307"/>
      <c r="Q145" s="307"/>
      <c r="R145" s="307"/>
      <c r="S145" s="307"/>
      <c r="T145" s="307"/>
      <c r="U145" s="307"/>
      <c r="V145" s="307"/>
      <c r="W145" s="307"/>
      <c r="X145" s="307"/>
      <c r="Y145" s="319"/>
      <c r="Z145" s="307"/>
      <c r="AA145" s="307"/>
      <c r="AB145" s="307"/>
      <c r="AC145" s="307"/>
      <c r="AD145" s="307"/>
      <c r="AE145" s="307"/>
      <c r="AF145" s="307"/>
      <c r="AG145" s="307"/>
      <c r="AH145" s="307"/>
      <c r="AI145" s="307"/>
      <c r="AJ145" s="307"/>
      <c r="AK145" s="319"/>
      <c r="AL145" s="307"/>
      <c r="AM145" s="307"/>
      <c r="AN145" s="77"/>
      <c r="AO145" s="56"/>
      <c r="AP145" s="56"/>
      <c r="AQ145" s="56"/>
      <c r="AR145" s="56"/>
    </row>
    <row r="146" spans="1:44" x14ac:dyDescent="0.3">
      <c r="A146" s="249"/>
      <c r="B146" s="350" t="s">
        <v>14</v>
      </c>
      <c r="C146" s="330" t="s">
        <v>68</v>
      </c>
      <c r="D146" s="300" t="s">
        <v>110</v>
      </c>
      <c r="E146" s="303"/>
      <c r="F146" s="303"/>
      <c r="G146" s="303"/>
      <c r="H146" s="303"/>
      <c r="I146" s="303"/>
      <c r="J146" s="303"/>
      <c r="K146" s="303"/>
      <c r="L146" s="303"/>
      <c r="M146" s="303"/>
      <c r="N146" s="303"/>
      <c r="O146" s="303"/>
      <c r="P146" s="303"/>
      <c r="Q146" s="303"/>
      <c r="R146" s="303"/>
      <c r="S146" s="303"/>
      <c r="T146" s="303"/>
      <c r="U146" s="303"/>
      <c r="V146" s="303"/>
      <c r="W146" s="303"/>
      <c r="X146" s="303"/>
      <c r="Y146" s="302"/>
      <c r="Z146" s="303"/>
      <c r="AA146" s="303"/>
      <c r="AB146" s="303"/>
      <c r="AC146" s="303"/>
      <c r="AD146" s="303"/>
      <c r="AE146" s="303"/>
      <c r="AF146" s="303"/>
      <c r="AG146" s="303"/>
      <c r="AH146" s="303"/>
      <c r="AI146" s="303"/>
      <c r="AJ146" s="303"/>
      <c r="AK146" s="302"/>
      <c r="AL146" s="303"/>
      <c r="AM146" s="303"/>
      <c r="AN146" s="77"/>
      <c r="AO146" s="56"/>
      <c r="AP146" s="56"/>
      <c r="AQ146" s="56"/>
      <c r="AR146" s="56"/>
    </row>
    <row r="147" spans="1:44" x14ac:dyDescent="0.3">
      <c r="A147" s="249"/>
      <c r="B147" s="352" t="s">
        <v>14</v>
      </c>
      <c r="C147" s="329" t="s">
        <v>117</v>
      </c>
      <c r="D147" s="306" t="s">
        <v>81</v>
      </c>
      <c r="E147" s="60"/>
      <c r="F147" s="60"/>
      <c r="G147" s="60"/>
      <c r="H147" s="60"/>
      <c r="I147" s="60"/>
      <c r="J147" s="60"/>
      <c r="K147" s="60"/>
      <c r="L147" s="60"/>
      <c r="M147" s="60"/>
      <c r="N147" s="60"/>
      <c r="O147" s="60"/>
      <c r="P147" s="60"/>
      <c r="Q147" s="60"/>
      <c r="R147" s="60"/>
      <c r="S147" s="60"/>
      <c r="T147" s="60"/>
      <c r="U147" s="60"/>
      <c r="V147" s="60"/>
      <c r="W147" s="60"/>
      <c r="X147" s="60"/>
      <c r="Y147" s="297"/>
      <c r="Z147" s="222"/>
      <c r="AA147" s="222"/>
      <c r="AB147" s="222"/>
      <c r="AC147" s="222"/>
      <c r="AD147" s="222"/>
      <c r="AE147" s="222"/>
      <c r="AF147" s="222"/>
      <c r="AG147" s="222"/>
      <c r="AH147" s="222"/>
      <c r="AI147" s="222"/>
      <c r="AJ147" s="222"/>
      <c r="AK147" s="319"/>
      <c r="AL147" s="307"/>
      <c r="AM147" s="307"/>
      <c r="AN147" s="77"/>
      <c r="AO147" s="56"/>
      <c r="AP147" s="56"/>
      <c r="AQ147" s="56"/>
      <c r="AR147" s="56"/>
    </row>
    <row r="148" spans="1:44" x14ac:dyDescent="0.3">
      <c r="A148" s="249"/>
      <c r="B148" s="350" t="s">
        <v>14</v>
      </c>
      <c r="C148" s="330" t="s">
        <v>117</v>
      </c>
      <c r="D148" s="300" t="s">
        <v>110</v>
      </c>
      <c r="E148" s="60"/>
      <c r="F148" s="60"/>
      <c r="G148" s="60"/>
      <c r="H148" s="60"/>
      <c r="I148" s="60"/>
      <c r="J148" s="60"/>
      <c r="K148" s="60"/>
      <c r="L148" s="60"/>
      <c r="M148" s="60"/>
      <c r="N148" s="60"/>
      <c r="O148" s="60"/>
      <c r="P148" s="60"/>
      <c r="Q148" s="60"/>
      <c r="R148" s="60"/>
      <c r="S148" s="60"/>
      <c r="T148" s="60"/>
      <c r="U148" s="60"/>
      <c r="V148" s="60"/>
      <c r="W148" s="60"/>
      <c r="X148" s="60"/>
      <c r="Y148" s="297"/>
      <c r="Z148" s="222"/>
      <c r="AA148" s="222"/>
      <c r="AB148" s="222"/>
      <c r="AC148" s="222"/>
      <c r="AD148" s="222"/>
      <c r="AE148" s="222"/>
      <c r="AF148" s="222"/>
      <c r="AG148" s="222"/>
      <c r="AH148" s="222"/>
      <c r="AI148" s="222"/>
      <c r="AJ148" s="222"/>
      <c r="AK148" s="302"/>
      <c r="AL148" s="303"/>
      <c r="AM148" s="303"/>
      <c r="AN148" s="77"/>
      <c r="AO148" s="56"/>
      <c r="AP148" s="56"/>
      <c r="AQ148" s="56"/>
      <c r="AR148" s="56"/>
    </row>
    <row r="149" spans="1:44" x14ac:dyDescent="0.3">
      <c r="A149" s="249"/>
      <c r="B149" s="352" t="s">
        <v>14</v>
      </c>
      <c r="C149" s="332" t="s">
        <v>118</v>
      </c>
      <c r="D149" s="306" t="s">
        <v>81</v>
      </c>
      <c r="E149" s="307"/>
      <c r="F149" s="307"/>
      <c r="G149" s="307"/>
      <c r="H149" s="307"/>
      <c r="I149" s="307"/>
      <c r="J149" s="307"/>
      <c r="K149" s="307"/>
      <c r="L149" s="307"/>
      <c r="M149" s="307"/>
      <c r="N149" s="307"/>
      <c r="O149" s="307"/>
      <c r="P149" s="307"/>
      <c r="Q149" s="307"/>
      <c r="R149" s="307"/>
      <c r="S149" s="307"/>
      <c r="T149" s="307"/>
      <c r="U149" s="307"/>
      <c r="V149" s="307"/>
      <c r="W149" s="307"/>
      <c r="X149" s="307"/>
      <c r="Y149" s="319"/>
      <c r="Z149" s="307"/>
      <c r="AA149" s="307"/>
      <c r="AB149" s="307"/>
      <c r="AC149" s="307"/>
      <c r="AD149" s="307"/>
      <c r="AE149" s="307"/>
      <c r="AF149" s="307"/>
      <c r="AG149" s="307"/>
      <c r="AH149" s="307"/>
      <c r="AI149" s="307"/>
      <c r="AJ149" s="307"/>
      <c r="AK149" s="319"/>
      <c r="AL149" s="307"/>
      <c r="AM149" s="307"/>
      <c r="AN149" s="77"/>
      <c r="AO149" s="56"/>
      <c r="AP149" s="56"/>
      <c r="AQ149" s="56"/>
      <c r="AR149" s="56"/>
    </row>
    <row r="150" spans="1:44" x14ac:dyDescent="0.3">
      <c r="A150" s="249"/>
      <c r="B150" s="350" t="s">
        <v>14</v>
      </c>
      <c r="C150" s="332" t="s">
        <v>118</v>
      </c>
      <c r="D150" s="300" t="s">
        <v>110</v>
      </c>
      <c r="E150" s="303"/>
      <c r="F150" s="303"/>
      <c r="G150" s="303"/>
      <c r="H150" s="303"/>
      <c r="I150" s="303"/>
      <c r="J150" s="303"/>
      <c r="K150" s="303"/>
      <c r="L150" s="303"/>
      <c r="M150" s="303"/>
      <c r="N150" s="303"/>
      <c r="O150" s="303"/>
      <c r="P150" s="303"/>
      <c r="Q150" s="303"/>
      <c r="R150" s="303"/>
      <c r="S150" s="303"/>
      <c r="T150" s="303"/>
      <c r="U150" s="303"/>
      <c r="V150" s="303"/>
      <c r="W150" s="303"/>
      <c r="X150" s="303"/>
      <c r="Y150" s="302"/>
      <c r="Z150" s="303"/>
      <c r="AA150" s="303"/>
      <c r="AB150" s="303"/>
      <c r="AC150" s="303"/>
      <c r="AD150" s="303"/>
      <c r="AE150" s="303"/>
      <c r="AF150" s="303"/>
      <c r="AG150" s="303"/>
      <c r="AH150" s="303"/>
      <c r="AI150" s="303"/>
      <c r="AJ150" s="303"/>
      <c r="AK150" s="302"/>
      <c r="AL150" s="303"/>
      <c r="AM150" s="303"/>
      <c r="AN150" s="77"/>
      <c r="AO150" s="56"/>
      <c r="AP150" s="56"/>
      <c r="AQ150" s="56"/>
      <c r="AR150" s="56"/>
    </row>
    <row r="151" spans="1:44" x14ac:dyDescent="0.3">
      <c r="A151" s="249"/>
      <c r="B151" s="359" t="s">
        <v>14</v>
      </c>
      <c r="C151" s="333" t="s">
        <v>120</v>
      </c>
      <c r="D151" s="328" t="s">
        <v>110</v>
      </c>
      <c r="E151" s="222"/>
      <c r="F151" s="222"/>
      <c r="G151" s="222"/>
      <c r="H151" s="222"/>
      <c r="I151" s="222"/>
      <c r="J151" s="222"/>
      <c r="K151" s="277"/>
      <c r="L151" s="277"/>
      <c r="M151" s="277"/>
      <c r="N151" s="277"/>
      <c r="O151" s="277"/>
      <c r="P151" s="277"/>
      <c r="Q151" s="277"/>
      <c r="R151" s="277"/>
      <c r="S151" s="277"/>
      <c r="T151" s="277"/>
      <c r="U151" s="277"/>
      <c r="V151" s="277"/>
      <c r="W151" s="277"/>
      <c r="X151" s="277"/>
      <c r="Y151" s="285"/>
      <c r="Z151" s="277"/>
      <c r="AA151" s="277"/>
      <c r="AB151" s="277"/>
      <c r="AC151" s="277"/>
      <c r="AD151" s="277"/>
      <c r="AE151" s="277"/>
      <c r="AF151" s="277"/>
      <c r="AG151" s="277"/>
      <c r="AH151" s="277"/>
      <c r="AI151" s="277"/>
      <c r="AJ151" s="277"/>
      <c r="AK151" s="285"/>
      <c r="AL151" s="277"/>
      <c r="AM151" s="277"/>
      <c r="AN151" s="77"/>
      <c r="AO151" s="56"/>
      <c r="AP151" s="56"/>
      <c r="AQ151" s="56"/>
      <c r="AR151" s="56"/>
    </row>
    <row r="152" spans="1:44" x14ac:dyDescent="0.3">
      <c r="A152" s="249"/>
      <c r="B152" s="341" t="s">
        <v>69</v>
      </c>
      <c r="C152" s="286" t="s">
        <v>78</v>
      </c>
      <c r="D152" s="287" t="s">
        <v>81</v>
      </c>
      <c r="E152" s="222"/>
      <c r="F152" s="222"/>
      <c r="G152" s="222"/>
      <c r="H152" s="222"/>
      <c r="I152" s="222"/>
      <c r="J152" s="222"/>
      <c r="K152" s="222"/>
      <c r="L152" s="222"/>
      <c r="M152" s="222"/>
      <c r="N152" s="222"/>
      <c r="O152" s="222"/>
      <c r="P152" s="222"/>
      <c r="Q152" s="222"/>
      <c r="R152" s="222"/>
      <c r="S152" s="222"/>
      <c r="T152" s="222"/>
      <c r="U152" s="222"/>
      <c r="V152" s="222"/>
      <c r="W152" s="222"/>
      <c r="X152" s="222"/>
      <c r="Y152" s="297"/>
      <c r="Z152" s="222">
        <v>0.6</v>
      </c>
      <c r="AA152" s="222"/>
      <c r="AB152" s="222"/>
      <c r="AC152" s="222"/>
      <c r="AD152" s="222"/>
      <c r="AE152" s="222"/>
      <c r="AF152" s="222"/>
      <c r="AG152" s="222"/>
      <c r="AH152" s="222"/>
      <c r="AI152" s="222"/>
      <c r="AJ152" s="222"/>
      <c r="AK152" s="319"/>
      <c r="AL152" s="307"/>
      <c r="AM152" s="307"/>
      <c r="AN152" s="77"/>
      <c r="AO152" s="56"/>
      <c r="AP152" s="56"/>
      <c r="AQ152" s="56"/>
      <c r="AR152" s="56"/>
    </row>
    <row r="153" spans="1:44" x14ac:dyDescent="0.3">
      <c r="A153" s="249"/>
      <c r="B153" s="341" t="s">
        <v>69</v>
      </c>
      <c r="C153" s="286" t="s">
        <v>77</v>
      </c>
      <c r="D153" s="360" t="s">
        <v>121</v>
      </c>
      <c r="E153" s="60">
        <f t="shared" ref="E153:K153" si="58">E62</f>
        <v>8.4</v>
      </c>
      <c r="F153" s="60">
        <f t="shared" si="58"/>
        <v>6.2</v>
      </c>
      <c r="G153" s="60">
        <f t="shared" si="58"/>
        <v>7.2</v>
      </c>
      <c r="H153" s="60">
        <f t="shared" si="58"/>
        <v>7.2</v>
      </c>
      <c r="I153" s="60">
        <f t="shared" si="58"/>
        <v>7.4</v>
      </c>
      <c r="J153" s="288">
        <f t="shared" si="58"/>
        <v>6.7</v>
      </c>
      <c r="K153" s="288">
        <f t="shared" si="58"/>
        <v>0</v>
      </c>
      <c r="L153" s="288">
        <f>L62-L155</f>
        <v>3.96</v>
      </c>
      <c r="M153" s="288">
        <v>2.5</v>
      </c>
      <c r="N153" s="288">
        <v>2</v>
      </c>
      <c r="O153" s="288">
        <v>2</v>
      </c>
      <c r="P153" s="288">
        <f>P62-P154-P155</f>
        <v>1.4</v>
      </c>
      <c r="Q153" s="288">
        <f>Q62-Q154-Q155</f>
        <v>0</v>
      </c>
      <c r="R153" s="288">
        <f>R62-R154-R155</f>
        <v>0</v>
      </c>
      <c r="S153" s="361">
        <v>0</v>
      </c>
      <c r="T153" s="288">
        <f>T62-T154-T155</f>
        <v>3</v>
      </c>
      <c r="U153" s="289">
        <f t="shared" ref="U153:AJ153" si="59">U62-U154-U155-U156</f>
        <v>3</v>
      </c>
      <c r="V153" s="288">
        <f t="shared" si="59"/>
        <v>6.7600000000000007</v>
      </c>
      <c r="W153" s="288">
        <f t="shared" si="59"/>
        <v>6.06</v>
      </c>
      <c r="X153" s="288">
        <f t="shared" si="59"/>
        <v>6.07</v>
      </c>
      <c r="Y153" s="260">
        <f t="shared" si="59"/>
        <v>3.5399999999999991</v>
      </c>
      <c r="Z153" s="261">
        <f>Z62-Z154-Z155-Z156-Z152</f>
        <v>1.9999999999999996</v>
      </c>
      <c r="AA153" s="261">
        <f t="shared" si="59"/>
        <v>2</v>
      </c>
      <c r="AB153" s="261">
        <f t="shared" si="59"/>
        <v>2</v>
      </c>
      <c r="AC153" s="261">
        <f t="shared" si="59"/>
        <v>2.0000000000000004</v>
      </c>
      <c r="AD153" s="261">
        <f t="shared" si="59"/>
        <v>2.0000000000000004</v>
      </c>
      <c r="AE153" s="261">
        <f t="shared" si="59"/>
        <v>2</v>
      </c>
      <c r="AF153" s="261">
        <f t="shared" si="59"/>
        <v>2</v>
      </c>
      <c r="AG153" s="261">
        <f t="shared" si="59"/>
        <v>1.9999999999999996</v>
      </c>
      <c r="AH153" s="261">
        <f t="shared" si="59"/>
        <v>1.9999999999999996</v>
      </c>
      <c r="AI153" s="261">
        <f t="shared" si="59"/>
        <v>1.9999999999999996</v>
      </c>
      <c r="AJ153" s="261">
        <f t="shared" si="59"/>
        <v>1.9999999999999996</v>
      </c>
      <c r="AK153" s="260">
        <f>AK62-AK154-AK155-AK156</f>
        <v>1.9999999999999996</v>
      </c>
      <c r="AL153" s="261">
        <f>AL62-AL154-AL155-AL156</f>
        <v>2</v>
      </c>
      <c r="AM153" s="261">
        <f>AM62-AM154-AM155-AM156</f>
        <v>2</v>
      </c>
      <c r="AN153" s="77"/>
      <c r="AO153" s="56"/>
      <c r="AP153" s="56"/>
      <c r="AQ153" s="56"/>
      <c r="AR153" s="56"/>
    </row>
    <row r="154" spans="1:44" x14ac:dyDescent="0.3">
      <c r="A154" s="249"/>
      <c r="B154" s="341" t="s">
        <v>69</v>
      </c>
      <c r="C154" s="215" t="s">
        <v>114</v>
      </c>
      <c r="D154" s="362" t="s">
        <v>121</v>
      </c>
      <c r="E154" s="60"/>
      <c r="F154" s="60"/>
      <c r="G154" s="60"/>
      <c r="H154" s="60"/>
      <c r="I154" s="60"/>
      <c r="J154" s="288"/>
      <c r="K154" s="288"/>
      <c r="L154" s="288"/>
      <c r="M154" s="288"/>
      <c r="N154" s="288"/>
      <c r="O154" s="288"/>
      <c r="P154" s="288">
        <v>0</v>
      </c>
      <c r="Q154" s="291">
        <v>0</v>
      </c>
      <c r="R154" s="291">
        <v>0</v>
      </c>
      <c r="S154" s="361">
        <v>0</v>
      </c>
      <c r="T154" s="291">
        <v>0</v>
      </c>
      <c r="U154" s="291">
        <v>0</v>
      </c>
      <c r="V154" s="291">
        <v>0</v>
      </c>
      <c r="W154" s="291">
        <v>0</v>
      </c>
      <c r="X154" s="291">
        <v>0</v>
      </c>
      <c r="Y154" s="246">
        <v>0</v>
      </c>
      <c r="Z154" s="223"/>
      <c r="AA154" s="223"/>
      <c r="AB154" s="223"/>
      <c r="AC154" s="223"/>
      <c r="AD154" s="223"/>
      <c r="AE154" s="223"/>
      <c r="AF154" s="223"/>
      <c r="AG154" s="223"/>
      <c r="AH154" s="223"/>
      <c r="AI154" s="223"/>
      <c r="AJ154" s="223"/>
      <c r="AK154" s="246"/>
      <c r="AL154" s="223"/>
      <c r="AM154" s="223"/>
      <c r="AN154" s="77"/>
      <c r="AO154" s="56"/>
      <c r="AP154" s="56"/>
      <c r="AQ154" s="56"/>
      <c r="AR154" s="56"/>
    </row>
    <row r="155" spans="1:44" x14ac:dyDescent="0.3">
      <c r="A155" s="249"/>
      <c r="B155" s="341" t="s">
        <v>69</v>
      </c>
      <c r="C155" s="326" t="s">
        <v>115</v>
      </c>
      <c r="D155" s="362" t="s">
        <v>121</v>
      </c>
      <c r="E155" s="60"/>
      <c r="F155" s="60"/>
      <c r="G155" s="60"/>
      <c r="H155" s="60"/>
      <c r="I155" s="60"/>
      <c r="J155" s="60"/>
      <c r="K155" s="60"/>
      <c r="L155" s="60">
        <v>0</v>
      </c>
      <c r="M155" s="60">
        <f>M62-M153</f>
        <v>3.87</v>
      </c>
      <c r="N155" s="60">
        <f>N62-N153</f>
        <v>4.0999999999999996</v>
      </c>
      <c r="O155" s="289">
        <v>3.73</v>
      </c>
      <c r="P155" s="289">
        <v>2.9</v>
      </c>
      <c r="Q155" s="291">
        <v>3</v>
      </c>
      <c r="R155" s="289">
        <v>3</v>
      </c>
      <c r="S155" s="288">
        <f>S62-S153-S154</f>
        <v>3.5</v>
      </c>
      <c r="T155" s="291">
        <v>0</v>
      </c>
      <c r="U155" s="291">
        <v>0.6</v>
      </c>
      <c r="V155" s="291">
        <v>0</v>
      </c>
      <c r="W155" s="291">
        <v>0</v>
      </c>
      <c r="X155" s="291">
        <v>0.6</v>
      </c>
      <c r="Y155" s="293">
        <v>4.83</v>
      </c>
      <c r="Z155" s="223">
        <f>4.48+0.6</f>
        <v>5.08</v>
      </c>
      <c r="AA155" s="223">
        <v>4.63</v>
      </c>
      <c r="AB155" s="223">
        <v>4.63</v>
      </c>
      <c r="AC155" s="223">
        <v>3.78</v>
      </c>
      <c r="AD155" s="223">
        <v>3.9</v>
      </c>
      <c r="AE155" s="223">
        <v>4.12</v>
      </c>
      <c r="AF155" s="223">
        <v>4.12</v>
      </c>
      <c r="AG155" s="223">
        <v>3.47</v>
      </c>
      <c r="AH155" s="223">
        <v>3.47</v>
      </c>
      <c r="AI155" s="223">
        <v>3.47</v>
      </c>
      <c r="AJ155" s="223">
        <v>3.47</v>
      </c>
      <c r="AK155" s="246">
        <v>3.47</v>
      </c>
      <c r="AL155" s="223">
        <v>3.83</v>
      </c>
      <c r="AM155" s="223">
        <v>3.83</v>
      </c>
      <c r="AN155" s="77"/>
      <c r="AO155" s="77"/>
      <c r="AP155" s="56"/>
      <c r="AQ155" s="56"/>
      <c r="AR155" s="56"/>
    </row>
    <row r="156" spans="1:44" x14ac:dyDescent="0.3">
      <c r="A156" s="249"/>
      <c r="B156" s="341" t="s">
        <v>69</v>
      </c>
      <c r="C156" s="322" t="s">
        <v>117</v>
      </c>
      <c r="D156" s="362" t="s">
        <v>121</v>
      </c>
      <c r="E156" s="60"/>
      <c r="F156" s="60"/>
      <c r="G156" s="60"/>
      <c r="H156" s="60"/>
      <c r="I156" s="60"/>
      <c r="J156" s="60"/>
      <c r="K156" s="60"/>
      <c r="L156" s="60"/>
      <c r="M156" s="60"/>
      <c r="N156" s="60"/>
      <c r="O156" s="289"/>
      <c r="P156" s="289"/>
      <c r="Q156" s="291"/>
      <c r="R156" s="289"/>
      <c r="S156" s="288"/>
      <c r="T156" s="291"/>
      <c r="U156" s="291">
        <v>0</v>
      </c>
      <c r="V156" s="291">
        <v>0</v>
      </c>
      <c r="W156" s="291">
        <v>0</v>
      </c>
      <c r="X156" s="291">
        <v>0</v>
      </c>
      <c r="Y156" s="246">
        <v>0</v>
      </c>
      <c r="Z156" s="223"/>
      <c r="AA156" s="223"/>
      <c r="AB156" s="223"/>
      <c r="AC156" s="223"/>
      <c r="AD156" s="223"/>
      <c r="AE156" s="223"/>
      <c r="AF156" s="223"/>
      <c r="AG156" s="223"/>
      <c r="AH156" s="223"/>
      <c r="AI156" s="223"/>
      <c r="AJ156" s="223"/>
      <c r="AK156" s="357"/>
      <c r="AL156" s="315"/>
      <c r="AM156" s="315"/>
      <c r="AN156" s="77"/>
      <c r="AO156" s="77"/>
      <c r="AP156" s="56"/>
      <c r="AQ156" s="56"/>
      <c r="AR156" s="56"/>
    </row>
    <row r="157" spans="1:44" x14ac:dyDescent="0.3">
      <c r="A157" s="249"/>
      <c r="B157" s="359" t="s">
        <v>122</v>
      </c>
      <c r="C157" s="275" t="s">
        <v>77</v>
      </c>
      <c r="D157" s="363" t="s">
        <v>123</v>
      </c>
      <c r="E157" s="277">
        <f t="shared" ref="E157:AM158" si="60">E63</f>
        <v>5.89</v>
      </c>
      <c r="F157" s="277">
        <f t="shared" si="60"/>
        <v>6.22</v>
      </c>
      <c r="G157" s="277">
        <f t="shared" si="60"/>
        <v>5.89</v>
      </c>
      <c r="H157" s="277">
        <f t="shared" si="60"/>
        <v>6.05</v>
      </c>
      <c r="I157" s="277">
        <f t="shared" si="60"/>
        <v>5.85</v>
      </c>
      <c r="J157" s="364">
        <f t="shared" si="60"/>
        <v>6.05</v>
      </c>
      <c r="K157" s="364">
        <f t="shared" si="60"/>
        <v>6.7</v>
      </c>
      <c r="L157" s="364">
        <f t="shared" si="60"/>
        <v>6.05</v>
      </c>
      <c r="M157" s="364">
        <f t="shared" si="60"/>
        <v>6.2</v>
      </c>
      <c r="N157" s="364">
        <f t="shared" si="60"/>
        <v>5.66</v>
      </c>
      <c r="O157" s="364">
        <f t="shared" si="60"/>
        <v>6.0449999999999999</v>
      </c>
      <c r="P157" s="364">
        <f t="shared" si="60"/>
        <v>5.85</v>
      </c>
      <c r="Q157" s="364">
        <f t="shared" si="60"/>
        <v>4.5999999999999996</v>
      </c>
      <c r="R157" s="278">
        <f t="shared" si="60"/>
        <v>5.7</v>
      </c>
      <c r="S157" s="364">
        <f t="shared" si="60"/>
        <v>5.7</v>
      </c>
      <c r="T157" s="364">
        <f t="shared" si="60"/>
        <v>5.68</v>
      </c>
      <c r="U157" s="364">
        <f t="shared" si="60"/>
        <v>5.4</v>
      </c>
      <c r="V157" s="364">
        <f t="shared" si="60"/>
        <v>5.8</v>
      </c>
      <c r="W157" s="364">
        <f t="shared" si="60"/>
        <v>5.4</v>
      </c>
      <c r="X157" s="364">
        <f t="shared" si="60"/>
        <v>5.58</v>
      </c>
      <c r="Y157" s="365">
        <f t="shared" si="60"/>
        <v>5.4870000000000001</v>
      </c>
      <c r="Z157" s="364">
        <f t="shared" si="60"/>
        <v>5.32</v>
      </c>
      <c r="AA157" s="364">
        <f t="shared" si="60"/>
        <v>5.74</v>
      </c>
      <c r="AB157" s="364">
        <f t="shared" si="60"/>
        <v>5.7</v>
      </c>
      <c r="AC157" s="364">
        <f t="shared" si="60"/>
        <v>5.74</v>
      </c>
      <c r="AD157" s="364">
        <f t="shared" si="60"/>
        <v>5.7</v>
      </c>
      <c r="AE157" s="364">
        <f t="shared" si="60"/>
        <v>5.83</v>
      </c>
      <c r="AF157" s="364">
        <f t="shared" si="60"/>
        <v>5.83</v>
      </c>
      <c r="AG157" s="364">
        <f t="shared" si="60"/>
        <v>5.83</v>
      </c>
      <c r="AH157" s="364">
        <f t="shared" si="60"/>
        <v>5.83</v>
      </c>
      <c r="AI157" s="364">
        <f t="shared" si="60"/>
        <v>5.83</v>
      </c>
      <c r="AJ157" s="364">
        <f t="shared" si="60"/>
        <v>5.83</v>
      </c>
      <c r="AK157" s="365">
        <f t="shared" si="60"/>
        <v>5.7</v>
      </c>
      <c r="AL157" s="364">
        <f t="shared" si="60"/>
        <v>5.7</v>
      </c>
      <c r="AM157" s="364">
        <f t="shared" si="60"/>
        <v>5.7</v>
      </c>
      <c r="AN157" s="77"/>
      <c r="AO157" s="77"/>
      <c r="AP157" s="56"/>
      <c r="AQ157" s="56"/>
      <c r="AR157" s="56"/>
    </row>
    <row r="158" spans="1:44" ht="14.5" thickBot="1" x14ac:dyDescent="0.35">
      <c r="A158" s="366"/>
      <c r="B158" s="367" t="s">
        <v>71</v>
      </c>
      <c r="C158" s="368" t="s">
        <v>77</v>
      </c>
      <c r="D158" s="369" t="s">
        <v>71</v>
      </c>
      <c r="E158" s="370">
        <f t="shared" si="60"/>
        <v>15.6</v>
      </c>
      <c r="F158" s="370">
        <f t="shared" si="60"/>
        <v>16.100000000000001</v>
      </c>
      <c r="G158" s="370">
        <f t="shared" si="60"/>
        <v>16.027000000000001</v>
      </c>
      <c r="H158" s="370">
        <f t="shared" si="60"/>
        <v>14</v>
      </c>
      <c r="I158" s="370">
        <f t="shared" si="60"/>
        <v>15.45</v>
      </c>
      <c r="J158" s="272">
        <f t="shared" si="60"/>
        <v>10.85</v>
      </c>
      <c r="K158" s="272">
        <f t="shared" si="60"/>
        <v>13.15</v>
      </c>
      <c r="L158" s="272">
        <f t="shared" si="60"/>
        <v>13.26</v>
      </c>
      <c r="M158" s="272">
        <f t="shared" si="60"/>
        <v>17</v>
      </c>
      <c r="N158" s="272">
        <f t="shared" si="60"/>
        <v>17.5</v>
      </c>
      <c r="O158" s="272">
        <f t="shared" si="60"/>
        <v>15</v>
      </c>
      <c r="P158" s="272">
        <f t="shared" si="60"/>
        <v>16.5</v>
      </c>
      <c r="Q158" s="272">
        <f t="shared" si="60"/>
        <v>15</v>
      </c>
      <c r="R158" s="272">
        <f t="shared" si="60"/>
        <v>14.5</v>
      </c>
      <c r="S158" s="272">
        <f t="shared" si="60"/>
        <v>15.5</v>
      </c>
      <c r="T158" s="272">
        <f t="shared" si="60"/>
        <v>13.04</v>
      </c>
      <c r="U158" s="272">
        <f t="shared" si="60"/>
        <v>17.2</v>
      </c>
      <c r="V158" s="272">
        <f t="shared" si="60"/>
        <v>15.83</v>
      </c>
      <c r="W158" s="272">
        <f t="shared" si="60"/>
        <v>16.2</v>
      </c>
      <c r="X158" s="272">
        <f t="shared" si="60"/>
        <v>15.4</v>
      </c>
      <c r="Y158" s="271">
        <f t="shared" si="60"/>
        <v>11</v>
      </c>
      <c r="Z158" s="272">
        <f t="shared" si="60"/>
        <v>6.72</v>
      </c>
      <c r="AA158" s="272">
        <f t="shared" si="60"/>
        <v>15.56</v>
      </c>
      <c r="AB158" s="272">
        <f t="shared" si="60"/>
        <v>15</v>
      </c>
      <c r="AC158" s="272">
        <f t="shared" si="60"/>
        <v>15.5</v>
      </c>
      <c r="AD158" s="272">
        <f t="shared" si="60"/>
        <v>15</v>
      </c>
      <c r="AE158" s="272">
        <f t="shared" si="60"/>
        <v>9.41</v>
      </c>
      <c r="AF158" s="272">
        <f t="shared" si="60"/>
        <v>13.19</v>
      </c>
      <c r="AG158" s="272">
        <f t="shared" si="60"/>
        <v>15</v>
      </c>
      <c r="AH158" s="272">
        <f t="shared" si="60"/>
        <v>15.5</v>
      </c>
      <c r="AI158" s="272">
        <f t="shared" si="60"/>
        <v>15</v>
      </c>
      <c r="AJ158" s="272">
        <f t="shared" si="60"/>
        <v>15.08</v>
      </c>
      <c r="AK158" s="271">
        <f t="shared" si="60"/>
        <v>14.87</v>
      </c>
      <c r="AL158" s="272">
        <f t="shared" si="60"/>
        <v>14</v>
      </c>
      <c r="AM158" s="272">
        <f t="shared" si="60"/>
        <v>15.5</v>
      </c>
      <c r="AN158" s="77"/>
      <c r="AO158" s="77"/>
      <c r="AP158" s="56"/>
      <c r="AQ158" s="56"/>
      <c r="AR158" s="56"/>
    </row>
    <row r="159" spans="1:44" s="56" customFormat="1" ht="22.5" thickBot="1" x14ac:dyDescent="0.45">
      <c r="A159" s="59" t="s">
        <v>6</v>
      </c>
      <c r="B159" s="55"/>
      <c r="L159" s="122"/>
      <c r="M159" s="122"/>
      <c r="N159" s="122"/>
      <c r="O159" s="122"/>
      <c r="P159" s="122"/>
      <c r="Q159" s="371"/>
      <c r="R159" s="371"/>
      <c r="S159" s="371"/>
      <c r="T159" s="371"/>
      <c r="U159" s="371">
        <f>U163-U105-U106</f>
        <v>214.74000000000004</v>
      </c>
      <c r="V159" s="371"/>
      <c r="W159" s="371"/>
      <c r="X159" s="371"/>
      <c r="Y159" s="371"/>
      <c r="Z159" s="371"/>
      <c r="AA159" s="371"/>
      <c r="AB159" s="371"/>
      <c r="AC159" s="371"/>
      <c r="AD159" s="371"/>
      <c r="AE159" s="371"/>
      <c r="AF159" s="371"/>
      <c r="AG159" s="371"/>
      <c r="AH159" s="371"/>
      <c r="AI159" s="371"/>
      <c r="AJ159" s="371"/>
      <c r="AK159" s="371"/>
      <c r="AL159" s="371"/>
      <c r="AM159" s="371"/>
      <c r="AN159" s="77"/>
      <c r="AO159" s="77"/>
    </row>
    <row r="160" spans="1:44" x14ac:dyDescent="0.3">
      <c r="A160" s="372" t="s">
        <v>124</v>
      </c>
      <c r="B160" s="335" t="s">
        <v>30</v>
      </c>
      <c r="C160" s="72" t="s">
        <v>96</v>
      </c>
      <c r="D160" s="337" t="s">
        <v>30</v>
      </c>
      <c r="E160" s="282">
        <f>E161+E162</f>
        <v>153.96899999999999</v>
      </c>
      <c r="F160" s="282">
        <f>F161+F162</f>
        <v>125.907</v>
      </c>
      <c r="G160" s="373">
        <f>G161+G162</f>
        <v>143.33699999999999</v>
      </c>
      <c r="H160" s="373">
        <f>H161+H162</f>
        <v>137.83699999999999</v>
      </c>
      <c r="I160" s="373">
        <f t="shared" ref="I160:Q160" si="61">I161+I162</f>
        <v>127.547</v>
      </c>
      <c r="J160" s="373">
        <f t="shared" si="61"/>
        <v>134.31700000000001</v>
      </c>
      <c r="K160" s="373">
        <f t="shared" si="61"/>
        <v>133.44200000000001</v>
      </c>
      <c r="L160" s="373">
        <f t="shared" si="61"/>
        <v>127.133</v>
      </c>
      <c r="M160" s="373">
        <f t="shared" si="61"/>
        <v>109.81</v>
      </c>
      <c r="N160" s="373">
        <f t="shared" si="61"/>
        <v>84.705999999999989</v>
      </c>
      <c r="O160" s="373">
        <f t="shared" si="61"/>
        <v>119.328</v>
      </c>
      <c r="P160" s="373">
        <f t="shared" si="61"/>
        <v>121.05</v>
      </c>
      <c r="Q160" s="373">
        <f t="shared" si="61"/>
        <v>73.457999999999998</v>
      </c>
      <c r="R160" s="373">
        <f>R161+R162</f>
        <v>99.144000000000005</v>
      </c>
      <c r="S160" s="373">
        <f t="shared" ref="S160:AM160" si="62">S161+S162</f>
        <v>95.72999999999999</v>
      </c>
      <c r="T160" s="373">
        <f t="shared" si="62"/>
        <v>108.71236263736263</v>
      </c>
      <c r="U160" s="373">
        <f t="shared" si="62"/>
        <v>94.41</v>
      </c>
      <c r="V160" s="373">
        <f t="shared" si="62"/>
        <v>97.06</v>
      </c>
      <c r="W160" s="373">
        <f t="shared" si="62"/>
        <v>100.8</v>
      </c>
      <c r="X160" s="373">
        <f t="shared" si="62"/>
        <v>112.874</v>
      </c>
      <c r="Y160" s="373">
        <f t="shared" si="62"/>
        <v>114.867</v>
      </c>
      <c r="Z160" s="373">
        <f t="shared" si="62"/>
        <v>120.536</v>
      </c>
      <c r="AA160" s="373">
        <f t="shared" si="62"/>
        <v>127.65600000000001</v>
      </c>
      <c r="AB160" s="373">
        <f t="shared" si="62"/>
        <v>136.596</v>
      </c>
      <c r="AC160" s="373">
        <f t="shared" si="62"/>
        <v>126.224</v>
      </c>
      <c r="AD160" s="373">
        <f t="shared" si="62"/>
        <v>129.375</v>
      </c>
      <c r="AE160" s="373">
        <f t="shared" si="62"/>
        <v>133.81590085933698</v>
      </c>
      <c r="AF160" s="373">
        <f t="shared" si="62"/>
        <v>114.26300000000001</v>
      </c>
      <c r="AG160" s="373">
        <f t="shared" si="62"/>
        <v>124.083</v>
      </c>
      <c r="AH160" s="373">
        <f t="shared" si="62"/>
        <v>118.977</v>
      </c>
      <c r="AI160" s="373">
        <f t="shared" si="62"/>
        <v>93.937999999999988</v>
      </c>
      <c r="AJ160" s="373">
        <f t="shared" si="62"/>
        <v>129.67500000000001</v>
      </c>
      <c r="AK160" s="373">
        <f t="shared" si="62"/>
        <v>123.01600000000001</v>
      </c>
      <c r="AL160" s="373">
        <f t="shared" si="62"/>
        <v>117.736</v>
      </c>
      <c r="AM160" s="373">
        <f t="shared" si="62"/>
        <v>123.01600000000001</v>
      </c>
      <c r="AN160" s="77"/>
      <c r="AO160" s="101">
        <f>SUM(Y160:AJ160)</f>
        <v>1470.0059008593369</v>
      </c>
      <c r="AP160" s="56"/>
      <c r="AQ160" s="56"/>
      <c r="AR160" s="56"/>
    </row>
    <row r="161" spans="1:44" x14ac:dyDescent="0.3">
      <c r="A161" s="374" t="s">
        <v>125</v>
      </c>
      <c r="B161" s="341" t="s">
        <v>30</v>
      </c>
      <c r="C161" s="81" t="s">
        <v>126</v>
      </c>
      <c r="D161" s="188" t="s">
        <v>30</v>
      </c>
      <c r="E161" s="222">
        <f>E95+E101</f>
        <v>120.66</v>
      </c>
      <c r="F161" s="222">
        <f>F95+F101</f>
        <v>113</v>
      </c>
      <c r="G161" s="222">
        <f>G95+G101</f>
        <v>87</v>
      </c>
      <c r="H161" s="222">
        <f>H95+H101</f>
        <v>81</v>
      </c>
      <c r="I161" s="222">
        <f t="shared" ref="I161:X161" si="63">I95+I99+I101</f>
        <v>70</v>
      </c>
      <c r="J161" s="222">
        <f t="shared" si="63"/>
        <v>69</v>
      </c>
      <c r="K161" s="222">
        <f t="shared" si="63"/>
        <v>71</v>
      </c>
      <c r="L161" s="222">
        <f t="shared" si="63"/>
        <v>78.5</v>
      </c>
      <c r="M161" s="222">
        <f t="shared" si="63"/>
        <v>59</v>
      </c>
      <c r="N161" s="222">
        <f t="shared" si="63"/>
        <v>34</v>
      </c>
      <c r="O161" s="222">
        <f t="shared" si="63"/>
        <v>76</v>
      </c>
      <c r="P161" s="222">
        <f t="shared" si="63"/>
        <v>76.5</v>
      </c>
      <c r="Q161" s="222">
        <f t="shared" si="63"/>
        <v>43.5</v>
      </c>
      <c r="R161" s="222">
        <f t="shared" si="63"/>
        <v>55.5</v>
      </c>
      <c r="S161" s="222">
        <f t="shared" si="63"/>
        <v>47.93</v>
      </c>
      <c r="T161" s="222">
        <f t="shared" si="63"/>
        <v>56.379999999999995</v>
      </c>
      <c r="U161" s="222">
        <f t="shared" si="63"/>
        <v>42.91</v>
      </c>
      <c r="V161" s="222">
        <f t="shared" si="63"/>
        <v>43</v>
      </c>
      <c r="W161" s="222">
        <f t="shared" si="63"/>
        <v>48.4</v>
      </c>
      <c r="X161" s="222">
        <f t="shared" si="63"/>
        <v>58.5</v>
      </c>
      <c r="Y161" s="222">
        <f>Y95+Y99+Y100+Y101+Y93</f>
        <v>56.42</v>
      </c>
      <c r="Z161" s="222">
        <f>Z97+Z98+Z99+Z100+Z101+Z93</f>
        <v>66.66</v>
      </c>
      <c r="AA161" s="222">
        <f t="shared" ref="AA161:AM161" si="64">AA97+AA98+AA99+AA100+AA101+AA93</f>
        <v>65.36</v>
      </c>
      <c r="AB161" s="222">
        <f t="shared" si="64"/>
        <v>78.599999999999994</v>
      </c>
      <c r="AC161" s="222">
        <f t="shared" si="64"/>
        <v>66.427999999999997</v>
      </c>
      <c r="AD161" s="222">
        <f t="shared" si="64"/>
        <v>72.13900000000001</v>
      </c>
      <c r="AE161" s="222">
        <f t="shared" si="64"/>
        <v>106.21899999999999</v>
      </c>
      <c r="AF161" s="222">
        <f t="shared" si="64"/>
        <v>68.959000000000003</v>
      </c>
      <c r="AG161" s="222">
        <f t="shared" si="64"/>
        <v>66.998999999999995</v>
      </c>
      <c r="AH161" s="222">
        <f t="shared" si="64"/>
        <v>73.019000000000005</v>
      </c>
      <c r="AI161" s="222">
        <f t="shared" si="64"/>
        <v>67.278999999999996</v>
      </c>
      <c r="AJ161" s="222">
        <f t="shared" si="64"/>
        <v>69.878999999999991</v>
      </c>
      <c r="AK161" s="222">
        <f t="shared" si="64"/>
        <v>67.22</v>
      </c>
      <c r="AL161" s="222">
        <f t="shared" si="64"/>
        <v>65.06</v>
      </c>
      <c r="AM161" s="222">
        <f t="shared" si="64"/>
        <v>67.22</v>
      </c>
      <c r="AN161" s="77"/>
      <c r="AO161" s="77"/>
      <c r="AP161" s="56"/>
      <c r="AQ161" s="56"/>
      <c r="AR161" s="56"/>
    </row>
    <row r="162" spans="1:44" ht="14.5" thickBot="1" x14ac:dyDescent="0.35">
      <c r="A162" s="374" t="s">
        <v>127</v>
      </c>
      <c r="B162" s="341" t="s">
        <v>30</v>
      </c>
      <c r="C162" s="81" t="s">
        <v>128</v>
      </c>
      <c r="D162" s="188" t="s">
        <v>30</v>
      </c>
      <c r="E162" s="222">
        <f t="shared" ref="E162:Y162" si="65">E102+E103</f>
        <v>33.308999999999997</v>
      </c>
      <c r="F162" s="222">
        <f t="shared" si="65"/>
        <v>12.907</v>
      </c>
      <c r="G162" s="222">
        <f t="shared" si="65"/>
        <v>56.337000000000003</v>
      </c>
      <c r="H162" s="222">
        <f t="shared" si="65"/>
        <v>56.837000000000003</v>
      </c>
      <c r="I162" s="222">
        <f t="shared" si="65"/>
        <v>57.546999999999997</v>
      </c>
      <c r="J162" s="222">
        <f t="shared" si="65"/>
        <v>65.316999999999993</v>
      </c>
      <c r="K162" s="222">
        <f t="shared" si="65"/>
        <v>62.442</v>
      </c>
      <c r="L162" s="222">
        <f t="shared" si="65"/>
        <v>48.632999999999996</v>
      </c>
      <c r="M162" s="222">
        <f t="shared" si="65"/>
        <v>50.81</v>
      </c>
      <c r="N162" s="222">
        <f t="shared" si="65"/>
        <v>50.705999999999996</v>
      </c>
      <c r="O162" s="222">
        <f t="shared" si="65"/>
        <v>43.327999999999996</v>
      </c>
      <c r="P162" s="222">
        <f t="shared" si="65"/>
        <v>44.55</v>
      </c>
      <c r="Q162" s="222">
        <f t="shared" si="65"/>
        <v>29.957999999999998</v>
      </c>
      <c r="R162" s="222">
        <f t="shared" si="65"/>
        <v>43.643999999999998</v>
      </c>
      <c r="S162" s="222">
        <f t="shared" si="65"/>
        <v>47.8</v>
      </c>
      <c r="T162" s="222">
        <f t="shared" si="65"/>
        <v>52.332362637362635</v>
      </c>
      <c r="U162" s="222">
        <f t="shared" si="65"/>
        <v>51.5</v>
      </c>
      <c r="V162" s="222">
        <f t="shared" si="65"/>
        <v>54.06</v>
      </c>
      <c r="W162" s="222">
        <f t="shared" si="65"/>
        <v>52.4</v>
      </c>
      <c r="X162" s="222">
        <f t="shared" si="65"/>
        <v>54.373999999999995</v>
      </c>
      <c r="Y162" s="222">
        <f t="shared" si="65"/>
        <v>58.447000000000003</v>
      </c>
      <c r="Z162" s="222">
        <f>Z102+Z103+Z104</f>
        <v>53.876000000000005</v>
      </c>
      <c r="AA162" s="222">
        <f t="shared" ref="AA162:AM162" si="66">AA102+AA103+AA104</f>
        <v>62.296000000000006</v>
      </c>
      <c r="AB162" s="222">
        <f t="shared" si="66"/>
        <v>57.995999999999995</v>
      </c>
      <c r="AC162" s="222">
        <f t="shared" si="66"/>
        <v>59.796000000000006</v>
      </c>
      <c r="AD162" s="222">
        <f t="shared" si="66"/>
        <v>57.236000000000004</v>
      </c>
      <c r="AE162" s="222">
        <f t="shared" si="66"/>
        <v>27.596900859336998</v>
      </c>
      <c r="AF162" s="222">
        <f t="shared" si="66"/>
        <v>45.304000000000002</v>
      </c>
      <c r="AG162" s="222">
        <f t="shared" si="66"/>
        <v>57.084000000000003</v>
      </c>
      <c r="AH162" s="222">
        <f t="shared" si="66"/>
        <v>45.957999999999998</v>
      </c>
      <c r="AI162" s="222">
        <f t="shared" si="66"/>
        <v>26.658999999999999</v>
      </c>
      <c r="AJ162" s="222">
        <f t="shared" si="66"/>
        <v>59.796000000000006</v>
      </c>
      <c r="AK162" s="222">
        <f t="shared" si="66"/>
        <v>55.796000000000006</v>
      </c>
      <c r="AL162" s="222">
        <f t="shared" si="66"/>
        <v>52.676000000000002</v>
      </c>
      <c r="AM162" s="222">
        <f t="shared" si="66"/>
        <v>55.796000000000006</v>
      </c>
      <c r="AN162" s="77"/>
      <c r="AO162" s="77"/>
      <c r="AP162" s="56"/>
      <c r="AQ162" s="56"/>
      <c r="AR162" s="56"/>
    </row>
    <row r="163" spans="1:44" s="56" customFormat="1" x14ac:dyDescent="0.3">
      <c r="A163" s="375" t="s">
        <v>129</v>
      </c>
      <c r="B163" s="376" t="s">
        <v>130</v>
      </c>
      <c r="C163" s="376" t="s">
        <v>131</v>
      </c>
      <c r="D163" s="377" t="s">
        <v>132</v>
      </c>
      <c r="E163" s="60"/>
      <c r="F163" s="60"/>
      <c r="G163" s="373"/>
      <c r="H163" s="373"/>
      <c r="I163" s="373">
        <f t="shared" ref="I163:AJ163" si="67">SUM(I105:I158)</f>
        <v>242.43</v>
      </c>
      <c r="J163" s="373">
        <f t="shared" si="67"/>
        <v>240.08403429999998</v>
      </c>
      <c r="K163" s="373">
        <f t="shared" si="67"/>
        <v>242.04816493999996</v>
      </c>
      <c r="L163" s="373">
        <f t="shared" si="67"/>
        <v>240.19812309999995</v>
      </c>
      <c r="M163" s="373">
        <f t="shared" si="67"/>
        <v>235.17329082000001</v>
      </c>
      <c r="N163" s="373">
        <f t="shared" si="67"/>
        <v>224.50545953</v>
      </c>
      <c r="O163" s="373">
        <f t="shared" si="67"/>
        <v>207.45499999999998</v>
      </c>
      <c r="P163" s="373">
        <f t="shared" si="67"/>
        <v>172.54</v>
      </c>
      <c r="Q163" s="373">
        <f t="shared" si="67"/>
        <v>170.11859380999999</v>
      </c>
      <c r="R163" s="373">
        <f t="shared" si="67"/>
        <v>183.64617381999997</v>
      </c>
      <c r="S163" s="373">
        <f t="shared" si="67"/>
        <v>206.13</v>
      </c>
      <c r="T163" s="373">
        <f t="shared" si="67"/>
        <v>215.22000000000006</v>
      </c>
      <c r="U163" s="373">
        <f t="shared" si="67"/>
        <v>216.19000000000003</v>
      </c>
      <c r="V163" s="373">
        <f t="shared" si="67"/>
        <v>228.25</v>
      </c>
      <c r="W163" s="373">
        <f t="shared" si="67"/>
        <v>222.56240770999997</v>
      </c>
      <c r="X163" s="373">
        <f t="shared" si="67"/>
        <v>224.22</v>
      </c>
      <c r="Y163" s="373">
        <f t="shared" si="67"/>
        <v>208.93700000000001</v>
      </c>
      <c r="Z163" s="373">
        <f t="shared" si="67"/>
        <v>204.36743945000001</v>
      </c>
      <c r="AA163" s="373">
        <f t="shared" si="67"/>
        <v>216.32442810999999</v>
      </c>
      <c r="AB163" s="373">
        <f t="shared" si="67"/>
        <v>212.29542810999999</v>
      </c>
      <c r="AC163" s="373">
        <f t="shared" si="67"/>
        <v>218.51170779999998</v>
      </c>
      <c r="AD163" s="373">
        <f t="shared" si="67"/>
        <v>213.99335405999997</v>
      </c>
      <c r="AE163" s="373">
        <f t="shared" si="67"/>
        <v>219.52259741</v>
      </c>
      <c r="AF163" s="373">
        <f t="shared" si="67"/>
        <v>220.44864504</v>
      </c>
      <c r="AG163" s="373">
        <f t="shared" si="67"/>
        <v>217.46345454000001</v>
      </c>
      <c r="AH163" s="373">
        <f t="shared" si="67"/>
        <v>217.87817172999999</v>
      </c>
      <c r="AI163" s="373">
        <f t="shared" si="67"/>
        <v>217.56678416999998</v>
      </c>
      <c r="AJ163" s="373">
        <f t="shared" si="67"/>
        <v>219.27178730999998</v>
      </c>
      <c r="AK163" s="373">
        <f>SUM(AK105:AK158)</f>
        <v>218.02011479999999</v>
      </c>
      <c r="AL163" s="373">
        <f>SUM(AL105:AL158)</f>
        <v>208.96287545999999</v>
      </c>
      <c r="AM163" s="373">
        <f>SUM(AM105:AM158)</f>
        <v>210.46287545999999</v>
      </c>
      <c r="AN163" s="77"/>
      <c r="AO163" s="77"/>
    </row>
    <row r="164" spans="1:44" s="56" customFormat="1" x14ac:dyDescent="0.3">
      <c r="A164" s="378"/>
      <c r="B164" s="220" t="s">
        <v>130</v>
      </c>
      <c r="C164" s="220" t="s">
        <v>133</v>
      </c>
      <c r="D164" s="379" t="s">
        <v>110</v>
      </c>
      <c r="G164" s="380"/>
      <c r="H164" s="380"/>
      <c r="I164" s="380">
        <f>I109+I114+I116+I118+I121+I124+I126+I129+I130+I131+I136+I137+I139+I141+I144+I146+I148+I150+I151</f>
        <v>23.099999999999998</v>
      </c>
      <c r="J164" s="380">
        <f t="shared" ref="J164:U164" si="68">J109+J114+J116+J118+J121+J124+J126+J129+J130+J131+J136+J137+J139+J141+J144+J146+J148+J150+J151</f>
        <v>25.6</v>
      </c>
      <c r="K164" s="380">
        <f t="shared" si="68"/>
        <v>38.35</v>
      </c>
      <c r="L164" s="380">
        <f t="shared" si="68"/>
        <v>24.62</v>
      </c>
      <c r="M164" s="380">
        <f t="shared" si="68"/>
        <v>22.66</v>
      </c>
      <c r="N164" s="380">
        <f t="shared" si="68"/>
        <v>18.09</v>
      </c>
      <c r="O164" s="380">
        <f t="shared" si="68"/>
        <v>17.23</v>
      </c>
      <c r="P164" s="380">
        <f t="shared" si="68"/>
        <v>11.25</v>
      </c>
      <c r="Q164" s="380">
        <f t="shared" si="68"/>
        <v>12.100000000000001</v>
      </c>
      <c r="R164" s="380">
        <f t="shared" si="68"/>
        <v>17.88</v>
      </c>
      <c r="S164" s="380">
        <f t="shared" si="68"/>
        <v>23.200000000000003</v>
      </c>
      <c r="T164" s="380">
        <f t="shared" si="68"/>
        <v>31.1</v>
      </c>
      <c r="U164" s="380">
        <f t="shared" si="68"/>
        <v>28.200000000000003</v>
      </c>
      <c r="V164" s="380">
        <f>V109+V110+V114+V116+V118+V119+V121+V122+V124+V126+V129+V130+V131+V136+V137+V139+V141+V144+V146+V148+V150+V151</f>
        <v>31.5</v>
      </c>
      <c r="W164" s="380">
        <f>W109+W110+W114+W116+W118+W119+W121+W122+W124+W126+W129+W130+W131+W136+W137+W139+W141+W144+W146+W148+W150+W151</f>
        <v>32.200000000000003</v>
      </c>
      <c r="X164" s="380">
        <f>X109+X110+X114+X116+X118+X119+X121+X122+X124+X126+X129+X130+X131+X136+X137+X139+X141+X144+X146+X148+X150+X151</f>
        <v>30.77</v>
      </c>
      <c r="Y164" s="380">
        <f>Y109+Y110+Y114+Y116+Y118+Y119+Y121+Y122+Y124+Y126+Y129+Y130+Y131+Y136+Y137+Y139+Y141+Y144+Y146+Y148+Y150+Y151+Y142</f>
        <v>26.55</v>
      </c>
      <c r="Z164" s="380">
        <f t="shared" ref="Z164:AM164" si="69">Z109+Z110+Z114+Z116+Z118+Z119+Z121+Z122+Z124+Z126+Z129+Z130+Z131+Z136+Z137+Z139+Z141+Z144+Z146+Z148+Z150+Z151+Z142</f>
        <v>32.519999999999996</v>
      </c>
      <c r="AA164" s="380">
        <f t="shared" si="69"/>
        <v>29.769999999999996</v>
      </c>
      <c r="AB164" s="380">
        <f t="shared" si="69"/>
        <v>29.97</v>
      </c>
      <c r="AC164" s="380">
        <f t="shared" si="69"/>
        <v>30.82</v>
      </c>
      <c r="AD164" s="380">
        <f t="shared" si="69"/>
        <v>30.6</v>
      </c>
      <c r="AE164" s="380">
        <f t="shared" si="69"/>
        <v>30.380000000000003</v>
      </c>
      <c r="AF164" s="380">
        <f t="shared" si="69"/>
        <v>30.380000000000003</v>
      </c>
      <c r="AG164" s="380">
        <f t="shared" si="69"/>
        <v>31.03</v>
      </c>
      <c r="AH164" s="380">
        <f t="shared" si="69"/>
        <v>30.980000000000004</v>
      </c>
      <c r="AI164" s="380">
        <f t="shared" si="69"/>
        <v>30.980000000000004</v>
      </c>
      <c r="AJ164" s="380">
        <f t="shared" si="69"/>
        <v>30.980000000000004</v>
      </c>
      <c r="AK164" s="380">
        <f t="shared" si="69"/>
        <v>30.980000000000004</v>
      </c>
      <c r="AL164" s="380">
        <f t="shared" si="69"/>
        <v>30.620000000000005</v>
      </c>
      <c r="AM164" s="380">
        <f t="shared" si="69"/>
        <v>30.620000000000005</v>
      </c>
      <c r="AN164" s="77"/>
      <c r="AO164" s="77"/>
    </row>
    <row r="165" spans="1:44" s="56" customFormat="1" x14ac:dyDescent="0.3">
      <c r="A165" s="378"/>
      <c r="B165" s="220" t="s">
        <v>130</v>
      </c>
      <c r="C165" s="220" t="s">
        <v>133</v>
      </c>
      <c r="D165" s="379" t="s">
        <v>134</v>
      </c>
      <c r="G165" s="381"/>
      <c r="H165" s="381"/>
      <c r="I165" s="381">
        <f>I107+I108+I111+I112+I113+I115+I117+I120+I123+I125+I127+I128+I135+I138+I140+I143+I145+I147+I149</f>
        <v>189.82999999999998</v>
      </c>
      <c r="J165" s="381">
        <f t="shared" ref="J165:AJ165" si="70">J107+J108+J111+J112+J113+J115+J117+J120+J123+J125+J127+J128+J135+J138+J140+J143+J145+J147+J149</f>
        <v>190.2437323</v>
      </c>
      <c r="K165" s="381">
        <f t="shared" si="70"/>
        <v>183.23999999999998</v>
      </c>
      <c r="L165" s="381">
        <f t="shared" si="70"/>
        <v>191.20567744999997</v>
      </c>
      <c r="M165" s="381">
        <f t="shared" si="70"/>
        <v>181.64329082</v>
      </c>
      <c r="N165" s="381">
        <f t="shared" si="70"/>
        <v>175.59545953</v>
      </c>
      <c r="O165" s="381">
        <f t="shared" si="70"/>
        <v>161.47</v>
      </c>
      <c r="P165" s="381">
        <f t="shared" si="70"/>
        <v>132.49</v>
      </c>
      <c r="Q165" s="381">
        <f t="shared" si="70"/>
        <v>133.46</v>
      </c>
      <c r="R165" s="381">
        <f t="shared" si="70"/>
        <v>141.44</v>
      </c>
      <c r="S165" s="381">
        <f t="shared" si="70"/>
        <v>156.22999999999999</v>
      </c>
      <c r="T165" s="381">
        <f t="shared" si="70"/>
        <v>160.78</v>
      </c>
      <c r="U165" s="381">
        <f t="shared" si="70"/>
        <v>158.84</v>
      </c>
      <c r="V165" s="381">
        <f t="shared" si="70"/>
        <v>166.91</v>
      </c>
      <c r="W165" s="381">
        <f t="shared" si="70"/>
        <v>160.70240770999999</v>
      </c>
      <c r="X165" s="381">
        <f t="shared" si="70"/>
        <v>162.72</v>
      </c>
      <c r="Y165" s="381">
        <f t="shared" si="70"/>
        <v>156.13</v>
      </c>
      <c r="Z165" s="381">
        <f t="shared" si="70"/>
        <v>148.42743945000001</v>
      </c>
      <c r="AA165" s="381">
        <f t="shared" si="70"/>
        <v>156.07442810999999</v>
      </c>
      <c r="AB165" s="381">
        <f t="shared" si="70"/>
        <v>152.64542811000001</v>
      </c>
      <c r="AC165" s="381">
        <f t="shared" si="70"/>
        <v>158.22170779999999</v>
      </c>
      <c r="AD165" s="381">
        <f t="shared" si="70"/>
        <v>154.39335406000001</v>
      </c>
      <c r="AE165" s="381">
        <f t="shared" si="70"/>
        <v>165.18259741</v>
      </c>
      <c r="AF165" s="381">
        <f t="shared" si="70"/>
        <v>162.22864504</v>
      </c>
      <c r="AG165" s="381">
        <f t="shared" si="70"/>
        <v>157.53345454000001</v>
      </c>
      <c r="AH165" s="381">
        <f t="shared" si="70"/>
        <v>157.49817173</v>
      </c>
      <c r="AI165" s="381">
        <f t="shared" si="70"/>
        <v>157.78678417</v>
      </c>
      <c r="AJ165" s="381">
        <f t="shared" si="70"/>
        <v>159.46178730999998</v>
      </c>
      <c r="AK165" s="381">
        <f>AK107+AK108+AK111+AK112+AK113+AK115+AK117+AK120+AK123+AK125+AK127+AK128+AK135+AK138+AK140+AK143+AK145+AK147+AK149</f>
        <v>159.80011480000002</v>
      </c>
      <c r="AL165" s="381">
        <f>AL107+AL108+AL111+AL112+AL113+AL115+AL117+AL120+AL123+AL125+AL127+AL128+AL135+AL138+AL140+AL143+AL145+AL147+AL149</f>
        <v>151.61287546</v>
      </c>
      <c r="AM165" s="381">
        <f>AM107+AM108+AM111+AM112+AM113+AM115+AM117+AM120+AM123+AM125+AM127+AM128+AM135+AM138+AM140+AM143+AM145+AM147+AM149</f>
        <v>151.61287546</v>
      </c>
      <c r="AN165" s="77"/>
      <c r="AO165" s="77"/>
    </row>
    <row r="166" spans="1:44" s="56" customFormat="1" x14ac:dyDescent="0.3">
      <c r="A166" s="378"/>
      <c r="B166" s="382" t="s">
        <v>30</v>
      </c>
      <c r="C166" s="220" t="s">
        <v>131</v>
      </c>
      <c r="D166" s="379" t="s">
        <v>135</v>
      </c>
      <c r="G166" s="380"/>
      <c r="H166" s="380"/>
      <c r="I166" s="380">
        <f t="shared" ref="I166:AJ166" si="71">I105+I106</f>
        <v>0.8</v>
      </c>
      <c r="J166" s="380">
        <f t="shared" si="71"/>
        <v>0.64030200000000004</v>
      </c>
      <c r="K166" s="380">
        <f t="shared" si="71"/>
        <v>0.60816493999999999</v>
      </c>
      <c r="L166" s="380">
        <f t="shared" si="71"/>
        <v>1.1024456499999999</v>
      </c>
      <c r="M166" s="380">
        <f t="shared" si="71"/>
        <v>1.3</v>
      </c>
      <c r="N166" s="380">
        <f t="shared" si="71"/>
        <v>1.56</v>
      </c>
      <c r="O166" s="380">
        <f t="shared" si="71"/>
        <v>1.3</v>
      </c>
      <c r="P166" s="380">
        <f t="shared" si="71"/>
        <v>1.45</v>
      </c>
      <c r="Q166" s="380">
        <f t="shared" si="71"/>
        <v>1.3585938099999999</v>
      </c>
      <c r="R166" s="380">
        <f t="shared" si="71"/>
        <v>1.12617382</v>
      </c>
      <c r="S166" s="380">
        <f t="shared" si="71"/>
        <v>1.4</v>
      </c>
      <c r="T166" s="380">
        <f t="shared" si="71"/>
        <v>1.02</v>
      </c>
      <c r="U166" s="380">
        <f t="shared" si="71"/>
        <v>1.45</v>
      </c>
      <c r="V166" s="380">
        <f t="shared" si="71"/>
        <v>1.4500000000000002</v>
      </c>
      <c r="W166" s="380">
        <f t="shared" si="71"/>
        <v>1.4</v>
      </c>
      <c r="X166" s="380">
        <f t="shared" si="71"/>
        <v>1.2</v>
      </c>
      <c r="Y166" s="380">
        <f t="shared" si="71"/>
        <v>1.4</v>
      </c>
      <c r="Z166" s="380">
        <f t="shared" si="71"/>
        <v>1.2999999999999998</v>
      </c>
      <c r="AA166" s="380">
        <f t="shared" si="71"/>
        <v>1.35</v>
      </c>
      <c r="AB166" s="380">
        <f t="shared" si="71"/>
        <v>1.1499999999999999</v>
      </c>
      <c r="AC166" s="380">
        <f t="shared" si="71"/>
        <v>1.25</v>
      </c>
      <c r="AD166" s="380">
        <f t="shared" si="71"/>
        <v>1.2</v>
      </c>
      <c r="AE166" s="380">
        <f t="shared" si="71"/>
        <v>1.4</v>
      </c>
      <c r="AF166" s="380">
        <f t="shared" si="71"/>
        <v>1.5</v>
      </c>
      <c r="AG166" s="380">
        <f t="shared" si="71"/>
        <v>1.4</v>
      </c>
      <c r="AH166" s="380">
        <f t="shared" si="71"/>
        <v>1.4</v>
      </c>
      <c r="AI166" s="380">
        <f t="shared" si="71"/>
        <v>1.2999999999999998</v>
      </c>
      <c r="AJ166" s="380">
        <f t="shared" si="71"/>
        <v>1.25</v>
      </c>
      <c r="AK166" s="380">
        <f>AK105+AK106</f>
        <v>1.2</v>
      </c>
      <c r="AL166" s="380">
        <f>AL105+AL106</f>
        <v>1.2</v>
      </c>
      <c r="AM166" s="380">
        <f>AM105+AM106</f>
        <v>1.2</v>
      </c>
      <c r="AN166" s="77"/>
      <c r="AO166" s="77"/>
    </row>
    <row r="167" spans="1:44" s="56" customFormat="1" ht="14.5" thickBot="1" x14ac:dyDescent="0.35">
      <c r="A167" s="378"/>
      <c r="B167" s="382" t="s">
        <v>136</v>
      </c>
      <c r="C167" s="220" t="s">
        <v>105</v>
      </c>
      <c r="D167" s="379" t="s">
        <v>137</v>
      </c>
      <c r="G167" s="371"/>
      <c r="H167" s="371"/>
      <c r="I167" s="371">
        <f t="shared" ref="I167:Q167" si="72">SUM(I153:I158)</f>
        <v>28.7</v>
      </c>
      <c r="J167" s="371">
        <f t="shared" si="72"/>
        <v>23.6</v>
      </c>
      <c r="K167" s="371">
        <f t="shared" si="72"/>
        <v>19.850000000000001</v>
      </c>
      <c r="L167" s="371">
        <f t="shared" si="72"/>
        <v>23.27</v>
      </c>
      <c r="M167" s="371">
        <f t="shared" si="72"/>
        <v>29.57</v>
      </c>
      <c r="N167" s="371">
        <f t="shared" si="72"/>
        <v>29.259999999999998</v>
      </c>
      <c r="O167" s="371">
        <f t="shared" si="72"/>
        <v>26.774999999999999</v>
      </c>
      <c r="P167" s="371">
        <f t="shared" si="72"/>
        <v>26.65</v>
      </c>
      <c r="Q167" s="371">
        <f t="shared" si="72"/>
        <v>22.6</v>
      </c>
      <c r="R167" s="371">
        <f>SUM(R153:R158)</f>
        <v>23.2</v>
      </c>
      <c r="S167" s="371">
        <f>SUM(S153:S158)</f>
        <v>24.7</v>
      </c>
      <c r="T167" s="371">
        <f t="shared" ref="T167:AM167" si="73">SUM(T153:T158)</f>
        <v>21.72</v>
      </c>
      <c r="U167" s="371">
        <f t="shared" si="73"/>
        <v>26.2</v>
      </c>
      <c r="V167" s="371">
        <f t="shared" si="73"/>
        <v>28.39</v>
      </c>
      <c r="W167" s="371">
        <f t="shared" si="73"/>
        <v>27.66</v>
      </c>
      <c r="X167" s="371">
        <f t="shared" si="73"/>
        <v>27.65</v>
      </c>
      <c r="Y167" s="371">
        <f t="shared" si="73"/>
        <v>24.856999999999999</v>
      </c>
      <c r="Z167" s="371">
        <f t="shared" si="73"/>
        <v>19.12</v>
      </c>
      <c r="AA167" s="371">
        <f t="shared" si="73"/>
        <v>27.93</v>
      </c>
      <c r="AB167" s="371">
        <f t="shared" si="73"/>
        <v>27.33</v>
      </c>
      <c r="AC167" s="371">
        <f t="shared" si="73"/>
        <v>27.02</v>
      </c>
      <c r="AD167" s="371">
        <f t="shared" si="73"/>
        <v>26.6</v>
      </c>
      <c r="AE167" s="371">
        <f t="shared" si="73"/>
        <v>21.36</v>
      </c>
      <c r="AF167" s="371">
        <f t="shared" si="73"/>
        <v>25.14</v>
      </c>
      <c r="AG167" s="371">
        <f t="shared" si="73"/>
        <v>26.3</v>
      </c>
      <c r="AH167" s="371">
        <f t="shared" si="73"/>
        <v>26.8</v>
      </c>
      <c r="AI167" s="371">
        <f t="shared" si="73"/>
        <v>26.3</v>
      </c>
      <c r="AJ167" s="371">
        <f t="shared" si="73"/>
        <v>26.380000000000003</v>
      </c>
      <c r="AK167" s="371">
        <f t="shared" si="73"/>
        <v>26.04</v>
      </c>
      <c r="AL167" s="371">
        <f t="shared" si="73"/>
        <v>25.53</v>
      </c>
      <c r="AM167" s="371">
        <f t="shared" si="73"/>
        <v>27.03</v>
      </c>
      <c r="AN167" s="77"/>
      <c r="AO167" s="77"/>
    </row>
    <row r="168" spans="1:44" s="56" customFormat="1" x14ac:dyDescent="0.3">
      <c r="A168" s="249"/>
      <c r="B168" s="383" t="s">
        <v>30</v>
      </c>
      <c r="C168" s="376" t="s">
        <v>138</v>
      </c>
      <c r="D168" s="384" t="s">
        <v>132</v>
      </c>
      <c r="E168" s="385">
        <f t="shared" ref="E168:T168" si="74">SUM(E106:E131)</f>
        <v>156.68</v>
      </c>
      <c r="F168" s="386">
        <f t="shared" si="74"/>
        <v>166.56891165000002</v>
      </c>
      <c r="G168" s="387">
        <f t="shared" si="74"/>
        <v>185.92871692</v>
      </c>
      <c r="H168" s="387">
        <f t="shared" si="74"/>
        <v>177.00768496999999</v>
      </c>
      <c r="I168" s="387">
        <f t="shared" si="74"/>
        <v>187.92999999999998</v>
      </c>
      <c r="J168" s="387">
        <f t="shared" si="74"/>
        <v>193.84373229999997</v>
      </c>
      <c r="K168" s="387">
        <f t="shared" si="74"/>
        <v>198.58999999999997</v>
      </c>
      <c r="L168" s="387">
        <f t="shared" si="74"/>
        <v>191.32567744999997</v>
      </c>
      <c r="M168" s="387">
        <f t="shared" si="74"/>
        <v>184.80329082</v>
      </c>
      <c r="N168" s="387">
        <f t="shared" si="74"/>
        <v>176.30545953000001</v>
      </c>
      <c r="O168" s="387">
        <f t="shared" si="74"/>
        <v>172.35000000000002</v>
      </c>
      <c r="P168" s="387">
        <f t="shared" si="74"/>
        <v>142.49</v>
      </c>
      <c r="Q168" s="387">
        <f t="shared" si="74"/>
        <v>140.31</v>
      </c>
      <c r="R168" s="387">
        <f t="shared" si="74"/>
        <v>160.07</v>
      </c>
      <c r="S168" s="387">
        <f t="shared" si="74"/>
        <v>176.33</v>
      </c>
      <c r="T168" s="387">
        <f t="shared" si="74"/>
        <v>191.43000000000004</v>
      </c>
      <c r="U168" s="387">
        <f>SUM(U105:U131)</f>
        <v>188.79000000000005</v>
      </c>
      <c r="V168" s="387">
        <f>SUM(V106:V131)</f>
        <v>199.20999999999998</v>
      </c>
      <c r="W168" s="387">
        <f>SUM(W106:W131)</f>
        <v>180.70240770999999</v>
      </c>
      <c r="X168" s="387">
        <f>SUM(X106:X131)</f>
        <v>182.49</v>
      </c>
      <c r="Y168" s="387">
        <f>SUM(Y106:Y131)</f>
        <v>164.48000000000002</v>
      </c>
      <c r="Z168" s="387">
        <f t="shared" ref="Z168:AJ168" si="75">SUM(Z106:Z131)</f>
        <v>166.64743945000001</v>
      </c>
      <c r="AA168" s="387">
        <f t="shared" si="75"/>
        <v>186.59442810999997</v>
      </c>
      <c r="AB168" s="387">
        <f t="shared" si="75"/>
        <v>183.16542810999999</v>
      </c>
      <c r="AC168" s="387">
        <f t="shared" si="75"/>
        <v>189.69170779999999</v>
      </c>
      <c r="AD168" s="387">
        <f t="shared" si="75"/>
        <v>185.59335406</v>
      </c>
      <c r="AE168" s="387">
        <f t="shared" si="75"/>
        <v>196.36259740999998</v>
      </c>
      <c r="AF168" s="387">
        <f t="shared" si="75"/>
        <v>193.50864504</v>
      </c>
      <c r="AG168" s="387">
        <f t="shared" si="75"/>
        <v>189.36345453999999</v>
      </c>
      <c r="AH168" s="387">
        <f t="shared" si="75"/>
        <v>189.27817172999997</v>
      </c>
      <c r="AI168" s="387">
        <f t="shared" si="75"/>
        <v>189.46678417000001</v>
      </c>
      <c r="AJ168" s="387">
        <f t="shared" si="75"/>
        <v>191.09178730999997</v>
      </c>
      <c r="AK168" s="387">
        <f>SUM(AK106:AK131)</f>
        <v>191.3801148</v>
      </c>
      <c r="AL168" s="387">
        <f>SUM(AL106:AL131)</f>
        <v>182.83287546</v>
      </c>
      <c r="AM168" s="387">
        <f>SUM(AM106:AM131)</f>
        <v>182.83287546</v>
      </c>
      <c r="AN168" s="77"/>
      <c r="AO168" s="101">
        <f>SUM(Y168:AJ168)</f>
        <v>2225.2437977299996</v>
      </c>
    </row>
    <row r="169" spans="1:44" s="56" customFormat="1" x14ac:dyDescent="0.3">
      <c r="A169" s="249"/>
      <c r="B169" s="388" t="s">
        <v>130</v>
      </c>
      <c r="C169" s="220" t="s">
        <v>139</v>
      </c>
      <c r="D169" s="379" t="s">
        <v>132</v>
      </c>
      <c r="G169" s="203"/>
      <c r="H169" s="203"/>
      <c r="I169" s="203">
        <f t="shared" ref="I169:T169" si="76">SUM(I107:I109,I135:I137,I153,I157,I158,I105,I106,I132)</f>
        <v>186.57</v>
      </c>
      <c r="J169" s="203">
        <f t="shared" si="76"/>
        <v>180.2840343</v>
      </c>
      <c r="K169" s="203">
        <f t="shared" si="76"/>
        <v>184.44816493999997</v>
      </c>
      <c r="L169" s="203">
        <f t="shared" si="76"/>
        <v>182.09812309999998</v>
      </c>
      <c r="M169" s="203">
        <f t="shared" si="76"/>
        <v>170.64329082</v>
      </c>
      <c r="N169" s="203">
        <f t="shared" si="76"/>
        <v>161.30545953000001</v>
      </c>
      <c r="O169" s="203">
        <f t="shared" si="76"/>
        <v>157.29500000000002</v>
      </c>
      <c r="P169" s="203">
        <f t="shared" si="76"/>
        <v>129.58999999999997</v>
      </c>
      <c r="Q169" s="203">
        <f t="shared" si="76"/>
        <v>127.31859380999998</v>
      </c>
      <c r="R169" s="203">
        <f t="shared" si="76"/>
        <v>131.86617382</v>
      </c>
      <c r="S169" s="203">
        <f t="shared" si="76"/>
        <v>149.82999999999998</v>
      </c>
      <c r="T169" s="203">
        <f t="shared" si="76"/>
        <v>159.02000000000004</v>
      </c>
      <c r="U169" s="203">
        <f t="shared" ref="U169:AI169" si="77">SUM(U107:U110,U135:U137,U153,U157,U158,U105,U106,U132)</f>
        <v>157.19</v>
      </c>
      <c r="V169" s="203">
        <f>SUM(V107:V110,V135:V137,V153,V157,V158,V105,V106,V132)</f>
        <v>163.95000000000002</v>
      </c>
      <c r="W169" s="203">
        <f t="shared" si="77"/>
        <v>162.36240770999999</v>
      </c>
      <c r="X169" s="203">
        <f t="shared" si="77"/>
        <v>162.32</v>
      </c>
      <c r="Y169" s="203">
        <f t="shared" si="77"/>
        <v>153.23699999999999</v>
      </c>
      <c r="Z169" s="203">
        <f t="shared" si="77"/>
        <v>146.16743944999999</v>
      </c>
      <c r="AA169" s="203">
        <f t="shared" si="77"/>
        <v>154.12442811</v>
      </c>
      <c r="AB169" s="203">
        <f t="shared" si="77"/>
        <v>151.09542811</v>
      </c>
      <c r="AC169" s="203">
        <f t="shared" si="77"/>
        <v>155.31170779999999</v>
      </c>
      <c r="AD169" s="203">
        <f t="shared" si="77"/>
        <v>150.79335405999998</v>
      </c>
      <c r="AE169" s="203">
        <f t="shared" si="77"/>
        <v>156.32259741000001</v>
      </c>
      <c r="AF169" s="203">
        <f t="shared" si="77"/>
        <v>157.24864504000001</v>
      </c>
      <c r="AG169" s="203">
        <f t="shared" si="77"/>
        <v>154.26345454000003</v>
      </c>
      <c r="AH169" s="203">
        <f t="shared" si="77"/>
        <v>154.67817173</v>
      </c>
      <c r="AI169" s="203">
        <f t="shared" si="77"/>
        <v>154.36678416999999</v>
      </c>
      <c r="AJ169" s="203">
        <f>SUM(AJ107:AJ110,AJ135:AJ137,AJ153,AJ157,AJ158,AJ105,AJ106,AJ132)</f>
        <v>156.07178730999999</v>
      </c>
      <c r="AK169" s="203">
        <f>SUM(AK107:AK110,AK135:AK137,AK153,AK157,AK158,AK105,AK106,AK132)</f>
        <v>154.8201148</v>
      </c>
      <c r="AL169" s="203">
        <f>SUM(AL107:AL110,AL135:AL137,AL153,AL157,AL158,AL105,AL106,AL132)</f>
        <v>145.76287545999998</v>
      </c>
      <c r="AM169" s="203">
        <f>SUM(AM107:AM110,AM135:AM137,AM153,AM157,AM158,AM105,AM106,AM132)</f>
        <v>147.26287545999998</v>
      </c>
      <c r="AN169" s="77"/>
      <c r="AO169" s="101">
        <f t="shared" ref="AO169:AO177" si="78">SUM(Y169:AJ169)</f>
        <v>1843.6807977300002</v>
      </c>
    </row>
    <row r="170" spans="1:44" s="56" customFormat="1" x14ac:dyDescent="0.3">
      <c r="A170" s="249"/>
      <c r="B170" s="389" t="s">
        <v>130</v>
      </c>
      <c r="C170" s="390" t="s">
        <v>140</v>
      </c>
      <c r="D170" s="391" t="s">
        <v>132</v>
      </c>
      <c r="G170" s="392"/>
      <c r="H170" s="392"/>
      <c r="I170" s="392"/>
      <c r="J170" s="392"/>
      <c r="K170" s="392"/>
      <c r="L170" s="392"/>
      <c r="M170" s="392"/>
      <c r="N170" s="392"/>
      <c r="O170" s="392"/>
      <c r="P170" s="392"/>
      <c r="Q170" s="392"/>
      <c r="R170" s="392">
        <f t="shared" ref="R170:AJ170" si="79">R169-R105-R106</f>
        <v>130.74</v>
      </c>
      <c r="S170" s="392">
        <f t="shared" si="79"/>
        <v>148.42999999999998</v>
      </c>
      <c r="T170" s="392">
        <f t="shared" si="79"/>
        <v>158.00000000000003</v>
      </c>
      <c r="U170" s="392">
        <f t="shared" si="79"/>
        <v>155.74</v>
      </c>
      <c r="V170" s="392">
        <f t="shared" si="79"/>
        <v>162.5</v>
      </c>
      <c r="W170" s="392">
        <f t="shared" si="79"/>
        <v>160.96240770999998</v>
      </c>
      <c r="X170" s="392">
        <f t="shared" si="79"/>
        <v>161.12</v>
      </c>
      <c r="Y170" s="392">
        <f t="shared" si="79"/>
        <v>151.83699999999999</v>
      </c>
      <c r="Z170" s="392">
        <f t="shared" si="79"/>
        <v>144.86743945000001</v>
      </c>
      <c r="AA170" s="392">
        <f t="shared" si="79"/>
        <v>152.77442811</v>
      </c>
      <c r="AB170" s="392">
        <f t="shared" si="79"/>
        <v>149.94542810999999</v>
      </c>
      <c r="AC170" s="392">
        <f t="shared" si="79"/>
        <v>154.06170779999999</v>
      </c>
      <c r="AD170" s="392">
        <f t="shared" si="79"/>
        <v>149.59335406</v>
      </c>
      <c r="AE170" s="392">
        <f t="shared" si="79"/>
        <v>154.92259741000001</v>
      </c>
      <c r="AF170" s="392">
        <f t="shared" si="79"/>
        <v>155.74864504000001</v>
      </c>
      <c r="AG170" s="392">
        <f t="shared" si="79"/>
        <v>152.86345454000002</v>
      </c>
      <c r="AH170" s="392">
        <f t="shared" si="79"/>
        <v>153.27817173</v>
      </c>
      <c r="AI170" s="392">
        <f t="shared" si="79"/>
        <v>153.06678417000001</v>
      </c>
      <c r="AJ170" s="392">
        <f t="shared" si="79"/>
        <v>154.82178730999999</v>
      </c>
      <c r="AK170" s="392">
        <f>AK169-AK105-AK106</f>
        <v>153.62011480000001</v>
      </c>
      <c r="AL170" s="392">
        <f>AL169-AL105-AL106</f>
        <v>144.56287545999999</v>
      </c>
      <c r="AM170" s="392">
        <f>AM169-AM105-AM106</f>
        <v>146.06287545999999</v>
      </c>
      <c r="AN170" s="77"/>
      <c r="AO170" s="101">
        <f t="shared" si="78"/>
        <v>1827.7807977300001</v>
      </c>
    </row>
    <row r="171" spans="1:44" s="56" customFormat="1" x14ac:dyDescent="0.3">
      <c r="A171" s="249"/>
      <c r="B171" s="388" t="s">
        <v>130</v>
      </c>
      <c r="C171" s="220" t="s">
        <v>141</v>
      </c>
      <c r="D171" s="379" t="s">
        <v>132</v>
      </c>
      <c r="G171" s="203"/>
      <c r="H171" s="203"/>
      <c r="I171" s="203">
        <f t="shared" ref="I171:AJ171" si="80">I111+I112</f>
        <v>45.760000000000005</v>
      </c>
      <c r="J171" s="203">
        <f t="shared" si="80"/>
        <v>46.2</v>
      </c>
      <c r="K171" s="203">
        <f t="shared" si="80"/>
        <v>46.2</v>
      </c>
      <c r="L171" s="203">
        <f t="shared" si="80"/>
        <v>46.2</v>
      </c>
      <c r="M171" s="203">
        <f t="shared" si="80"/>
        <v>44</v>
      </c>
      <c r="N171" s="203">
        <f t="shared" si="80"/>
        <v>44</v>
      </c>
      <c r="O171" s="203">
        <f t="shared" si="80"/>
        <v>33</v>
      </c>
      <c r="P171" s="203">
        <f t="shared" si="80"/>
        <v>30</v>
      </c>
      <c r="Q171" s="203">
        <f t="shared" si="80"/>
        <v>31</v>
      </c>
      <c r="R171" s="203">
        <f t="shared" si="80"/>
        <v>35</v>
      </c>
      <c r="S171" s="203">
        <f t="shared" si="80"/>
        <v>39</v>
      </c>
      <c r="T171" s="203">
        <f t="shared" si="80"/>
        <v>40</v>
      </c>
      <c r="U171" s="203">
        <f t="shared" si="80"/>
        <v>41</v>
      </c>
      <c r="V171" s="203">
        <f t="shared" si="80"/>
        <v>43</v>
      </c>
      <c r="W171" s="203">
        <f t="shared" si="80"/>
        <v>41</v>
      </c>
      <c r="X171" s="203">
        <f t="shared" si="80"/>
        <v>42</v>
      </c>
      <c r="Y171" s="203">
        <f t="shared" si="80"/>
        <v>40</v>
      </c>
      <c r="Z171" s="203">
        <f t="shared" si="80"/>
        <v>39.4</v>
      </c>
      <c r="AA171" s="203">
        <f t="shared" si="80"/>
        <v>43</v>
      </c>
      <c r="AB171" s="203">
        <f t="shared" si="80"/>
        <v>42</v>
      </c>
      <c r="AC171" s="203">
        <f t="shared" si="80"/>
        <v>44</v>
      </c>
      <c r="AD171" s="203">
        <f t="shared" si="80"/>
        <v>44</v>
      </c>
      <c r="AE171" s="203">
        <f t="shared" si="80"/>
        <v>44</v>
      </c>
      <c r="AF171" s="203">
        <f t="shared" si="80"/>
        <v>44</v>
      </c>
      <c r="AG171" s="203">
        <f t="shared" si="80"/>
        <v>44</v>
      </c>
      <c r="AH171" s="203">
        <f t="shared" si="80"/>
        <v>44</v>
      </c>
      <c r="AI171" s="203">
        <f t="shared" si="80"/>
        <v>44</v>
      </c>
      <c r="AJ171" s="203">
        <f t="shared" si="80"/>
        <v>44</v>
      </c>
      <c r="AK171" s="203">
        <f>AK111+AK112</f>
        <v>44</v>
      </c>
      <c r="AL171" s="203">
        <f>AL111+AL112</f>
        <v>44</v>
      </c>
      <c r="AM171" s="203">
        <f>AM111+AM112</f>
        <v>44</v>
      </c>
      <c r="AN171" s="77"/>
      <c r="AO171" s="101">
        <f t="shared" si="78"/>
        <v>516.4</v>
      </c>
    </row>
    <row r="172" spans="1:44" s="56" customFormat="1" x14ac:dyDescent="0.3">
      <c r="A172" s="249"/>
      <c r="B172" s="388" t="s">
        <v>130</v>
      </c>
      <c r="C172" s="220" t="s">
        <v>142</v>
      </c>
      <c r="D172" s="379" t="s">
        <v>132</v>
      </c>
      <c r="G172" s="203"/>
      <c r="H172" s="203"/>
      <c r="I172" s="203">
        <f t="shared" ref="I172:U172" si="81">I117+I118+I140+I141+I154</f>
        <v>2.4</v>
      </c>
      <c r="J172" s="203">
        <f t="shared" si="81"/>
        <v>1.8</v>
      </c>
      <c r="K172" s="203">
        <f t="shared" si="81"/>
        <v>2.4</v>
      </c>
      <c r="L172" s="203">
        <f t="shared" si="81"/>
        <v>2.4</v>
      </c>
      <c r="M172" s="203">
        <f t="shared" si="81"/>
        <v>4.33</v>
      </c>
      <c r="N172" s="203">
        <f t="shared" si="81"/>
        <v>4.2</v>
      </c>
      <c r="O172" s="203">
        <f t="shared" si="81"/>
        <v>3</v>
      </c>
      <c r="P172" s="203">
        <f t="shared" si="81"/>
        <v>1.8</v>
      </c>
      <c r="Q172" s="203">
        <f t="shared" si="81"/>
        <v>1.8</v>
      </c>
      <c r="R172" s="203">
        <f t="shared" si="81"/>
        <v>1.8</v>
      </c>
      <c r="S172" s="203">
        <f t="shared" si="81"/>
        <v>1.8</v>
      </c>
      <c r="T172" s="203">
        <f t="shared" si="81"/>
        <v>1.8</v>
      </c>
      <c r="U172" s="203">
        <f t="shared" si="81"/>
        <v>2.4</v>
      </c>
      <c r="V172" s="203">
        <f>V117+V118+V140+V141+V154+V119</f>
        <v>2.6</v>
      </c>
      <c r="W172" s="203">
        <f>W117+W118+W140+W141+W154+W119</f>
        <v>4.2</v>
      </c>
      <c r="X172" s="203">
        <f>X117+X118+X140+X141+X154+X119</f>
        <v>4.2</v>
      </c>
      <c r="Y172" s="203">
        <f>Y117+Y118+Y140+Y141+Y142+Y154+Y119</f>
        <v>4.4000000000000004</v>
      </c>
      <c r="Z172" s="203">
        <f t="shared" ref="Z172:AJ172" si="82">Z117+Z118+Z140+Z141+Z142+Z154+Z119</f>
        <v>5</v>
      </c>
      <c r="AA172" s="203">
        <f t="shared" si="82"/>
        <v>4.2</v>
      </c>
      <c r="AB172" s="203">
        <f t="shared" si="82"/>
        <v>4.2</v>
      </c>
      <c r="AC172" s="203">
        <f t="shared" si="82"/>
        <v>4.2</v>
      </c>
      <c r="AD172" s="203">
        <f t="shared" si="82"/>
        <v>4.2</v>
      </c>
      <c r="AE172" s="203">
        <f t="shared" si="82"/>
        <v>4.2</v>
      </c>
      <c r="AF172" s="203">
        <f t="shared" si="82"/>
        <v>4.2</v>
      </c>
      <c r="AG172" s="203">
        <f t="shared" si="82"/>
        <v>4.2</v>
      </c>
      <c r="AH172" s="203">
        <f t="shared" si="82"/>
        <v>4.2</v>
      </c>
      <c r="AI172" s="203">
        <f t="shared" si="82"/>
        <v>4.2</v>
      </c>
      <c r="AJ172" s="203">
        <f t="shared" si="82"/>
        <v>4.2</v>
      </c>
      <c r="AK172" s="203">
        <f>AK117+AK118+AK140+AK141+AK142+AK154+AK119</f>
        <v>4.2</v>
      </c>
      <c r="AL172" s="203">
        <f>AL117+AL118+AL140+AL141+AL142+AL154+AL119</f>
        <v>4.2</v>
      </c>
      <c r="AM172" s="203">
        <f>AM117+AM118+AM140+AM141+AM142+AM154+AM119</f>
        <v>4.2</v>
      </c>
      <c r="AN172" s="77"/>
      <c r="AO172" s="101">
        <f t="shared" si="78"/>
        <v>51.400000000000013</v>
      </c>
    </row>
    <row r="173" spans="1:44" s="56" customFormat="1" ht="12" customHeight="1" x14ac:dyDescent="0.3">
      <c r="A173" s="249"/>
      <c r="B173" s="388" t="s">
        <v>130</v>
      </c>
      <c r="C173" s="220" t="s">
        <v>143</v>
      </c>
      <c r="D173" s="379" t="s">
        <v>132</v>
      </c>
      <c r="G173" s="203"/>
      <c r="H173" s="203"/>
      <c r="I173" s="203">
        <f t="shared" ref="I173:AM173" si="83">I120+I121+I133+I143+I144+I155</f>
        <v>3.8</v>
      </c>
      <c r="J173" s="203">
        <f t="shared" si="83"/>
        <v>6.4</v>
      </c>
      <c r="K173" s="203">
        <f t="shared" si="83"/>
        <v>5.6</v>
      </c>
      <c r="L173" s="203">
        <f t="shared" si="83"/>
        <v>6.4</v>
      </c>
      <c r="M173" s="203">
        <f t="shared" si="83"/>
        <v>15</v>
      </c>
      <c r="N173" s="203">
        <f t="shared" si="83"/>
        <v>15</v>
      </c>
      <c r="O173" s="203">
        <f t="shared" si="83"/>
        <v>14.16</v>
      </c>
      <c r="P173" s="203">
        <f t="shared" si="83"/>
        <v>10.5</v>
      </c>
      <c r="Q173" s="203">
        <f t="shared" si="83"/>
        <v>10</v>
      </c>
      <c r="R173" s="203">
        <f t="shared" si="83"/>
        <v>14.98</v>
      </c>
      <c r="S173" s="203">
        <f t="shared" si="83"/>
        <v>15.5</v>
      </c>
      <c r="T173" s="203">
        <f t="shared" si="83"/>
        <v>14.4</v>
      </c>
      <c r="U173" s="203">
        <f t="shared" si="83"/>
        <v>15.6</v>
      </c>
      <c r="V173" s="203">
        <f t="shared" si="83"/>
        <v>17.5</v>
      </c>
      <c r="W173" s="203">
        <f t="shared" si="83"/>
        <v>15</v>
      </c>
      <c r="X173" s="203">
        <f t="shared" si="83"/>
        <v>15.7</v>
      </c>
      <c r="Y173" s="203">
        <f t="shared" si="83"/>
        <v>11.3</v>
      </c>
      <c r="Z173" s="203">
        <f t="shared" si="83"/>
        <v>13.2</v>
      </c>
      <c r="AA173" s="203">
        <f t="shared" si="83"/>
        <v>15</v>
      </c>
      <c r="AB173" s="203">
        <f t="shared" si="83"/>
        <v>15</v>
      </c>
      <c r="AC173" s="203">
        <f t="shared" si="83"/>
        <v>15</v>
      </c>
      <c r="AD173" s="203">
        <f t="shared" si="83"/>
        <v>15</v>
      </c>
      <c r="AE173" s="203">
        <f t="shared" si="83"/>
        <v>15</v>
      </c>
      <c r="AF173" s="203">
        <f t="shared" si="83"/>
        <v>15</v>
      </c>
      <c r="AG173" s="203">
        <f t="shared" si="83"/>
        <v>15</v>
      </c>
      <c r="AH173" s="203">
        <f t="shared" si="83"/>
        <v>15</v>
      </c>
      <c r="AI173" s="203">
        <f t="shared" si="83"/>
        <v>15</v>
      </c>
      <c r="AJ173" s="203">
        <f t="shared" si="83"/>
        <v>15</v>
      </c>
      <c r="AK173" s="203">
        <f t="shared" si="83"/>
        <v>15</v>
      </c>
      <c r="AL173" s="203">
        <f t="shared" si="83"/>
        <v>15</v>
      </c>
      <c r="AM173" s="203">
        <f t="shared" si="83"/>
        <v>15</v>
      </c>
      <c r="AN173" s="77"/>
      <c r="AO173" s="101">
        <f t="shared" si="78"/>
        <v>174.5</v>
      </c>
    </row>
    <row r="174" spans="1:44" s="56" customFormat="1" ht="12.65" customHeight="1" x14ac:dyDescent="0.3">
      <c r="A174" s="249"/>
      <c r="B174" s="388" t="s">
        <v>130</v>
      </c>
      <c r="C174" s="220" t="s">
        <v>144</v>
      </c>
      <c r="D174" s="379" t="s">
        <v>132</v>
      </c>
      <c r="G174" s="203"/>
      <c r="H174" s="203"/>
      <c r="I174" s="203"/>
      <c r="J174" s="203"/>
      <c r="K174" s="203"/>
      <c r="L174" s="203"/>
      <c r="M174" s="203"/>
      <c r="N174" s="203"/>
      <c r="O174" s="203"/>
      <c r="P174" s="203"/>
      <c r="Q174" s="203"/>
      <c r="R174" s="203"/>
      <c r="S174" s="203"/>
      <c r="T174" s="203">
        <f t="shared" ref="T174:AJ174" si="84">T122+T156</f>
        <v>0</v>
      </c>
      <c r="U174" s="203">
        <f t="shared" si="84"/>
        <v>0</v>
      </c>
      <c r="V174" s="203">
        <f t="shared" si="84"/>
        <v>0</v>
      </c>
      <c r="W174" s="203">
        <f t="shared" si="84"/>
        <v>0</v>
      </c>
      <c r="X174" s="203">
        <f t="shared" si="84"/>
        <v>0</v>
      </c>
      <c r="Y174" s="203">
        <f t="shared" si="84"/>
        <v>0</v>
      </c>
      <c r="Z174" s="203">
        <f t="shared" si="84"/>
        <v>0</v>
      </c>
      <c r="AA174" s="203">
        <f t="shared" si="84"/>
        <v>0</v>
      </c>
      <c r="AB174" s="203">
        <f t="shared" si="84"/>
        <v>0</v>
      </c>
      <c r="AC174" s="203">
        <f t="shared" si="84"/>
        <v>0</v>
      </c>
      <c r="AD174" s="203">
        <f t="shared" si="84"/>
        <v>0</v>
      </c>
      <c r="AE174" s="203">
        <f t="shared" si="84"/>
        <v>0</v>
      </c>
      <c r="AF174" s="203">
        <f t="shared" si="84"/>
        <v>0</v>
      </c>
      <c r="AG174" s="203">
        <f t="shared" si="84"/>
        <v>0</v>
      </c>
      <c r="AH174" s="203">
        <f t="shared" si="84"/>
        <v>0</v>
      </c>
      <c r="AI174" s="203">
        <f t="shared" si="84"/>
        <v>0</v>
      </c>
      <c r="AJ174" s="203">
        <f t="shared" si="84"/>
        <v>0</v>
      </c>
      <c r="AK174" s="203">
        <f>AK122+AK156</f>
        <v>0</v>
      </c>
      <c r="AL174" s="203">
        <f>AL122+AL156</f>
        <v>0</v>
      </c>
      <c r="AM174" s="203">
        <f>AM122+AM156</f>
        <v>0</v>
      </c>
      <c r="AN174" s="77"/>
      <c r="AO174" s="101">
        <f t="shared" si="78"/>
        <v>0</v>
      </c>
    </row>
    <row r="175" spans="1:44" s="56" customFormat="1" ht="12.65" customHeight="1" x14ac:dyDescent="0.3">
      <c r="A175" s="249"/>
      <c r="B175" s="388" t="s">
        <v>130</v>
      </c>
      <c r="C175" s="220" t="s">
        <v>145</v>
      </c>
      <c r="D175" s="379" t="s">
        <v>132</v>
      </c>
      <c r="G175" s="203"/>
      <c r="H175" s="203"/>
      <c r="I175" s="203"/>
      <c r="J175" s="203"/>
      <c r="K175" s="203"/>
      <c r="L175" s="203"/>
      <c r="M175" s="203"/>
      <c r="N175" s="203"/>
      <c r="O175" s="203"/>
      <c r="P175" s="203"/>
      <c r="Q175" s="203"/>
      <c r="R175" s="203"/>
      <c r="S175" s="203"/>
      <c r="T175" s="203"/>
      <c r="U175" s="203"/>
      <c r="V175" s="203"/>
      <c r="W175" s="203">
        <f>W113+W114+W138+W139</f>
        <v>0</v>
      </c>
      <c r="X175" s="203">
        <f t="shared" ref="X175:AJ175" si="85">X113+X114+X138+X139</f>
        <v>0</v>
      </c>
      <c r="Y175" s="203">
        <f t="shared" si="85"/>
        <v>0</v>
      </c>
      <c r="Z175" s="203">
        <f t="shared" si="85"/>
        <v>0</v>
      </c>
      <c r="AA175" s="203">
        <f t="shared" si="85"/>
        <v>0</v>
      </c>
      <c r="AB175" s="203">
        <f t="shared" si="85"/>
        <v>0</v>
      </c>
      <c r="AC175" s="203">
        <f t="shared" si="85"/>
        <v>0</v>
      </c>
      <c r="AD175" s="203">
        <f t="shared" si="85"/>
        <v>0</v>
      </c>
      <c r="AE175" s="203">
        <f t="shared" si="85"/>
        <v>0</v>
      </c>
      <c r="AF175" s="203">
        <f t="shared" si="85"/>
        <v>0</v>
      </c>
      <c r="AG175" s="203">
        <f t="shared" si="85"/>
        <v>0</v>
      </c>
      <c r="AH175" s="203">
        <f t="shared" si="85"/>
        <v>0</v>
      </c>
      <c r="AI175" s="203">
        <f t="shared" si="85"/>
        <v>0</v>
      </c>
      <c r="AJ175" s="203">
        <f t="shared" si="85"/>
        <v>0</v>
      </c>
      <c r="AK175" s="203">
        <f>AK113+AK114+AK138+AK139</f>
        <v>0</v>
      </c>
      <c r="AL175" s="203">
        <f>AL113+AL114+AL138+AL139</f>
        <v>0</v>
      </c>
      <c r="AM175" s="203">
        <f>AM113+AM114+AM138+AM139</f>
        <v>0</v>
      </c>
      <c r="AN175" s="77"/>
      <c r="AO175" s="101">
        <f t="shared" si="78"/>
        <v>0</v>
      </c>
    </row>
    <row r="176" spans="1:44" s="56" customFormat="1" ht="12.65" customHeight="1" x14ac:dyDescent="0.3">
      <c r="A176" s="249"/>
      <c r="B176" s="388" t="s">
        <v>130</v>
      </c>
      <c r="C176" s="220" t="s">
        <v>146</v>
      </c>
      <c r="D176" s="379" t="s">
        <v>132</v>
      </c>
      <c r="G176" s="203"/>
      <c r="H176" s="203"/>
      <c r="I176" s="203"/>
      <c r="J176" s="203"/>
      <c r="K176" s="203"/>
      <c r="L176" s="203"/>
      <c r="M176" s="203"/>
      <c r="N176" s="203"/>
      <c r="O176" s="203"/>
      <c r="P176" s="203"/>
      <c r="Q176" s="203"/>
      <c r="R176" s="203"/>
      <c r="S176" s="203"/>
      <c r="T176" s="203"/>
      <c r="U176" s="203"/>
      <c r="V176" s="203"/>
      <c r="W176" s="203">
        <f>W115+W116</f>
        <v>0</v>
      </c>
      <c r="X176" s="203">
        <f t="shared" ref="X176:AJ176" si="86">X115+X116</f>
        <v>0</v>
      </c>
      <c r="Y176" s="203">
        <f t="shared" si="86"/>
        <v>0</v>
      </c>
      <c r="Z176" s="203">
        <f t="shared" si="86"/>
        <v>0</v>
      </c>
      <c r="AA176" s="203">
        <f t="shared" si="86"/>
        <v>0</v>
      </c>
      <c r="AB176" s="203">
        <f t="shared" si="86"/>
        <v>0</v>
      </c>
      <c r="AC176" s="203">
        <f t="shared" si="86"/>
        <v>0</v>
      </c>
      <c r="AD176" s="203">
        <f t="shared" si="86"/>
        <v>0</v>
      </c>
      <c r="AE176" s="203">
        <f t="shared" si="86"/>
        <v>0</v>
      </c>
      <c r="AF176" s="203">
        <f t="shared" si="86"/>
        <v>0</v>
      </c>
      <c r="AG176" s="203">
        <f t="shared" si="86"/>
        <v>0</v>
      </c>
      <c r="AH176" s="203">
        <f t="shared" si="86"/>
        <v>0</v>
      </c>
      <c r="AI176" s="203">
        <f t="shared" si="86"/>
        <v>0</v>
      </c>
      <c r="AJ176" s="203">
        <f t="shared" si="86"/>
        <v>0</v>
      </c>
      <c r="AK176" s="203">
        <f>AK115+AK116</f>
        <v>0</v>
      </c>
      <c r="AL176" s="203">
        <f>AL115+AL116</f>
        <v>0</v>
      </c>
      <c r="AM176" s="203">
        <f>AM115+AM116</f>
        <v>0</v>
      </c>
      <c r="AN176" s="77"/>
      <c r="AO176" s="101">
        <f t="shared" si="78"/>
        <v>0</v>
      </c>
    </row>
    <row r="177" spans="1:44" s="56" customFormat="1" ht="12.65" customHeight="1" thickBot="1" x14ac:dyDescent="0.35">
      <c r="A177" s="249"/>
      <c r="B177" s="393" t="s">
        <v>130</v>
      </c>
      <c r="C177" s="394" t="s">
        <v>147</v>
      </c>
      <c r="D177" s="395" t="s">
        <v>132</v>
      </c>
      <c r="G177" s="203"/>
      <c r="H177" s="203"/>
      <c r="I177" s="203"/>
      <c r="J177" s="203"/>
      <c r="K177" s="203"/>
      <c r="L177" s="203"/>
      <c r="M177" s="203"/>
      <c r="N177" s="203"/>
      <c r="O177" s="203"/>
      <c r="P177" s="203"/>
      <c r="Q177" s="203"/>
      <c r="R177" s="203"/>
      <c r="S177" s="203"/>
      <c r="T177" s="203"/>
      <c r="U177" s="203"/>
      <c r="V177" s="203"/>
      <c r="W177" s="203">
        <f>W125+W126+W147+W148</f>
        <v>0</v>
      </c>
      <c r="X177" s="203">
        <f t="shared" ref="X177:AJ177" si="87">X125+X126+X147+X148</f>
        <v>0</v>
      </c>
      <c r="Y177" s="203">
        <f t="shared" si="87"/>
        <v>0</v>
      </c>
      <c r="Z177" s="203">
        <f t="shared" si="87"/>
        <v>0</v>
      </c>
      <c r="AA177" s="203">
        <f t="shared" si="87"/>
        <v>0</v>
      </c>
      <c r="AB177" s="203">
        <f t="shared" si="87"/>
        <v>0</v>
      </c>
      <c r="AC177" s="203">
        <f t="shared" si="87"/>
        <v>0</v>
      </c>
      <c r="AD177" s="203">
        <f t="shared" si="87"/>
        <v>0</v>
      </c>
      <c r="AE177" s="203">
        <f t="shared" si="87"/>
        <v>0</v>
      </c>
      <c r="AF177" s="203">
        <f t="shared" si="87"/>
        <v>0</v>
      </c>
      <c r="AG177" s="203">
        <f t="shared" si="87"/>
        <v>0</v>
      </c>
      <c r="AH177" s="203">
        <f t="shared" si="87"/>
        <v>0</v>
      </c>
      <c r="AI177" s="203">
        <f t="shared" si="87"/>
        <v>0</v>
      </c>
      <c r="AJ177" s="203">
        <f t="shared" si="87"/>
        <v>0</v>
      </c>
      <c r="AK177" s="203">
        <f>AK125+AK126+AK147+AK148</f>
        <v>0</v>
      </c>
      <c r="AL177" s="203">
        <f>AL125+AL126+AL147+AL148</f>
        <v>0</v>
      </c>
      <c r="AM177" s="203">
        <f>AM125+AM126+AM147+AM148</f>
        <v>0</v>
      </c>
      <c r="AN177" s="77"/>
      <c r="AO177" s="101">
        <f t="shared" si="78"/>
        <v>0</v>
      </c>
    </row>
    <row r="178" spans="1:44" s="56" customFormat="1" ht="14.5" thickBot="1" x14ac:dyDescent="0.35">
      <c r="A178" s="366" t="s">
        <v>148</v>
      </c>
      <c r="B178" s="393" t="s">
        <v>149</v>
      </c>
      <c r="C178" s="394" t="s">
        <v>150</v>
      </c>
      <c r="D178" s="395" t="s">
        <v>149</v>
      </c>
      <c r="E178" s="60">
        <f>SUM(E95:E158)</f>
        <v>43944.538999999997</v>
      </c>
      <c r="F178" s="60">
        <f>SUM(F95:F158)</f>
        <v>43958.297005059998</v>
      </c>
      <c r="G178" s="60">
        <f>SUM(G95:G158)</f>
        <v>44027.982716919993</v>
      </c>
      <c r="H178" s="60">
        <f>SUM(H95:H158)</f>
        <v>44046.748237969987</v>
      </c>
      <c r="I178" s="396">
        <f t="shared" ref="I178:Y178" si="88">SUM(I97:I158)</f>
        <v>307.97699999999998</v>
      </c>
      <c r="J178" s="396">
        <f t="shared" si="88"/>
        <v>311.40103429999999</v>
      </c>
      <c r="K178" s="396">
        <f t="shared" si="88"/>
        <v>310.49016493999994</v>
      </c>
      <c r="L178" s="396">
        <f t="shared" si="88"/>
        <v>301.83112309999996</v>
      </c>
      <c r="M178" s="396">
        <f t="shared" si="88"/>
        <v>297.98329081999998</v>
      </c>
      <c r="N178" s="396">
        <f t="shared" si="88"/>
        <v>287.21145953000001</v>
      </c>
      <c r="O178" s="396">
        <f t="shared" si="88"/>
        <v>287.78300000000007</v>
      </c>
      <c r="P178" s="396">
        <f t="shared" si="88"/>
        <v>293.58999999999986</v>
      </c>
      <c r="Q178" s="396">
        <f t="shared" si="88"/>
        <v>243.57659381000002</v>
      </c>
      <c r="R178" s="396">
        <f t="shared" si="88"/>
        <v>282.79017382000001</v>
      </c>
      <c r="S178" s="397">
        <f t="shared" si="88"/>
        <v>301.85999999999996</v>
      </c>
      <c r="T178" s="397">
        <f t="shared" si="88"/>
        <v>323.9323626373627</v>
      </c>
      <c r="U178" s="397">
        <f t="shared" si="88"/>
        <v>310.59999999999997</v>
      </c>
      <c r="V178" s="397">
        <f t="shared" si="88"/>
        <v>325.31</v>
      </c>
      <c r="W178" s="397">
        <f t="shared" si="88"/>
        <v>323.36240770999996</v>
      </c>
      <c r="X178" s="397">
        <f t="shared" si="88"/>
        <v>337.09400000000005</v>
      </c>
      <c r="Y178" s="397">
        <f t="shared" si="88"/>
        <v>323.80400000000009</v>
      </c>
      <c r="Z178" s="397">
        <f>SUM(Z97:Z158)+Z93</f>
        <v>324.90343944999995</v>
      </c>
      <c r="AA178" s="397">
        <f>SUM(AA97:AA158)+AA93</f>
        <v>343.98042810999999</v>
      </c>
      <c r="AB178" s="397">
        <f t="shared" ref="AB178:AL178" si="89">SUM(AB97:AB158)+AB93</f>
        <v>348.89142811000005</v>
      </c>
      <c r="AC178" s="397">
        <f t="shared" si="89"/>
        <v>344.7357078</v>
      </c>
      <c r="AD178" s="397">
        <f t="shared" si="89"/>
        <v>343.36835406</v>
      </c>
      <c r="AE178" s="397">
        <f t="shared" si="89"/>
        <v>353.33849826933704</v>
      </c>
      <c r="AF178" s="397">
        <f t="shared" si="89"/>
        <v>334.71164504000006</v>
      </c>
      <c r="AG178" s="397">
        <f t="shared" si="89"/>
        <v>341.54645454000001</v>
      </c>
      <c r="AH178" s="397">
        <f t="shared" si="89"/>
        <v>336.85517173</v>
      </c>
      <c r="AI178" s="397">
        <f t="shared" si="89"/>
        <v>311.50478416999999</v>
      </c>
      <c r="AJ178" s="397">
        <f t="shared" si="89"/>
        <v>348.94678730999999</v>
      </c>
      <c r="AK178" s="397">
        <f t="shared" si="89"/>
        <v>341.03611480000001</v>
      </c>
      <c r="AL178" s="397">
        <f t="shared" si="89"/>
        <v>326.69887546000001</v>
      </c>
      <c r="AM178" s="397">
        <f t="shared" ref="AM178" si="90">SUM(AM97:AM158)+AM93</f>
        <v>333.47887546000004</v>
      </c>
      <c r="AN178" s="77"/>
      <c r="AO178" s="77"/>
    </row>
    <row r="179" spans="1:44" s="56" customFormat="1" ht="22.5" thickBot="1" x14ac:dyDescent="0.45">
      <c r="A179" s="59" t="s">
        <v>151</v>
      </c>
      <c r="B179" s="55"/>
      <c r="L179" s="122"/>
      <c r="M179" s="371">
        <f t="shared" ref="M179:Z179" si="91">M178-M160</f>
        <v>188.17329081999998</v>
      </c>
      <c r="N179" s="371">
        <f t="shared" si="91"/>
        <v>202.50545953000002</v>
      </c>
      <c r="O179" s="371">
        <f t="shared" si="91"/>
        <v>168.45500000000007</v>
      </c>
      <c r="P179" s="371">
        <f t="shared" si="91"/>
        <v>172.53999999999985</v>
      </c>
      <c r="Q179" s="371">
        <f t="shared" si="91"/>
        <v>170.11859381000002</v>
      </c>
      <c r="R179" s="371">
        <f t="shared" si="91"/>
        <v>183.64617382</v>
      </c>
      <c r="S179" s="371">
        <f t="shared" si="91"/>
        <v>206.12999999999997</v>
      </c>
      <c r="T179" s="371">
        <f t="shared" si="91"/>
        <v>215.22000000000008</v>
      </c>
      <c r="U179" s="371">
        <f t="shared" si="91"/>
        <v>216.18999999999997</v>
      </c>
      <c r="V179" s="371">
        <f t="shared" si="91"/>
        <v>228.25</v>
      </c>
      <c r="W179" s="371">
        <f t="shared" si="91"/>
        <v>222.56240770999995</v>
      </c>
      <c r="X179" s="371">
        <f t="shared" si="91"/>
        <v>224.22000000000006</v>
      </c>
      <c r="Y179" s="371">
        <f t="shared" si="91"/>
        <v>208.93700000000007</v>
      </c>
      <c r="Z179" s="371">
        <f t="shared" si="91"/>
        <v>204.36743944999995</v>
      </c>
      <c r="AA179" s="371">
        <f>AA178-AA160-AA105-AA106</f>
        <v>214.97442810999999</v>
      </c>
      <c r="AB179" s="371">
        <f t="shared" ref="AB179:AM179" si="92">AB178-AB160-AB105-AB106</f>
        <v>211.14542811000004</v>
      </c>
      <c r="AC179" s="371">
        <f t="shared" si="92"/>
        <v>217.26170780000001</v>
      </c>
      <c r="AD179" s="371">
        <f t="shared" si="92"/>
        <v>212.79335406000001</v>
      </c>
      <c r="AE179" s="371">
        <f t="shared" si="92"/>
        <v>218.12259741000005</v>
      </c>
      <c r="AF179" s="371">
        <f t="shared" si="92"/>
        <v>218.94864504000006</v>
      </c>
      <c r="AG179" s="371">
        <f t="shared" si="92"/>
        <v>216.06345454000001</v>
      </c>
      <c r="AH179" s="371">
        <f t="shared" si="92"/>
        <v>216.47817172999999</v>
      </c>
      <c r="AI179" s="371">
        <f t="shared" si="92"/>
        <v>216.26678417000002</v>
      </c>
      <c r="AJ179" s="371">
        <f t="shared" si="92"/>
        <v>218.02178730999998</v>
      </c>
      <c r="AK179" s="371">
        <f t="shared" si="92"/>
        <v>216.8201148</v>
      </c>
      <c r="AL179" s="371">
        <f t="shared" si="92"/>
        <v>207.76287546000003</v>
      </c>
      <c r="AM179" s="371">
        <f t="shared" si="92"/>
        <v>209.26287546000003</v>
      </c>
      <c r="AN179" s="77"/>
      <c r="AO179" s="77"/>
    </row>
    <row r="180" spans="1:44" x14ac:dyDescent="0.3">
      <c r="A180" s="398" t="s">
        <v>14</v>
      </c>
      <c r="B180" s="399"/>
      <c r="C180" s="400"/>
      <c r="D180" s="401"/>
      <c r="E180" s="282">
        <f t="shared" ref="E180:T180" si="93">E61-E135-E136-E137-E138-E139-E140-E141-E143-E144-E145-E146-E147-E148-E149-E150-E151</f>
        <v>-1.4270000000000005</v>
      </c>
      <c r="F180" s="282">
        <f t="shared" si="93"/>
        <v>-3.0010934100000028</v>
      </c>
      <c r="G180" s="282">
        <f t="shared" si="93"/>
        <v>-8.8817841970012523E-16</v>
      </c>
      <c r="H180" s="282">
        <f t="shared" si="93"/>
        <v>-8.8817841970012523E-16</v>
      </c>
      <c r="I180" s="282">
        <f t="shared" si="93"/>
        <v>-1.3322676295501878E-15</v>
      </c>
      <c r="J180" s="282">
        <f t="shared" si="93"/>
        <v>2.6645352591003757E-15</v>
      </c>
      <c r="K180" s="282">
        <f t="shared" si="93"/>
        <v>0</v>
      </c>
      <c r="L180" s="282">
        <f t="shared" si="93"/>
        <v>-1.7763568394002505E-15</v>
      </c>
      <c r="M180" s="282">
        <f t="shared" si="93"/>
        <v>0</v>
      </c>
      <c r="N180" s="282">
        <f t="shared" si="93"/>
        <v>-3.5527136788005009E-15</v>
      </c>
      <c r="O180" s="282">
        <f t="shared" si="93"/>
        <v>0</v>
      </c>
      <c r="P180" s="282">
        <f t="shared" si="93"/>
        <v>-2.2204460492503131E-16</v>
      </c>
      <c r="Q180" s="282">
        <f t="shared" si="93"/>
        <v>2.2204460492503131E-16</v>
      </c>
      <c r="R180" s="282">
        <f t="shared" si="93"/>
        <v>0</v>
      </c>
      <c r="S180" s="282">
        <f t="shared" si="93"/>
        <v>0</v>
      </c>
      <c r="T180" s="282">
        <f t="shared" si="93"/>
        <v>-5.5511151231257827E-17</v>
      </c>
      <c r="U180" s="282">
        <f>U61-U135-U136-U137-U138-U139-U140-U141-U143-U144-U145-U146-U147-U148-U149-U150-U151</f>
        <v>0</v>
      </c>
      <c r="V180" s="282">
        <f t="shared" ref="V180:AJ180" si="94">V61-V135-V136-V137-V138-V139-V140-V141-V143-V144-V145-V146-V147-V148-V149-V150-V151</f>
        <v>0</v>
      </c>
      <c r="W180" s="282">
        <f t="shared" si="94"/>
        <v>0</v>
      </c>
      <c r="X180" s="282">
        <f t="shared" si="94"/>
        <v>0</v>
      </c>
      <c r="Y180" s="282">
        <f t="shared" si="94"/>
        <v>0.80000000000000071</v>
      </c>
      <c r="Z180" s="282">
        <f t="shared" si="94"/>
        <v>0</v>
      </c>
      <c r="AA180" s="282">
        <f t="shared" si="94"/>
        <v>0</v>
      </c>
      <c r="AB180" s="282">
        <f t="shared" si="94"/>
        <v>0</v>
      </c>
      <c r="AC180" s="282">
        <f t="shared" si="94"/>
        <v>0</v>
      </c>
      <c r="AD180" s="282">
        <f t="shared" si="94"/>
        <v>0</v>
      </c>
      <c r="AE180" s="282">
        <f t="shared" si="94"/>
        <v>0</v>
      </c>
      <c r="AF180" s="282">
        <f t="shared" si="94"/>
        <v>0</v>
      </c>
      <c r="AG180" s="282">
        <f t="shared" si="94"/>
        <v>0</v>
      </c>
      <c r="AH180" s="282">
        <f t="shared" si="94"/>
        <v>0</v>
      </c>
      <c r="AI180" s="282">
        <f t="shared" si="94"/>
        <v>0</v>
      </c>
      <c r="AJ180" s="282">
        <f t="shared" si="94"/>
        <v>0</v>
      </c>
      <c r="AK180" s="282">
        <f>AK61-AK135-AK136-AK137-AK138-AK139-AK140-AK141-AK143-AK144-AK145-AK146-AK147-AK148-AK149-AK150-AK151</f>
        <v>0</v>
      </c>
      <c r="AL180" s="282">
        <f>AL61-AL135-AL136-AL137-AL138-AL139-AL140-AL141-AL143-AL144-AL145-AL146-AL147-AL148-AL149-AL150-AL151</f>
        <v>0</v>
      </c>
      <c r="AM180" s="282">
        <f>AM61-AM135-AM136-AM137-AM138-AM139-AM140-AM141-AM143-AM144-AM145-AM146-AM147-AM148-AM149-AM150-AM151</f>
        <v>0</v>
      </c>
      <c r="AN180" s="77"/>
      <c r="AO180" s="77"/>
      <c r="AP180" s="56"/>
      <c r="AQ180" s="56"/>
      <c r="AR180" s="56"/>
    </row>
    <row r="181" spans="1:44" x14ac:dyDescent="0.3">
      <c r="A181" s="402" t="s">
        <v>69</v>
      </c>
      <c r="B181" s="403"/>
      <c r="C181" s="404"/>
      <c r="D181" s="405"/>
      <c r="E181" s="380">
        <f t="shared" ref="E181:U181" si="95">E62-E153-E155-E154-E156</f>
        <v>0</v>
      </c>
      <c r="F181" s="380">
        <f t="shared" si="95"/>
        <v>0</v>
      </c>
      <c r="G181" s="380">
        <f t="shared" si="95"/>
        <v>0</v>
      </c>
      <c r="H181" s="380">
        <f t="shared" si="95"/>
        <v>0</v>
      </c>
      <c r="I181" s="380">
        <f t="shared" si="95"/>
        <v>0</v>
      </c>
      <c r="J181" s="380">
        <f t="shared" si="95"/>
        <v>0</v>
      </c>
      <c r="K181" s="380">
        <f t="shared" si="95"/>
        <v>0</v>
      </c>
      <c r="L181" s="380">
        <f t="shared" si="95"/>
        <v>0</v>
      </c>
      <c r="M181" s="380">
        <f t="shared" si="95"/>
        <v>0</v>
      </c>
      <c r="N181" s="380">
        <f t="shared" si="95"/>
        <v>0</v>
      </c>
      <c r="O181" s="380">
        <f t="shared" si="95"/>
        <v>0.74999999999999956</v>
      </c>
      <c r="P181" s="380">
        <f t="shared" si="95"/>
        <v>0</v>
      </c>
      <c r="Q181" s="380">
        <f t="shared" si="95"/>
        <v>0</v>
      </c>
      <c r="R181" s="380">
        <f t="shared" si="95"/>
        <v>0</v>
      </c>
      <c r="S181" s="380">
        <f t="shared" si="95"/>
        <v>0</v>
      </c>
      <c r="T181" s="380">
        <f t="shared" si="95"/>
        <v>0</v>
      </c>
      <c r="U181" s="380">
        <f t="shared" si="95"/>
        <v>1.1102230246251565E-16</v>
      </c>
      <c r="V181" s="380">
        <f>V62-V153-V155-V154-V156</f>
        <v>0</v>
      </c>
      <c r="W181" s="380">
        <f t="shared" ref="W181:AJ181" si="96">W62-W153-W155-W154-W156</f>
        <v>0</v>
      </c>
      <c r="X181" s="380">
        <f t="shared" si="96"/>
        <v>-3.3306690738754696E-16</v>
      </c>
      <c r="Y181" s="380">
        <f t="shared" si="96"/>
        <v>0</v>
      </c>
      <c r="Z181" s="380">
        <f t="shared" si="96"/>
        <v>0.59999999999999964</v>
      </c>
      <c r="AA181" s="380">
        <f t="shared" si="96"/>
        <v>0</v>
      </c>
      <c r="AB181" s="380">
        <f t="shared" si="96"/>
        <v>0</v>
      </c>
      <c r="AC181" s="380">
        <f t="shared" si="96"/>
        <v>0</v>
      </c>
      <c r="AD181" s="380">
        <f t="shared" si="96"/>
        <v>0</v>
      </c>
      <c r="AE181" s="380">
        <f t="shared" si="96"/>
        <v>0</v>
      </c>
      <c r="AF181" s="380">
        <f t="shared" si="96"/>
        <v>0</v>
      </c>
      <c r="AG181" s="380">
        <f t="shared" si="96"/>
        <v>0</v>
      </c>
      <c r="AH181" s="380">
        <f t="shared" si="96"/>
        <v>0</v>
      </c>
      <c r="AI181" s="380">
        <f t="shared" si="96"/>
        <v>0</v>
      </c>
      <c r="AJ181" s="380">
        <f t="shared" si="96"/>
        <v>0</v>
      </c>
      <c r="AK181" s="380">
        <f>AK62-AK153-AK155-AK154-AK156</f>
        <v>0</v>
      </c>
      <c r="AL181" s="380">
        <f>AL62-AL153-AL155-AL154-AL156</f>
        <v>0</v>
      </c>
      <c r="AM181" s="380">
        <f>AM62-AM153-AM155-AM154-AM156</f>
        <v>0</v>
      </c>
      <c r="AN181" s="77"/>
      <c r="AO181" s="77"/>
      <c r="AP181" s="56"/>
      <c r="AQ181" s="56"/>
      <c r="AR181" s="56"/>
    </row>
    <row r="182" spans="1:44" x14ac:dyDescent="0.3">
      <c r="A182" s="402" t="s">
        <v>70</v>
      </c>
      <c r="B182" s="403"/>
      <c r="C182" s="404"/>
      <c r="D182" s="405"/>
      <c r="E182" s="380">
        <f t="shared" ref="E182:AM183" si="97">E63-E157</f>
        <v>0</v>
      </c>
      <c r="F182" s="380">
        <f t="shared" si="97"/>
        <v>0</v>
      </c>
      <c r="G182" s="380">
        <f t="shared" si="97"/>
        <v>0</v>
      </c>
      <c r="H182" s="380">
        <f t="shared" si="97"/>
        <v>0</v>
      </c>
      <c r="I182" s="380">
        <f t="shared" si="97"/>
        <v>0</v>
      </c>
      <c r="J182" s="380">
        <f t="shared" si="97"/>
        <v>0</v>
      </c>
      <c r="K182" s="380">
        <f t="shared" si="97"/>
        <v>0</v>
      </c>
      <c r="L182" s="380">
        <f t="shared" si="97"/>
        <v>0</v>
      </c>
      <c r="M182" s="380">
        <f t="shared" si="97"/>
        <v>0</v>
      </c>
      <c r="N182" s="380">
        <f t="shared" si="97"/>
        <v>0</v>
      </c>
      <c r="O182" s="380">
        <f t="shared" si="97"/>
        <v>0</v>
      </c>
      <c r="P182" s="380">
        <f t="shared" si="97"/>
        <v>0</v>
      </c>
      <c r="Q182" s="380">
        <f t="shared" si="97"/>
        <v>0</v>
      </c>
      <c r="R182" s="406">
        <f t="shared" si="97"/>
        <v>0</v>
      </c>
      <c r="S182" s="380">
        <f t="shared" si="97"/>
        <v>0</v>
      </c>
      <c r="T182" s="380">
        <f t="shared" si="97"/>
        <v>0</v>
      </c>
      <c r="U182" s="380">
        <f t="shared" si="97"/>
        <v>0</v>
      </c>
      <c r="V182" s="380">
        <f t="shared" si="97"/>
        <v>0</v>
      </c>
      <c r="W182" s="380">
        <f t="shared" si="97"/>
        <v>0</v>
      </c>
      <c r="X182" s="380">
        <f t="shared" si="97"/>
        <v>0</v>
      </c>
      <c r="Y182" s="380">
        <f t="shared" si="97"/>
        <v>0</v>
      </c>
      <c r="Z182" s="380">
        <f t="shared" si="97"/>
        <v>0</v>
      </c>
      <c r="AA182" s="380">
        <f t="shared" si="97"/>
        <v>0</v>
      </c>
      <c r="AB182" s="380">
        <f t="shared" si="97"/>
        <v>0</v>
      </c>
      <c r="AC182" s="380">
        <f t="shared" si="97"/>
        <v>0</v>
      </c>
      <c r="AD182" s="380">
        <f t="shared" si="97"/>
        <v>0</v>
      </c>
      <c r="AE182" s="380">
        <f t="shared" si="97"/>
        <v>0</v>
      </c>
      <c r="AF182" s="380">
        <f t="shared" si="97"/>
        <v>0</v>
      </c>
      <c r="AG182" s="380">
        <f t="shared" si="97"/>
        <v>0</v>
      </c>
      <c r="AH182" s="380">
        <f t="shared" si="97"/>
        <v>0</v>
      </c>
      <c r="AI182" s="380">
        <f t="shared" si="97"/>
        <v>0</v>
      </c>
      <c r="AJ182" s="380">
        <f t="shared" si="97"/>
        <v>0</v>
      </c>
      <c r="AK182" s="380">
        <f t="shared" si="97"/>
        <v>0</v>
      </c>
      <c r="AL182" s="380">
        <f t="shared" si="97"/>
        <v>0</v>
      </c>
      <c r="AM182" s="380">
        <f t="shared" si="97"/>
        <v>0</v>
      </c>
      <c r="AN182" s="77"/>
      <c r="AO182" s="77"/>
      <c r="AP182" s="56"/>
      <c r="AQ182" s="56"/>
      <c r="AR182" s="56"/>
    </row>
    <row r="183" spans="1:44" ht="14.5" thickBot="1" x14ac:dyDescent="0.35">
      <c r="A183" s="407" t="s">
        <v>71</v>
      </c>
      <c r="B183" s="408"/>
      <c r="C183" s="409"/>
      <c r="D183" s="410"/>
      <c r="E183" s="371">
        <f t="shared" si="97"/>
        <v>0</v>
      </c>
      <c r="F183" s="371">
        <f t="shared" si="97"/>
        <v>0</v>
      </c>
      <c r="G183" s="371">
        <f t="shared" si="97"/>
        <v>0</v>
      </c>
      <c r="H183" s="371">
        <f t="shared" si="97"/>
        <v>0</v>
      </c>
      <c r="I183" s="371">
        <f t="shared" si="97"/>
        <v>0</v>
      </c>
      <c r="J183" s="371">
        <f t="shared" si="97"/>
        <v>0</v>
      </c>
      <c r="K183" s="371">
        <f t="shared" si="97"/>
        <v>0</v>
      </c>
      <c r="L183" s="371">
        <f t="shared" si="97"/>
        <v>0</v>
      </c>
      <c r="M183" s="371">
        <f t="shared" si="97"/>
        <v>0</v>
      </c>
      <c r="N183" s="371">
        <f t="shared" si="97"/>
        <v>0</v>
      </c>
      <c r="O183" s="371">
        <f t="shared" si="97"/>
        <v>0</v>
      </c>
      <c r="P183" s="371">
        <f t="shared" si="97"/>
        <v>0</v>
      </c>
      <c r="Q183" s="371">
        <f t="shared" si="97"/>
        <v>0</v>
      </c>
      <c r="R183" s="411">
        <f t="shared" si="97"/>
        <v>0</v>
      </c>
      <c r="S183" s="371">
        <f t="shared" si="97"/>
        <v>0</v>
      </c>
      <c r="T183" s="371">
        <f t="shared" si="97"/>
        <v>0</v>
      </c>
      <c r="U183" s="371">
        <f t="shared" si="97"/>
        <v>0</v>
      </c>
      <c r="V183" s="371">
        <f t="shared" si="97"/>
        <v>0</v>
      </c>
      <c r="W183" s="371">
        <f t="shared" si="97"/>
        <v>0</v>
      </c>
      <c r="X183" s="371">
        <f t="shared" si="97"/>
        <v>0</v>
      </c>
      <c r="Y183" s="371">
        <f t="shared" si="97"/>
        <v>0</v>
      </c>
      <c r="Z183" s="371">
        <f t="shared" si="97"/>
        <v>0</v>
      </c>
      <c r="AA183" s="371">
        <f t="shared" si="97"/>
        <v>0</v>
      </c>
      <c r="AB183" s="371">
        <f t="shared" si="97"/>
        <v>0</v>
      </c>
      <c r="AC183" s="371">
        <f t="shared" si="97"/>
        <v>0</v>
      </c>
      <c r="AD183" s="371">
        <f t="shared" si="97"/>
        <v>0</v>
      </c>
      <c r="AE183" s="371">
        <f t="shared" si="97"/>
        <v>0</v>
      </c>
      <c r="AF183" s="371">
        <f t="shared" si="97"/>
        <v>0</v>
      </c>
      <c r="AG183" s="371">
        <f t="shared" si="97"/>
        <v>0</v>
      </c>
      <c r="AH183" s="371">
        <f t="shared" si="97"/>
        <v>0</v>
      </c>
      <c r="AI183" s="371">
        <f t="shared" si="97"/>
        <v>0</v>
      </c>
      <c r="AJ183" s="371">
        <f t="shared" si="97"/>
        <v>0</v>
      </c>
      <c r="AK183" s="371">
        <f t="shared" si="97"/>
        <v>0</v>
      </c>
      <c r="AL183" s="371">
        <f t="shared" si="97"/>
        <v>0</v>
      </c>
      <c r="AM183" s="371">
        <f t="shared" si="97"/>
        <v>0</v>
      </c>
      <c r="AN183" s="77"/>
      <c r="AO183" s="77"/>
      <c r="AP183" s="56"/>
      <c r="AQ183" s="56"/>
      <c r="AR183" s="56"/>
    </row>
    <row r="184" spans="1:44" x14ac:dyDescent="0.3">
      <c r="F184" s="412"/>
      <c r="G184" s="412"/>
      <c r="H184" s="412"/>
      <c r="I184" s="412"/>
      <c r="J184" s="412"/>
      <c r="K184" s="412"/>
      <c r="L184" s="412"/>
      <c r="M184" s="412"/>
      <c r="N184" s="412"/>
      <c r="O184" s="412"/>
      <c r="P184" s="412"/>
      <c r="Q184" s="412"/>
      <c r="R184" s="412"/>
      <c r="S184" s="412"/>
      <c r="T184" s="412"/>
      <c r="U184" s="412"/>
      <c r="V184" s="412"/>
      <c r="W184" s="412"/>
      <c r="X184" s="412"/>
      <c r="Y184" s="412"/>
      <c r="Z184" s="412"/>
      <c r="AA184" s="412"/>
      <c r="AB184" s="412"/>
      <c r="AC184" s="412"/>
      <c r="AD184" s="412"/>
      <c r="AE184" s="412"/>
      <c r="AF184" s="412"/>
      <c r="AG184" s="412"/>
      <c r="AH184" s="412"/>
      <c r="AI184" s="412"/>
      <c r="AJ184" s="412"/>
      <c r="AK184" s="412"/>
      <c r="AL184" s="412"/>
      <c r="AM184" s="412"/>
    </row>
    <row r="185" spans="1:44" x14ac:dyDescent="0.3">
      <c r="D185" t="s">
        <v>152</v>
      </c>
      <c r="F185" s="412"/>
      <c r="G185" s="412"/>
      <c r="H185" s="412"/>
      <c r="I185" s="412"/>
      <c r="J185" s="412"/>
      <c r="K185" s="412"/>
      <c r="L185" s="412"/>
      <c r="M185" s="412"/>
      <c r="N185" s="412"/>
      <c r="O185" s="412"/>
      <c r="P185" s="412"/>
      <c r="Q185" s="412"/>
      <c r="R185" s="412"/>
      <c r="S185" s="412"/>
      <c r="T185" s="412"/>
      <c r="U185" s="412"/>
      <c r="V185" s="412">
        <f>V170-156-V157</f>
        <v>0.70000000000000018</v>
      </c>
      <c r="W185" s="412">
        <f t="shared" ref="W185:AJ185" si="98">W170-156-W157</f>
        <v>-0.43759229000002087</v>
      </c>
      <c r="X185" s="412">
        <f t="shared" si="98"/>
        <v>-0.45999999999999552</v>
      </c>
      <c r="Y185" s="412">
        <f t="shared" si="98"/>
        <v>-9.650000000000011</v>
      </c>
      <c r="Z185" s="412">
        <f t="shared" si="98"/>
        <v>-16.452560549999994</v>
      </c>
      <c r="AA185" s="412">
        <f t="shared" si="98"/>
        <v>-8.9655718899999979</v>
      </c>
      <c r="AB185" s="412">
        <f t="shared" si="98"/>
        <v>-11.754571890000005</v>
      </c>
      <c r="AC185" s="412">
        <f t="shared" si="98"/>
        <v>-7.6782922000000067</v>
      </c>
      <c r="AD185" s="412">
        <f t="shared" si="98"/>
        <v>-12.106645940000003</v>
      </c>
      <c r="AE185" s="412">
        <f t="shared" si="98"/>
        <v>-6.9074025899999913</v>
      </c>
      <c r="AF185" s="412">
        <f t="shared" si="98"/>
        <v>-6.0813549599999863</v>
      </c>
      <c r="AG185" s="412">
        <f t="shared" si="98"/>
        <v>-8.9665454599999794</v>
      </c>
      <c r="AH185" s="412">
        <f t="shared" si="98"/>
        <v>-8.5518282700000032</v>
      </c>
      <c r="AI185" s="412">
        <f t="shared" si="98"/>
        <v>-8.7632158299999947</v>
      </c>
      <c r="AJ185" s="412">
        <f t="shared" si="98"/>
        <v>-7.0082126900000095</v>
      </c>
      <c r="AK185" s="412">
        <f>AK170-156-AK157</f>
        <v>-8.079885199999989</v>
      </c>
      <c r="AL185" s="412">
        <f>AL170-156-AL157</f>
        <v>-17.137124540000013</v>
      </c>
      <c r="AM185" s="412">
        <f>AM170-156-AM157</f>
        <v>-15.637124540000013</v>
      </c>
    </row>
    <row r="186" spans="1:44" x14ac:dyDescent="0.3">
      <c r="T186" s="412"/>
      <c r="U186" s="412"/>
      <c r="X186" s="412"/>
      <c r="Y186" s="412"/>
      <c r="Z186" s="412"/>
      <c r="AA186" s="412"/>
      <c r="AB186" s="412"/>
      <c r="AC186" s="412"/>
      <c r="AD186" s="412"/>
      <c r="AE186" s="412"/>
      <c r="AF186" s="412"/>
      <c r="AG186" s="412"/>
      <c r="AH186" s="412"/>
      <c r="AI186" s="412"/>
      <c r="AJ186" s="412"/>
      <c r="AK186" s="412"/>
      <c r="AL186" s="412"/>
      <c r="AM186" s="412"/>
    </row>
    <row r="187" spans="1:44" x14ac:dyDescent="0.3">
      <c r="V187" s="412"/>
      <c r="W187" s="412"/>
      <c r="X187" s="412"/>
      <c r="Y187" s="412"/>
      <c r="Z187" s="412"/>
      <c r="AA187" s="412"/>
      <c r="AB187" s="412"/>
      <c r="AC187" s="412"/>
      <c r="AD187" s="412"/>
      <c r="AE187" s="412"/>
      <c r="AF187" s="412"/>
      <c r="AG187" s="412"/>
      <c r="AH187" s="412"/>
      <c r="AI187" s="412"/>
    </row>
    <row r="198" spans="25:39" x14ac:dyDescent="0.3">
      <c r="Y198" s="412"/>
      <c r="Z198" s="412"/>
      <c r="AA198" s="412"/>
      <c r="AB198" s="412"/>
      <c r="AC198" s="412"/>
      <c r="AD198" s="412"/>
      <c r="AE198" s="412"/>
      <c r="AF198" s="412"/>
      <c r="AG198" s="412"/>
      <c r="AH198" s="412"/>
      <c r="AI198" s="412"/>
      <c r="AJ198" s="412"/>
      <c r="AK198" s="412"/>
      <c r="AL198" s="412"/>
      <c r="AM198" s="412"/>
    </row>
    <row r="199" spans="25:39" x14ac:dyDescent="0.3">
      <c r="Y199" s="412"/>
      <c r="Z199" s="412"/>
      <c r="AA199" s="412"/>
      <c r="AB199" s="412"/>
      <c r="AC199" s="412"/>
      <c r="AD199" s="412"/>
      <c r="AE199" s="412"/>
      <c r="AF199" s="412"/>
      <c r="AG199" s="412"/>
      <c r="AH199" s="412"/>
      <c r="AI199" s="412"/>
      <c r="AJ199" s="412"/>
      <c r="AK199" s="412"/>
      <c r="AL199" s="412"/>
      <c r="AM199" s="412"/>
    </row>
    <row r="200" spans="25:39" x14ac:dyDescent="0.3">
      <c r="Y200" s="412"/>
      <c r="Z200" s="412"/>
      <c r="AA200" s="412"/>
      <c r="AB200" s="412"/>
      <c r="AC200" s="412"/>
      <c r="AD200" s="412"/>
      <c r="AE200" s="412"/>
      <c r="AF200" s="412"/>
      <c r="AG200" s="412"/>
      <c r="AH200" s="412"/>
      <c r="AI200" s="412"/>
      <c r="AJ200" s="412"/>
      <c r="AK200" s="412"/>
      <c r="AL200" s="412"/>
      <c r="AM200" s="412"/>
    </row>
    <row r="201" spans="25:39" x14ac:dyDescent="0.3">
      <c r="Y201" s="412"/>
      <c r="Z201" s="412"/>
      <c r="AA201" s="412"/>
      <c r="AB201" s="412"/>
      <c r="AC201" s="412"/>
      <c r="AD201" s="412"/>
      <c r="AE201" s="412"/>
      <c r="AF201" s="412"/>
      <c r="AG201" s="412"/>
      <c r="AH201" s="412"/>
      <c r="AI201" s="412"/>
      <c r="AJ201" s="412"/>
      <c r="AK201" s="412"/>
      <c r="AL201" s="412"/>
      <c r="AM201" s="412"/>
    </row>
    <row r="202" spans="25:39" x14ac:dyDescent="0.3">
      <c r="Y202" s="412"/>
      <c r="Z202" s="412"/>
      <c r="AA202" s="412"/>
      <c r="AB202" s="412"/>
      <c r="AC202" s="412"/>
      <c r="AD202" s="412"/>
      <c r="AE202" s="412"/>
      <c r="AF202" s="412"/>
      <c r="AG202" s="412"/>
      <c r="AH202" s="412"/>
      <c r="AI202" s="412"/>
      <c r="AJ202" s="412"/>
      <c r="AK202" s="412"/>
      <c r="AL202" s="412"/>
      <c r="AM202" s="412"/>
    </row>
    <row r="203" spans="25:39" x14ac:dyDescent="0.3">
      <c r="Y203" s="412"/>
      <c r="Z203" s="412"/>
      <c r="AA203" s="412"/>
      <c r="AB203" s="412"/>
      <c r="AC203" s="412"/>
      <c r="AD203" s="412"/>
      <c r="AE203" s="412"/>
      <c r="AF203" s="412"/>
      <c r="AG203" s="412"/>
      <c r="AH203" s="412"/>
      <c r="AI203" s="412"/>
      <c r="AJ203" s="412"/>
      <c r="AK203" s="412"/>
      <c r="AL203" s="412"/>
      <c r="AM203" s="412"/>
    </row>
  </sheetData>
  <mergeCells count="41">
    <mergeCell ref="C46:D46"/>
    <mergeCell ref="A3:B3"/>
    <mergeCell ref="A13:B13"/>
    <mergeCell ref="A21:B21"/>
    <mergeCell ref="A27:B27"/>
    <mergeCell ref="A34:B34"/>
    <mergeCell ref="A41:B41"/>
    <mergeCell ref="C41:D41"/>
    <mergeCell ref="C42:D42"/>
    <mergeCell ref="C43:D43"/>
    <mergeCell ref="C44:D44"/>
    <mergeCell ref="C45:D45"/>
    <mergeCell ref="C58:D58"/>
    <mergeCell ref="C47:D47"/>
    <mergeCell ref="C48:D48"/>
    <mergeCell ref="C49:D49"/>
    <mergeCell ref="C50:D50"/>
    <mergeCell ref="C51:D51"/>
    <mergeCell ref="A52:D52"/>
    <mergeCell ref="A54:B54"/>
    <mergeCell ref="C54:D54"/>
    <mergeCell ref="C55:D55"/>
    <mergeCell ref="C56:D56"/>
    <mergeCell ref="C57:D57"/>
    <mergeCell ref="C72:D72"/>
    <mergeCell ref="C59:D59"/>
    <mergeCell ref="C60:D60"/>
    <mergeCell ref="C61:D61"/>
    <mergeCell ref="C62:D62"/>
    <mergeCell ref="C63:D63"/>
    <mergeCell ref="C64:D64"/>
    <mergeCell ref="A65:D65"/>
    <mergeCell ref="A67:B67"/>
    <mergeCell ref="C67:D67"/>
    <mergeCell ref="C68:D68"/>
    <mergeCell ref="C69:D69"/>
    <mergeCell ref="C73:D73"/>
    <mergeCell ref="C74:D74"/>
    <mergeCell ref="C75:D75"/>
    <mergeCell ref="C76:D76"/>
    <mergeCell ref="A77:D77"/>
  </mergeCells>
  <conditionalFormatting sqref="Q182:Q183 E181:AJ181">
    <cfRule type="colorScale" priority="17">
      <colorScale>
        <cfvo type="min"/>
        <cfvo type="percentile" val="50"/>
        <cfvo type="max"/>
        <color rgb="FFF8696B"/>
        <color rgb="FFFFEB84"/>
        <color rgb="FF63BE7B"/>
      </colorScale>
    </cfRule>
  </conditionalFormatting>
  <conditionalFormatting sqref="R182:AD183 E180:AJ180">
    <cfRule type="colorScale" priority="18">
      <colorScale>
        <cfvo type="min"/>
        <cfvo type="percentile" val="50"/>
        <cfvo type="max"/>
        <color rgb="FFF8696B"/>
        <color rgb="FFFFEB84"/>
        <color rgb="FF63BE7B"/>
      </colorScale>
    </cfRule>
  </conditionalFormatting>
  <conditionalFormatting sqref="E182:P183">
    <cfRule type="colorScale" priority="19">
      <colorScale>
        <cfvo type="min"/>
        <cfvo type="percentile" val="50"/>
        <cfvo type="max"/>
        <color rgb="FFF8696B"/>
        <color rgb="FFFFEB84"/>
        <color rgb="FF63BE7B"/>
      </colorScale>
    </cfRule>
  </conditionalFormatting>
  <conditionalFormatting sqref="A168:D168">
    <cfRule type="duplicateValues" dxfId="0" priority="16"/>
  </conditionalFormatting>
  <conditionalFormatting sqref="AE182:AE183">
    <cfRule type="colorScale" priority="15">
      <colorScale>
        <cfvo type="min"/>
        <cfvo type="percentile" val="50"/>
        <cfvo type="max"/>
        <color rgb="FFF8696B"/>
        <color rgb="FFFFEB84"/>
        <color rgb="FF63BE7B"/>
      </colorScale>
    </cfRule>
  </conditionalFormatting>
  <conditionalFormatting sqref="AF182:AF183">
    <cfRule type="colorScale" priority="14">
      <colorScale>
        <cfvo type="min"/>
        <cfvo type="percentile" val="50"/>
        <cfvo type="max"/>
        <color rgb="FFF8696B"/>
        <color rgb="FFFFEB84"/>
        <color rgb="FF63BE7B"/>
      </colorScale>
    </cfRule>
  </conditionalFormatting>
  <conditionalFormatting sqref="AG182:AG183">
    <cfRule type="colorScale" priority="13">
      <colorScale>
        <cfvo type="min"/>
        <cfvo type="percentile" val="50"/>
        <cfvo type="max"/>
        <color rgb="FFF8696B"/>
        <color rgb="FFFFEB84"/>
        <color rgb="FF63BE7B"/>
      </colorScale>
    </cfRule>
  </conditionalFormatting>
  <conditionalFormatting sqref="AH182:AH183">
    <cfRule type="colorScale" priority="12">
      <colorScale>
        <cfvo type="min"/>
        <cfvo type="percentile" val="50"/>
        <cfvo type="max"/>
        <color rgb="FFF8696B"/>
        <color rgb="FFFFEB84"/>
        <color rgb="FF63BE7B"/>
      </colorScale>
    </cfRule>
  </conditionalFormatting>
  <conditionalFormatting sqref="AI182:AI183">
    <cfRule type="colorScale" priority="11">
      <colorScale>
        <cfvo type="min"/>
        <cfvo type="percentile" val="50"/>
        <cfvo type="max"/>
        <color rgb="FFF8696B"/>
        <color rgb="FFFFEB84"/>
        <color rgb="FF63BE7B"/>
      </colorScale>
    </cfRule>
  </conditionalFormatting>
  <conditionalFormatting sqref="AJ182:AJ183">
    <cfRule type="colorScale" priority="10">
      <colorScale>
        <cfvo type="min"/>
        <cfvo type="percentile" val="50"/>
        <cfvo type="max"/>
        <color rgb="FFF8696B"/>
        <color rgb="FFFFEB84"/>
        <color rgb="FF63BE7B"/>
      </colorScale>
    </cfRule>
  </conditionalFormatting>
  <conditionalFormatting sqref="AK181">
    <cfRule type="colorScale" priority="8">
      <colorScale>
        <cfvo type="min"/>
        <cfvo type="percentile" val="50"/>
        <cfvo type="max"/>
        <color rgb="FFF8696B"/>
        <color rgb="FFFFEB84"/>
        <color rgb="FF63BE7B"/>
      </colorScale>
    </cfRule>
  </conditionalFormatting>
  <conditionalFormatting sqref="AK180">
    <cfRule type="colorScale" priority="9">
      <colorScale>
        <cfvo type="min"/>
        <cfvo type="percentile" val="50"/>
        <cfvo type="max"/>
        <color rgb="FFF8696B"/>
        <color rgb="FFFFEB84"/>
        <color rgb="FF63BE7B"/>
      </colorScale>
    </cfRule>
  </conditionalFormatting>
  <conditionalFormatting sqref="AK182:AK183">
    <cfRule type="colorScale" priority="7">
      <colorScale>
        <cfvo type="min"/>
        <cfvo type="percentile" val="50"/>
        <cfvo type="max"/>
        <color rgb="FFF8696B"/>
        <color rgb="FFFFEB84"/>
        <color rgb="FF63BE7B"/>
      </colorScale>
    </cfRule>
  </conditionalFormatting>
  <conditionalFormatting sqref="AL181">
    <cfRule type="colorScale" priority="5">
      <colorScale>
        <cfvo type="min"/>
        <cfvo type="percentile" val="50"/>
        <cfvo type="max"/>
        <color rgb="FFF8696B"/>
        <color rgb="FFFFEB84"/>
        <color rgb="FF63BE7B"/>
      </colorScale>
    </cfRule>
  </conditionalFormatting>
  <conditionalFormatting sqref="AL180">
    <cfRule type="colorScale" priority="6">
      <colorScale>
        <cfvo type="min"/>
        <cfvo type="percentile" val="50"/>
        <cfvo type="max"/>
        <color rgb="FFF8696B"/>
        <color rgb="FFFFEB84"/>
        <color rgb="FF63BE7B"/>
      </colorScale>
    </cfRule>
  </conditionalFormatting>
  <conditionalFormatting sqref="AL182:AL183">
    <cfRule type="colorScale" priority="4">
      <colorScale>
        <cfvo type="min"/>
        <cfvo type="percentile" val="50"/>
        <cfvo type="max"/>
        <color rgb="FFF8696B"/>
        <color rgb="FFFFEB84"/>
        <color rgb="FF63BE7B"/>
      </colorScale>
    </cfRule>
  </conditionalFormatting>
  <conditionalFormatting sqref="AM181">
    <cfRule type="colorScale" priority="2">
      <colorScale>
        <cfvo type="min"/>
        <cfvo type="percentile" val="50"/>
        <cfvo type="max"/>
        <color rgb="FFF8696B"/>
        <color rgb="FFFFEB84"/>
        <color rgb="FF63BE7B"/>
      </colorScale>
    </cfRule>
  </conditionalFormatting>
  <conditionalFormatting sqref="AM180">
    <cfRule type="colorScale" priority="3">
      <colorScale>
        <cfvo type="min"/>
        <cfvo type="percentile" val="50"/>
        <cfvo type="max"/>
        <color rgb="FFF8696B"/>
        <color rgb="FFFFEB84"/>
        <color rgb="FF63BE7B"/>
      </colorScale>
    </cfRule>
  </conditionalFormatting>
  <conditionalFormatting sqref="AM182:AM18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C2</vt:lpstr>
      <vt:lpstr>C3LPG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Alongkot Burutarchanai</cp:lastModifiedBy>
  <dcterms:created xsi:type="dcterms:W3CDTF">2021-03-04T03:21:22Z</dcterms:created>
  <dcterms:modified xsi:type="dcterms:W3CDTF">2021-05-17T05:46:34Z</dcterms:modified>
</cp:coreProperties>
</file>