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codeName="ThisWorkbook"/>
  <mc:AlternateContent xmlns:mc="http://schemas.openxmlformats.org/markup-compatibility/2006">
    <mc:Choice Requires="x15">
      <x15ac:absPath xmlns:x15ac="http://schemas.microsoft.com/office/spreadsheetml/2010/11/ac" url="D:\PTT\Project\Alocation-model(Excel)\Documentation\01_Information\เอกสารจาก User\คุณเตย ตาม Email วันที่ 24052021\Input\Merge Allo\"/>
    </mc:Choice>
  </mc:AlternateContent>
  <xr:revisionPtr revIDLastSave="0" documentId="13_ncr:1_{6154C1AD-F8AD-44CA-9EFC-3DA326ADE320}" xr6:coauthVersionLast="47" xr6:coauthVersionMax="47" xr10:uidLastSave="{00000000-0000-0000-0000-000000000000}"/>
  <bookViews>
    <workbookView xWindow="-110" yWindow="-110" windowWidth="19420" windowHeight="10300" tabRatio="901" activeTab="5" xr2:uid="{00000000-000D-0000-FFFF-FFFF00000000}"/>
  </bookViews>
  <sheets>
    <sheet name="AC REV1" sheetId="134" r:id="rId1"/>
    <sheet name="C2 (Dec'22 fix ตัด GC)" sheetId="133" r:id="rId2"/>
    <sheet name="C2" sheetId="129" r:id="rId3"/>
    <sheet name="LR monthly" sheetId="56" r:id="rId4"/>
    <sheet name="C3LPG" sheetId="50" r:id="rId5"/>
    <sheet name="NGL" sheetId="111" r:id="rId6"/>
    <sheet name="LT Customer 22" sheetId="132" r:id="rId7"/>
    <sheet name="Graph DS" sheetId="17" r:id="rId8"/>
    <sheet name="Graph Allo" sheetId="53" r:id="rId9"/>
    <sheet name="Contract Vol" sheetId="13" r:id="rId10"/>
    <sheet name="Production" sheetId="14" r:id="rId11"/>
    <sheet name="CEC" sheetId="131" r:id="rId12"/>
  </sheets>
  <externalReferences>
    <externalReference r:id="rId13"/>
    <externalReference r:id="rId14"/>
    <externalReference r:id="rId15"/>
    <externalReference r:id="rId16"/>
    <externalReference r:id="rId17"/>
    <externalReference r:id="rId18"/>
  </externalReferences>
  <definedNames>
    <definedName name="\d" localSheetId="2">'[1]ESSO-ESSO (incre.)'!#REF!</definedName>
    <definedName name="\d" localSheetId="1">'[1]ESSO-ESSO (incre.)'!#REF!</definedName>
    <definedName name="\d" localSheetId="4">'[1]ESSO-ESSO (incre.)'!#REF!</definedName>
    <definedName name="\d" localSheetId="8">'[1]ESSO-ESSO (incre.)'!#REF!</definedName>
    <definedName name="\d" localSheetId="5">'[1]ESSO-ESSO (incre.)'!#REF!</definedName>
    <definedName name="\d">'[1]ESSO-ESSO (incre.)'!#REF!</definedName>
    <definedName name="\e" localSheetId="2">'[1]ESSO-ESSO (incre.)'!#REF!</definedName>
    <definedName name="\e" localSheetId="1">'[1]ESSO-ESSO (incre.)'!#REF!</definedName>
    <definedName name="\e" localSheetId="4">'[1]ESSO-ESSO (incre.)'!#REF!</definedName>
    <definedName name="\e" localSheetId="8">'[1]ESSO-ESSO (incre.)'!#REF!</definedName>
    <definedName name="\e" localSheetId="5">'[1]ESSO-ESSO (incre.)'!#REF!</definedName>
    <definedName name="\e">'[1]ESSO-ESSO (incre.)'!#REF!</definedName>
    <definedName name="\f" localSheetId="2">'[1]ESSO-ESSO (incre.)'!#REF!</definedName>
    <definedName name="\f" localSheetId="1">'[1]ESSO-ESSO (incre.)'!#REF!</definedName>
    <definedName name="\f" localSheetId="4">'[1]ESSO-ESSO (incre.)'!#REF!</definedName>
    <definedName name="\f" localSheetId="8">'[1]ESSO-ESSO (incre.)'!#REF!</definedName>
    <definedName name="\f" localSheetId="5">'[1]ESSO-ESSO (incre.)'!#REF!</definedName>
    <definedName name="\f">'[1]ESSO-ESSO (incre.)'!#REF!</definedName>
    <definedName name="\O" localSheetId="2">#REF!</definedName>
    <definedName name="\O" localSheetId="1">#REF!</definedName>
    <definedName name="\O" localSheetId="4">#REF!</definedName>
    <definedName name="\O" localSheetId="8">#REF!</definedName>
    <definedName name="\O" localSheetId="5">#REF!</definedName>
    <definedName name="\O">#REF!</definedName>
    <definedName name="\P" localSheetId="2">#REF!</definedName>
    <definedName name="\P" localSheetId="1">#REF!</definedName>
    <definedName name="\P" localSheetId="4">#REF!</definedName>
    <definedName name="\P" localSheetId="8">#REF!</definedName>
    <definedName name="\P" localSheetId="5">#REF!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2" hidden="1">[2]AGP!#REF!</definedName>
    <definedName name="__123Graph_X" localSheetId="1" hidden="1">[2]AGP!#REF!</definedName>
    <definedName name="__123Graph_X" localSheetId="4" hidden="1">[2]AGP!#REF!</definedName>
    <definedName name="__123Graph_X" localSheetId="8" hidden="1">[2]AGP!#REF!</definedName>
    <definedName name="__123Graph_X" localSheetId="5" hidden="1">[2]AGP!#REF!</definedName>
    <definedName name="__123Graph_X" hidden="1">[2]AGP!#REF!</definedName>
    <definedName name="__SCR1" localSheetId="2">#REF!</definedName>
    <definedName name="__SCR1" localSheetId="1">#REF!</definedName>
    <definedName name="__SCR1" localSheetId="4">#REF!</definedName>
    <definedName name="__SCR1" localSheetId="8">#REF!</definedName>
    <definedName name="__SCR1" localSheetId="5">#REF!</definedName>
    <definedName name="__SCR1">#REF!</definedName>
    <definedName name="_1B" localSheetId="2">#REF!</definedName>
    <definedName name="_1B" localSheetId="1">#REF!</definedName>
    <definedName name="_1B" localSheetId="4">#REF!</definedName>
    <definedName name="_1B" localSheetId="8">#REF!</definedName>
    <definedName name="_1B" localSheetId="5">#REF!</definedName>
    <definedName name="_1B">#REF!</definedName>
    <definedName name="_1E" localSheetId="2">#REF!</definedName>
    <definedName name="_1E" localSheetId="1">#REF!</definedName>
    <definedName name="_1E" localSheetId="4">#REF!</definedName>
    <definedName name="_1E" localSheetId="8">#REF!</definedName>
    <definedName name="_1E" localSheetId="5">#REF!</definedName>
    <definedName name="_1E">#REF!</definedName>
    <definedName name="_1M" localSheetId="2">#REF!</definedName>
    <definedName name="_1M" localSheetId="1">#REF!</definedName>
    <definedName name="_1M" localSheetId="4">#REF!</definedName>
    <definedName name="_1M" localSheetId="8">#REF!</definedName>
    <definedName name="_1M" localSheetId="5">#REF!</definedName>
    <definedName name="_1M">#REF!</definedName>
    <definedName name="_1U" localSheetId="2">#REF!</definedName>
    <definedName name="_1U" localSheetId="1">#REF!</definedName>
    <definedName name="_1U" localSheetId="4">#REF!</definedName>
    <definedName name="_1U" localSheetId="8">#REF!</definedName>
    <definedName name="_1U" localSheetId="5">#REF!</definedName>
    <definedName name="_1U">#REF!</definedName>
    <definedName name="_2U" localSheetId="2">#REF!</definedName>
    <definedName name="_2U" localSheetId="1">#REF!</definedName>
    <definedName name="_2U" localSheetId="4">#REF!</definedName>
    <definedName name="_2U" localSheetId="8">#REF!</definedName>
    <definedName name="_2U" localSheetId="5">#REF!</definedName>
    <definedName name="_2U">#REF!</definedName>
    <definedName name="_3U" localSheetId="2">#REF!</definedName>
    <definedName name="_3U" localSheetId="1">#REF!</definedName>
    <definedName name="_3U" localSheetId="4">#REF!</definedName>
    <definedName name="_3U" localSheetId="8">#REF!</definedName>
    <definedName name="_3U" localSheetId="5">#REF!</definedName>
    <definedName name="_3U">#REF!</definedName>
    <definedName name="_4U" localSheetId="2">#REF!</definedName>
    <definedName name="_4U" localSheetId="1">#REF!</definedName>
    <definedName name="_4U" localSheetId="4">#REF!</definedName>
    <definedName name="_4U" localSheetId="8">#REF!</definedName>
    <definedName name="_4U" localSheetId="5">#REF!</definedName>
    <definedName name="_4U">#REF!</definedName>
    <definedName name="_Fill" localSheetId="2" hidden="1">#REF!</definedName>
    <definedName name="_Fill" localSheetId="1" hidden="1">#REF!</definedName>
    <definedName name="_Fill" localSheetId="4" hidden="1">#REF!</definedName>
    <definedName name="_Fill" localSheetId="8" hidden="1">#REF!</definedName>
    <definedName name="_Fill" localSheetId="5" hidden="1">#REF!</definedName>
    <definedName name="_Fill" hidden="1">#REF!</definedName>
    <definedName name="_MO1" localSheetId="2">#REF!</definedName>
    <definedName name="_MO1" localSheetId="1">#REF!</definedName>
    <definedName name="_MO1" localSheetId="4">#REF!</definedName>
    <definedName name="_MO1" localSheetId="8">#REF!</definedName>
    <definedName name="_MO1" localSheetId="5">#REF!</definedName>
    <definedName name="_MO1">#REF!</definedName>
    <definedName name="_MO10" localSheetId="2">#REF!</definedName>
    <definedName name="_MO10" localSheetId="1">#REF!</definedName>
    <definedName name="_MO10" localSheetId="4">#REF!</definedName>
    <definedName name="_MO10" localSheetId="8">#REF!</definedName>
    <definedName name="_MO10" localSheetId="5">#REF!</definedName>
    <definedName name="_MO10">#REF!</definedName>
    <definedName name="_MO11" localSheetId="2">#REF!</definedName>
    <definedName name="_MO11" localSheetId="1">#REF!</definedName>
    <definedName name="_MO11" localSheetId="4">#REF!</definedName>
    <definedName name="_MO11" localSheetId="8">#REF!</definedName>
    <definedName name="_MO11" localSheetId="5">#REF!</definedName>
    <definedName name="_MO11">#REF!</definedName>
    <definedName name="_MO12" localSheetId="2">#REF!</definedName>
    <definedName name="_MO12" localSheetId="1">#REF!</definedName>
    <definedName name="_MO12" localSheetId="4">#REF!</definedName>
    <definedName name="_MO12" localSheetId="8">#REF!</definedName>
    <definedName name="_MO12" localSheetId="5">#REF!</definedName>
    <definedName name="_MO12">#REF!</definedName>
    <definedName name="_MO2" localSheetId="2">#REF!</definedName>
    <definedName name="_MO2" localSheetId="1">#REF!</definedName>
    <definedName name="_MO2" localSheetId="4">#REF!</definedName>
    <definedName name="_MO2" localSheetId="8">#REF!</definedName>
    <definedName name="_MO2" localSheetId="5">#REF!</definedName>
    <definedName name="_MO2">#REF!</definedName>
    <definedName name="_MO3" localSheetId="2">#REF!</definedName>
    <definedName name="_MO3" localSheetId="1">#REF!</definedName>
    <definedName name="_MO3" localSheetId="4">#REF!</definedName>
    <definedName name="_MO3" localSheetId="8">#REF!</definedName>
    <definedName name="_MO3" localSheetId="5">#REF!</definedName>
    <definedName name="_MO3">#REF!</definedName>
    <definedName name="_MO4" localSheetId="2">#REF!</definedName>
    <definedName name="_MO4" localSheetId="1">#REF!</definedName>
    <definedName name="_MO4" localSheetId="4">#REF!</definedName>
    <definedName name="_MO4" localSheetId="8">#REF!</definedName>
    <definedName name="_MO4" localSheetId="5">#REF!</definedName>
    <definedName name="_MO4">#REF!</definedName>
    <definedName name="_MO5" localSheetId="2">#REF!</definedName>
    <definedName name="_MO5" localSheetId="1">#REF!</definedName>
    <definedName name="_MO5" localSheetId="4">#REF!</definedName>
    <definedName name="_MO5" localSheetId="8">#REF!</definedName>
    <definedName name="_MO5" localSheetId="5">#REF!</definedName>
    <definedName name="_MO5">#REF!</definedName>
    <definedName name="_MO6" localSheetId="2">#REF!</definedName>
    <definedName name="_MO6" localSheetId="1">#REF!</definedName>
    <definedName name="_MO6" localSheetId="4">#REF!</definedName>
    <definedName name="_MO6" localSheetId="8">#REF!</definedName>
    <definedName name="_MO6" localSheetId="5">#REF!</definedName>
    <definedName name="_MO6">#REF!</definedName>
    <definedName name="_MO7" localSheetId="2">#REF!</definedName>
    <definedName name="_MO7" localSheetId="1">#REF!</definedName>
    <definedName name="_MO7" localSheetId="4">#REF!</definedName>
    <definedName name="_MO7" localSheetId="8">#REF!</definedName>
    <definedName name="_MO7" localSheetId="5">#REF!</definedName>
    <definedName name="_MO7">#REF!</definedName>
    <definedName name="_MO8" localSheetId="2">#REF!</definedName>
    <definedName name="_MO8" localSheetId="1">#REF!</definedName>
    <definedName name="_MO8" localSheetId="4">#REF!</definedName>
    <definedName name="_MO8" localSheetId="8">#REF!</definedName>
    <definedName name="_MO8" localSheetId="5">#REF!</definedName>
    <definedName name="_MO8">#REF!</definedName>
    <definedName name="_MO9" localSheetId="2">#REF!</definedName>
    <definedName name="_MO9" localSheetId="1">#REF!</definedName>
    <definedName name="_MO9" localSheetId="4">#REF!</definedName>
    <definedName name="_MO9" localSheetId="8">#REF!</definedName>
    <definedName name="_MO9" localSheetId="5">#REF!</definedName>
    <definedName name="_MO9">#REF!</definedName>
    <definedName name="_SCR1" localSheetId="2">#REF!</definedName>
    <definedName name="_SCR1" localSheetId="1">#REF!</definedName>
    <definedName name="_SCR1" localSheetId="4">#REF!</definedName>
    <definedName name="_SCR1" localSheetId="8">#REF!</definedName>
    <definedName name="_SCR1" localSheetId="5">#REF!</definedName>
    <definedName name="_SCR1">#REF!</definedName>
    <definedName name="a" localSheetId="2">[3]Purchase!#REF!</definedName>
    <definedName name="a" localSheetId="1">[3]Purchase!#REF!</definedName>
    <definedName name="a" localSheetId="4">[3]Purchase!#REF!</definedName>
    <definedName name="a" localSheetId="8">[3]Purchase!#REF!</definedName>
    <definedName name="a" localSheetId="5">[3]Purchase!#REF!</definedName>
    <definedName name="a">[3]Purchase!#REF!</definedName>
    <definedName name="ALL_IDX" localSheetId="2">#REF!</definedName>
    <definedName name="ALL_IDX" localSheetId="1">#REF!</definedName>
    <definedName name="ALL_IDX" localSheetId="4">#REF!</definedName>
    <definedName name="ALL_IDX" localSheetId="8">#REF!</definedName>
    <definedName name="ALL_IDX" localSheetId="5">#REF!</definedName>
    <definedName name="ALL_IDX">#REF!</definedName>
    <definedName name="Apr" localSheetId="2">#REF!</definedName>
    <definedName name="Apr" localSheetId="1">#REF!</definedName>
    <definedName name="Apr" localSheetId="4">#REF!</definedName>
    <definedName name="Apr" localSheetId="8">#REF!</definedName>
    <definedName name="Apr" localSheetId="5">#REF!</definedName>
    <definedName name="Apr">#REF!</definedName>
    <definedName name="AprSun1" localSheetId="2">DATEVALUE("4/1/"&amp;'C2'!TheYear)-WEEKDAY(DATEVALUE("4/1/"&amp;'C2'!TheYear))+1</definedName>
    <definedName name="AprSun1" localSheetId="1">DATEVALUE("4/1/"&amp;'C2 (Dec''22 fix ตัด GC)'!TheYear)-WEEKDAY(DATEVALUE("4/1/"&amp;'C2 (Dec''22 fix ตัด GC)'!TheYear))+1</definedName>
    <definedName name="AprSun1" localSheetId="4">DATEVALUE("4/1/"&amp;'C3LPG'!TheYear)-WEEKDAY(DATEVALUE("4/1/"&amp;'C3LPG'!TheYear))+1</definedName>
    <definedName name="AprSun1" localSheetId="9">DATEVALUE("4/1/"&amp;TheYear)-WEEKDAY(DATEVALUE("4/1/"&amp;TheYear))+1</definedName>
    <definedName name="AprSun1" localSheetId="8">DATEVALUE("4/1/"&amp;'Graph Allo'!TheYear)-WEEKDAY(DATEVALUE("4/1/"&amp;'Graph Allo'!TheYear))+1</definedName>
    <definedName name="AprSun1" localSheetId="5">DATEVALUE("4/1/"&amp;NGL!TheYear)-WEEKDAY(DATEVALUE("4/1/"&amp;NGL!TheYear))+1</definedName>
    <definedName name="AprSun1" localSheetId="10">DATEVALUE("4/1/"&amp;TheYear)-WEEKDAY(DATEVALUE("4/1/"&amp;TheYear))+1</definedName>
    <definedName name="AprSun1">DATEVALUE("4/1/"&amp;TheYear)-WEEKDAY(DATEVALUE("4/1/"&amp;TheYear))+1</definedName>
    <definedName name="Aug" localSheetId="2">#REF!</definedName>
    <definedName name="Aug" localSheetId="1">#REF!</definedName>
    <definedName name="Aug" localSheetId="4">#REF!</definedName>
    <definedName name="Aug" localSheetId="8">#REF!</definedName>
    <definedName name="Aug" localSheetId="5">#REF!</definedName>
    <definedName name="Aug">#REF!</definedName>
    <definedName name="AugSun1" localSheetId="2">DATEVALUE("8/1/"&amp;'C2'!TheYear)-WEEKDAY(DATEVALUE("8/1/"&amp;'C2'!TheYear))+1</definedName>
    <definedName name="AugSun1" localSheetId="1">DATEVALUE("8/1/"&amp;'C2 (Dec''22 fix ตัด GC)'!TheYear)-WEEKDAY(DATEVALUE("8/1/"&amp;'C2 (Dec''22 fix ตัด GC)'!TheYear))+1</definedName>
    <definedName name="AugSun1" localSheetId="4">DATEVALUE("8/1/"&amp;'C3LPG'!TheYear)-WEEKDAY(DATEVALUE("8/1/"&amp;'C3LPG'!TheYear))+1</definedName>
    <definedName name="AugSun1" localSheetId="9">DATEVALUE("8/1/"&amp;TheYear)-WEEKDAY(DATEVALUE("8/1/"&amp;TheYear))+1</definedName>
    <definedName name="AugSun1" localSheetId="8">DATEVALUE("8/1/"&amp;'Graph Allo'!TheYear)-WEEKDAY(DATEVALUE("8/1/"&amp;'Graph Allo'!TheYear))+1</definedName>
    <definedName name="AugSun1" localSheetId="5">DATEVALUE("8/1/"&amp;NGL!TheYear)-WEEKDAY(DATEVALUE("8/1/"&amp;NGL!TheYear))+1</definedName>
    <definedName name="AugSun1" localSheetId="10">DATEVALUE("8/1/"&amp;TheYear)-WEEKDAY(DATEVALUE("8/1/"&amp;TheYear))+1</definedName>
    <definedName name="AugSun1">DATEVALUE("8/1/"&amp;TheYear)-WEEKDAY(DATEVALUE("8/1/"&amp;TheYear))+1</definedName>
    <definedName name="bb">[4]level_all!$E$3:$K$15</definedName>
    <definedName name="BLG">[4]level_all!$FH$2:$FQ$15</definedName>
    <definedName name="ca" localSheetId="2">[3]Purchase!#REF!</definedName>
    <definedName name="ca" localSheetId="1">[3]Purchase!#REF!</definedName>
    <definedName name="ca" localSheetId="4">[3]Purchase!#REF!</definedName>
    <definedName name="ca" localSheetId="8">[3]Purchase!#REF!</definedName>
    <definedName name="ca" localSheetId="5">[3]Purchase!#REF!</definedName>
    <definedName name="ca">[3]Purchase!#REF!</definedName>
    <definedName name="CASE2" localSheetId="2">#REF!</definedName>
    <definedName name="CASE2" localSheetId="1">#REF!</definedName>
    <definedName name="CASE2" localSheetId="4">#REF!</definedName>
    <definedName name="CASE2" localSheetId="8">#REF!</definedName>
    <definedName name="CASE2" localSheetId="5">#REF!</definedName>
    <definedName name="CASE2">#REF!</definedName>
    <definedName name="ccc" localSheetId="2">[3]Purchase!#REF!</definedName>
    <definedName name="ccc" localSheetId="1">[3]Purchase!#REF!</definedName>
    <definedName name="ccc" localSheetId="4">[3]Purchase!#REF!</definedName>
    <definedName name="ccc" localSheetId="8">[3]Purchase!#REF!</definedName>
    <definedName name="ccc" localSheetId="5">[3]Purchase!#REF!</definedName>
    <definedName name="ccc">[3]Purchase!#REF!</definedName>
    <definedName name="CLB">[4]level_all!$DQ$2:$DZ$15</definedName>
    <definedName name="CRUDE" localSheetId="2">#REF!</definedName>
    <definedName name="CRUDE" localSheetId="1">#REF!</definedName>
    <definedName name="CRUDE" localSheetId="4">#REF!</definedName>
    <definedName name="CRUDE" localSheetId="8">#REF!</definedName>
    <definedName name="CRUDE" localSheetId="5">#REF!</definedName>
    <definedName name="CRUDE">#REF!</definedName>
    <definedName name="Customercode">[5]Invent.!$B$7:$B$4500</definedName>
    <definedName name="DDD" localSheetId="2">#REF!</definedName>
    <definedName name="DDD" localSheetId="1">#REF!</definedName>
    <definedName name="DDD" localSheetId="4">#REF!</definedName>
    <definedName name="DDD" localSheetId="8">#REF!</definedName>
    <definedName name="DDD" localSheetId="5">#REF!</definedName>
    <definedName name="DDD">#REF!</definedName>
    <definedName name="Dec" localSheetId="2">#REF!</definedName>
    <definedName name="Dec" localSheetId="1">#REF!</definedName>
    <definedName name="Dec" localSheetId="4">#REF!</definedName>
    <definedName name="Dec" localSheetId="8">#REF!</definedName>
    <definedName name="Dec" localSheetId="5">#REF!</definedName>
    <definedName name="Dec">#REF!</definedName>
    <definedName name="DecSun1" localSheetId="2">DATEVALUE("12/1/"&amp;'C2'!TheYear)-WEEKDAY(DATEVALUE("12/1/"&amp;'C2'!TheYear))+1</definedName>
    <definedName name="DecSun1" localSheetId="1">DATEVALUE("12/1/"&amp;'C2 (Dec''22 fix ตัด GC)'!TheYear)-WEEKDAY(DATEVALUE("12/1/"&amp;'C2 (Dec''22 fix ตัด GC)'!TheYear))+1</definedName>
    <definedName name="DecSun1" localSheetId="4">DATEVALUE("12/1/"&amp;'C3LPG'!TheYear)-WEEKDAY(DATEVALUE("12/1/"&amp;'C3LPG'!TheYear))+1</definedName>
    <definedName name="DecSun1" localSheetId="9">DATEVALUE("12/1/"&amp;TheYear)-WEEKDAY(DATEVALUE("12/1/"&amp;TheYear))+1</definedName>
    <definedName name="DecSun1" localSheetId="8">DATEVALUE("12/1/"&amp;'Graph Allo'!TheYear)-WEEKDAY(DATEVALUE("12/1/"&amp;'Graph Allo'!TheYear))+1</definedName>
    <definedName name="DecSun1" localSheetId="5">DATEVALUE("12/1/"&amp;NGL!TheYear)-WEEKDAY(DATEVALUE("12/1/"&amp;NGL!TheYear))+1</definedName>
    <definedName name="DecSun1" localSheetId="10">DATEVALUE("12/1/"&amp;TheYear)-WEEKDAY(DATEVALUE("12/1/"&amp;TheYear))+1</definedName>
    <definedName name="DecSun1">DATEVALUE("12/1/"&amp;TheYear)-WEEKDAY(DATEVALUE("12/1/"&amp;TheYear))+1</definedName>
    <definedName name="Dry_Test" localSheetId="2">#REF!</definedName>
    <definedName name="Dry_Test" localSheetId="1">#REF!</definedName>
    <definedName name="Dry_Test" localSheetId="4">#REF!</definedName>
    <definedName name="Dry_Test" localSheetId="8">#REF!</definedName>
    <definedName name="Dry_Test" localSheetId="5">#REF!</definedName>
    <definedName name="Dry_Test">#REF!</definedName>
    <definedName name="dsfrgt" localSheetId="2">#REF!</definedName>
    <definedName name="dsfrgt" localSheetId="1">#REF!</definedName>
    <definedName name="dsfrgt" localSheetId="4">#REF!</definedName>
    <definedName name="dsfrgt" localSheetId="8">#REF!</definedName>
    <definedName name="dsfrgt" localSheetId="5">#REF!</definedName>
    <definedName name="dsfrgt">#REF!</definedName>
    <definedName name="Feb" localSheetId="2">#REF!</definedName>
    <definedName name="Feb" localSheetId="1">#REF!</definedName>
    <definedName name="Feb" localSheetId="4">#REF!</definedName>
    <definedName name="Feb" localSheetId="8">#REF!</definedName>
    <definedName name="Feb" localSheetId="5">#REF!</definedName>
    <definedName name="Feb">#REF!</definedName>
    <definedName name="FebSun1" localSheetId="2">DATEVALUE("2/1/"&amp;'C2'!TheYear)-WEEKDAY(DATEVALUE("2/1/"&amp;'C2'!TheYear))+1</definedName>
    <definedName name="FebSun1" localSheetId="1">DATEVALUE("2/1/"&amp;'C2 (Dec''22 fix ตัด GC)'!TheYear)-WEEKDAY(DATEVALUE("2/1/"&amp;'C2 (Dec''22 fix ตัด GC)'!TheYear))+1</definedName>
    <definedName name="FebSun1" localSheetId="4">DATEVALUE("2/1/"&amp;'C3LPG'!TheYear)-WEEKDAY(DATEVALUE("2/1/"&amp;'C3LPG'!TheYear))+1</definedName>
    <definedName name="FebSun1" localSheetId="9">DATEVALUE("2/1/"&amp;TheYear)-WEEKDAY(DATEVALUE("2/1/"&amp;TheYear))+1</definedName>
    <definedName name="FebSun1" localSheetId="8">DATEVALUE("2/1/"&amp;'Graph Allo'!TheYear)-WEEKDAY(DATEVALUE("2/1/"&amp;'Graph Allo'!TheYear))+1</definedName>
    <definedName name="FebSun1" localSheetId="5">DATEVALUE("2/1/"&amp;NGL!TheYear)-WEEKDAY(DATEVALUE("2/1/"&amp;NGL!TheYear))+1</definedName>
    <definedName name="FebSun1" localSheetId="10">DATEVALUE("2/1/"&amp;TheYear)-WEEKDAY(DATEVALUE("2/1/"&amp;TheYear))+1</definedName>
    <definedName name="FebSun1">DATEVALUE("2/1/"&amp;TheYear)-WEEKDAY(DATEVALUE("2/1/"&amp;TheYear))+1</definedName>
    <definedName name="GAS" localSheetId="2">#REF!</definedName>
    <definedName name="GAS" localSheetId="1">#REF!</definedName>
    <definedName name="GAS" localSheetId="4">#REF!</definedName>
    <definedName name="GAS" localSheetId="8">#REF!</definedName>
    <definedName name="GAS" localSheetId="5">#REF!</definedName>
    <definedName name="GAS">#REF!</definedName>
    <definedName name="GROWTH_Y_o_Y" localSheetId="2">#REF!</definedName>
    <definedName name="GROWTH_Y_o_Y" localSheetId="1">#REF!</definedName>
    <definedName name="GROWTH_Y_o_Y" localSheetId="4">#REF!</definedName>
    <definedName name="GROWTH_Y_o_Y" localSheetId="8">#REF!</definedName>
    <definedName name="GROWTH_Y_o_Y" localSheetId="5">#REF!</definedName>
    <definedName name="GROWTH_Y_o_Y">#REF!</definedName>
    <definedName name="HEAD" localSheetId="2">#REF!</definedName>
    <definedName name="HEAD" localSheetId="1">#REF!</definedName>
    <definedName name="HEAD" localSheetId="4">#REF!</definedName>
    <definedName name="HEAD" localSheetId="8">#REF!</definedName>
    <definedName name="HEAD" localSheetId="5">#REF!</definedName>
    <definedName name="HEAD">#REF!</definedName>
    <definedName name="I1U" localSheetId="2">#REF!</definedName>
    <definedName name="I1U" localSheetId="1">#REF!</definedName>
    <definedName name="I1U" localSheetId="4">#REF!</definedName>
    <definedName name="I1U" localSheetId="8">#REF!</definedName>
    <definedName name="I1U" localSheetId="5">#REF!</definedName>
    <definedName name="I1U">#REF!</definedName>
    <definedName name="I2U" localSheetId="2">#REF!</definedName>
    <definedName name="I2U" localSheetId="1">#REF!</definedName>
    <definedName name="I2U" localSheetId="4">#REF!</definedName>
    <definedName name="I2U" localSheetId="8">#REF!</definedName>
    <definedName name="I2U" localSheetId="5">#REF!</definedName>
    <definedName name="I2U">#REF!</definedName>
    <definedName name="IBK" localSheetId="2">#REF!</definedName>
    <definedName name="IBK" localSheetId="1">#REF!</definedName>
    <definedName name="IBK" localSheetId="4">#REF!</definedName>
    <definedName name="IBK" localSheetId="8">#REF!</definedName>
    <definedName name="IBK" localSheetId="5">#REF!</definedName>
    <definedName name="IBK">#REF!</definedName>
    <definedName name="IDX" localSheetId="2">#REF!</definedName>
    <definedName name="IDX" localSheetId="1">#REF!</definedName>
    <definedName name="IDX" localSheetId="4">#REF!</definedName>
    <definedName name="IDX" localSheetId="8">#REF!</definedName>
    <definedName name="IDX" localSheetId="5">#REF!</definedName>
    <definedName name="IDX">#REF!</definedName>
    <definedName name="IM" localSheetId="2">#REF!</definedName>
    <definedName name="IM" localSheetId="1">#REF!</definedName>
    <definedName name="IM" localSheetId="4">#REF!</definedName>
    <definedName name="IM" localSheetId="8">#REF!</definedName>
    <definedName name="IM" localSheetId="5">#REF!</definedName>
    <definedName name="IM">#REF!</definedName>
    <definedName name="Inputcode">[5]Invent.!$B$3:$BS$3</definedName>
    <definedName name="Jan" localSheetId="2">#REF!</definedName>
    <definedName name="Jan" localSheetId="1">#REF!</definedName>
    <definedName name="Jan" localSheetId="4">#REF!</definedName>
    <definedName name="Jan" localSheetId="8">#REF!</definedName>
    <definedName name="Jan" localSheetId="5">#REF!</definedName>
    <definedName name="Jan">#REF!</definedName>
    <definedName name="JanSun1" localSheetId="2">DATEVALUE("1/1/"&amp;'C2'!TheYear)-WEEKDAY(DATEVALUE("1/1/"&amp;'C2'!TheYear))+1</definedName>
    <definedName name="JanSun1" localSheetId="1">DATEVALUE("1/1/"&amp;'C2 (Dec''22 fix ตัด GC)'!TheYear)-WEEKDAY(DATEVALUE("1/1/"&amp;'C2 (Dec''22 fix ตัด GC)'!TheYear))+1</definedName>
    <definedName name="JanSun1" localSheetId="4">DATEVALUE("1/1/"&amp;'C3LPG'!TheYear)-WEEKDAY(DATEVALUE("1/1/"&amp;'C3LPG'!TheYear))+1</definedName>
    <definedName name="JanSun1" localSheetId="9">DATEVALUE("1/1/"&amp;TheYear)-WEEKDAY(DATEVALUE("1/1/"&amp;TheYear))+1</definedName>
    <definedName name="JanSun1" localSheetId="8">DATEVALUE("1/1/"&amp;'Graph Allo'!TheYear)-WEEKDAY(DATEVALUE("1/1/"&amp;'Graph Allo'!TheYear))+1</definedName>
    <definedName name="JanSun1" localSheetId="5">DATEVALUE("1/1/"&amp;NGL!TheYear)-WEEKDAY(DATEVALUE("1/1/"&amp;NGL!TheYear))+1</definedName>
    <definedName name="JanSun1" localSheetId="10">DATEVALUE("1/1/"&amp;TheYear)-WEEKDAY(DATEVALUE("1/1/"&amp;TheYear))+1</definedName>
    <definedName name="JanSun1">DATEVALUE("1/1/"&amp;TheYear)-WEEKDAY(DATEVALUE("1/1/"&amp;TheYear))+1</definedName>
    <definedName name="JDA" localSheetId="2">#REF!</definedName>
    <definedName name="JDA" localSheetId="1">#REF!</definedName>
    <definedName name="JDA" localSheetId="4">#REF!</definedName>
    <definedName name="JDA" localSheetId="8">#REF!</definedName>
    <definedName name="JDA" localSheetId="5">#REF!</definedName>
    <definedName name="JDA">#REF!</definedName>
    <definedName name="Jul" localSheetId="2">#REF!</definedName>
    <definedName name="Jul" localSheetId="1">#REF!</definedName>
    <definedName name="Jul" localSheetId="4">#REF!</definedName>
    <definedName name="Jul" localSheetId="8">#REF!</definedName>
    <definedName name="Jul" localSheetId="5">#REF!</definedName>
    <definedName name="Jul">#REF!</definedName>
    <definedName name="JulSun1" localSheetId="2">DATEVALUE("7/1/"&amp;'C2'!TheYear)-WEEKDAY(DATEVALUE("7/1/"&amp;'C2'!TheYear))+1</definedName>
    <definedName name="JulSun1" localSheetId="1">DATEVALUE("7/1/"&amp;'C2 (Dec''22 fix ตัด GC)'!TheYear)-WEEKDAY(DATEVALUE("7/1/"&amp;'C2 (Dec''22 fix ตัด GC)'!TheYear))+1</definedName>
    <definedName name="JulSun1" localSheetId="4">DATEVALUE("7/1/"&amp;'C3LPG'!TheYear)-WEEKDAY(DATEVALUE("7/1/"&amp;'C3LPG'!TheYear))+1</definedName>
    <definedName name="JulSun1" localSheetId="9">DATEVALUE("7/1/"&amp;TheYear)-WEEKDAY(DATEVALUE("7/1/"&amp;TheYear))+1</definedName>
    <definedName name="JulSun1" localSheetId="8">DATEVALUE("7/1/"&amp;'Graph Allo'!TheYear)-WEEKDAY(DATEVALUE("7/1/"&amp;'Graph Allo'!TheYear))+1</definedName>
    <definedName name="JulSun1" localSheetId="5">DATEVALUE("7/1/"&amp;NGL!TheYear)-WEEKDAY(DATEVALUE("7/1/"&amp;NGL!TheYear))+1</definedName>
    <definedName name="JulSun1" localSheetId="10">DATEVALUE("7/1/"&amp;TheYear)-WEEKDAY(DATEVALUE("7/1/"&amp;TheYear))+1</definedName>
    <definedName name="JulSun1">DATEVALUE("7/1/"&amp;TheYear)-WEEKDAY(DATEVALUE("7/1/"&amp;TheYear))+1</definedName>
    <definedName name="Jun" localSheetId="2">#REF!</definedName>
    <definedName name="Jun" localSheetId="1">#REF!</definedName>
    <definedName name="Jun" localSheetId="4">#REF!</definedName>
    <definedName name="Jun" localSheetId="8">#REF!</definedName>
    <definedName name="Jun" localSheetId="5">#REF!</definedName>
    <definedName name="Jun">#REF!</definedName>
    <definedName name="JunSun1" localSheetId="2">DATEVALUE("6/1/"&amp;'C2'!TheYear)-WEEKDAY(DATEVALUE("6/1/"&amp;'C2'!TheYear))+1</definedName>
    <definedName name="JunSun1" localSheetId="1">DATEVALUE("6/1/"&amp;'C2 (Dec''22 fix ตัด GC)'!TheYear)-WEEKDAY(DATEVALUE("6/1/"&amp;'C2 (Dec''22 fix ตัด GC)'!TheYear))+1</definedName>
    <definedName name="JunSun1" localSheetId="4">DATEVALUE("6/1/"&amp;'C3LPG'!TheYear)-WEEKDAY(DATEVALUE("6/1/"&amp;'C3LPG'!TheYear))+1</definedName>
    <definedName name="JunSun1" localSheetId="9">DATEVALUE("6/1/"&amp;TheYear)-WEEKDAY(DATEVALUE("6/1/"&amp;TheYear))+1</definedName>
    <definedName name="JunSun1" localSheetId="8">DATEVALUE("6/1/"&amp;'Graph Allo'!TheYear)-WEEKDAY(DATEVALUE("6/1/"&amp;'Graph Allo'!TheYear))+1</definedName>
    <definedName name="JunSun1" localSheetId="5">DATEVALUE("6/1/"&amp;NGL!TheYear)-WEEKDAY(DATEVALUE("6/1/"&amp;NGL!TheYear))+1</definedName>
    <definedName name="JunSun1" localSheetId="10">DATEVALUE("6/1/"&amp;TheYear)-WEEKDAY(DATEVALUE("6/1/"&amp;TheYear))+1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2">#REF!</definedName>
    <definedName name="Lost_seal" localSheetId="1">#REF!</definedName>
    <definedName name="Lost_seal" localSheetId="4">#REF!</definedName>
    <definedName name="Lost_seal" localSheetId="8">#REF!</definedName>
    <definedName name="Lost_seal" localSheetId="5">#REF!</definedName>
    <definedName name="Lost_seal">#REF!</definedName>
    <definedName name="Mar" localSheetId="2">#REF!</definedName>
    <definedName name="Mar" localSheetId="1">#REF!</definedName>
    <definedName name="Mar" localSheetId="4">#REF!</definedName>
    <definedName name="Mar" localSheetId="8">#REF!</definedName>
    <definedName name="Mar" localSheetId="5">#REF!</definedName>
    <definedName name="Mar">#REF!</definedName>
    <definedName name="MarSun1" localSheetId="2">DATEVALUE("3/1/"&amp;'C2'!TheYear)-WEEKDAY(DATEVALUE("3/1/"&amp;'C2'!TheYear))+1</definedName>
    <definedName name="MarSun1" localSheetId="1">DATEVALUE("3/1/"&amp;'C2 (Dec''22 fix ตัด GC)'!TheYear)-WEEKDAY(DATEVALUE("3/1/"&amp;'C2 (Dec''22 fix ตัด GC)'!TheYear))+1</definedName>
    <definedName name="MarSun1" localSheetId="4">DATEVALUE("3/1/"&amp;'C3LPG'!TheYear)-WEEKDAY(DATEVALUE("3/1/"&amp;'C3LPG'!TheYear))+1</definedName>
    <definedName name="MarSun1" localSheetId="9">DATEVALUE("3/1/"&amp;TheYear)-WEEKDAY(DATEVALUE("3/1/"&amp;TheYear))+1</definedName>
    <definedName name="MarSun1" localSheetId="8">DATEVALUE("3/1/"&amp;'Graph Allo'!TheYear)-WEEKDAY(DATEVALUE("3/1/"&amp;'Graph Allo'!TheYear))+1</definedName>
    <definedName name="MarSun1" localSheetId="5">DATEVALUE("3/1/"&amp;NGL!TheYear)-WEEKDAY(DATEVALUE("3/1/"&amp;NGL!TheYear))+1</definedName>
    <definedName name="MarSun1" localSheetId="10">DATEVALUE("3/1/"&amp;TheYear)-WEEKDAY(DATEVALUE("3/1/"&amp;TheYear))+1</definedName>
    <definedName name="MarSun1">DATEVALUE("3/1/"&amp;TheYear)-WEEKDAY(DATEVALUE("3/1/"&amp;TheYear))+1</definedName>
    <definedName name="May" localSheetId="2">#REF!</definedName>
    <definedName name="May" localSheetId="1">#REF!</definedName>
    <definedName name="May" localSheetId="4">#REF!</definedName>
    <definedName name="May" localSheetId="8">#REF!</definedName>
    <definedName name="May" localSheetId="5">#REF!</definedName>
    <definedName name="May">#REF!</definedName>
    <definedName name="MaySun1" localSheetId="2">DATEVALUE("5/1/"&amp;'C2'!TheYear)-WEEKDAY(DATEVALUE("5/1/"&amp;'C2'!TheYear))+1</definedName>
    <definedName name="MaySun1" localSheetId="1">DATEVALUE("5/1/"&amp;'C2 (Dec''22 fix ตัด GC)'!TheYear)-WEEKDAY(DATEVALUE("5/1/"&amp;'C2 (Dec''22 fix ตัด GC)'!TheYear))+1</definedName>
    <definedName name="MaySun1" localSheetId="4">DATEVALUE("5/1/"&amp;'C3LPG'!TheYear)-WEEKDAY(DATEVALUE("5/1/"&amp;'C3LPG'!TheYear))+1</definedName>
    <definedName name="MaySun1" localSheetId="9">DATEVALUE("5/1/"&amp;TheYear)-WEEKDAY(DATEVALUE("5/1/"&amp;TheYear))+1</definedName>
    <definedName name="MaySun1" localSheetId="8">DATEVALUE("5/1/"&amp;'Graph Allo'!TheYear)-WEEKDAY(DATEVALUE("5/1/"&amp;'Graph Allo'!TheYear))+1</definedName>
    <definedName name="MaySun1" localSheetId="5">DATEVALUE("5/1/"&amp;NGL!TheYear)-WEEKDAY(DATEVALUE("5/1/"&amp;NGL!TheYear))+1</definedName>
    <definedName name="MaySun1" localSheetId="10">DATEVALUE("5/1/"&amp;TheYear)-WEEKDAY(DATEVALUE("5/1/"&amp;TheYear))+1</definedName>
    <definedName name="MaySun1">DATEVALUE("5/1/"&amp;TheYear)-WEEKDAY(DATEVALUE("5/1/"&amp;TheYear))+1</definedName>
    <definedName name="mng">[4]level_all!$AC$2:$AL$15</definedName>
    <definedName name="MonRange" localSheetId="2">#REF!</definedName>
    <definedName name="MonRange" localSheetId="1">#REF!</definedName>
    <definedName name="MonRange" localSheetId="4">#REF!</definedName>
    <definedName name="MonRange" localSheetId="8">#REF!</definedName>
    <definedName name="MonRange" localSheetId="5">#REF!</definedName>
    <definedName name="MonRange">#REF!</definedName>
    <definedName name="Nov" localSheetId="2">#REF!</definedName>
    <definedName name="Nov" localSheetId="1">#REF!</definedName>
    <definedName name="Nov" localSheetId="4">#REF!</definedName>
    <definedName name="Nov" localSheetId="8">#REF!</definedName>
    <definedName name="Nov" localSheetId="5">#REF!</definedName>
    <definedName name="Nov">#REF!</definedName>
    <definedName name="NovSun1" localSheetId="2">DATEVALUE("11/1/"&amp;'C2'!TheYear)-WEEKDAY(DATEVALUE("11/1/"&amp;'C2'!TheYear))+1</definedName>
    <definedName name="NovSun1" localSheetId="1">DATEVALUE("11/1/"&amp;'C2 (Dec''22 fix ตัด GC)'!TheYear)-WEEKDAY(DATEVALUE("11/1/"&amp;'C2 (Dec''22 fix ตัด GC)'!TheYear))+1</definedName>
    <definedName name="NovSun1" localSheetId="4">DATEVALUE("11/1/"&amp;'C3LPG'!TheYear)-WEEKDAY(DATEVALUE("11/1/"&amp;'C3LPG'!TheYear))+1</definedName>
    <definedName name="NovSun1" localSheetId="9">DATEVALUE("11/1/"&amp;TheYear)-WEEKDAY(DATEVALUE("11/1/"&amp;TheYear))+1</definedName>
    <definedName name="NovSun1" localSheetId="8">DATEVALUE("11/1/"&amp;'Graph Allo'!TheYear)-WEEKDAY(DATEVALUE("11/1/"&amp;'Graph Allo'!TheYear))+1</definedName>
    <definedName name="NovSun1" localSheetId="5">DATEVALUE("11/1/"&amp;NGL!TheYear)-WEEKDAY(DATEVALUE("11/1/"&amp;NGL!TheYear))+1</definedName>
    <definedName name="NovSun1" localSheetId="10">DATEVALUE("11/1/"&amp;TheYear)-WEEKDAY(DATEVALUE("11/1/"&amp;TheYear))+1</definedName>
    <definedName name="NovSun1">DATEVALUE("11/1/"&amp;TheYear)-WEEKDAY(DATEVALUE("11/1/"&amp;TheYear))+1</definedName>
    <definedName name="NP">[4]level_all!$EG$2:$EP$15</definedName>
    <definedName name="Oct" localSheetId="2">#REF!</definedName>
    <definedName name="Oct" localSheetId="1">#REF!</definedName>
    <definedName name="Oct" localSheetId="4">#REF!</definedName>
    <definedName name="Oct" localSheetId="8">#REF!</definedName>
    <definedName name="Oct" localSheetId="5">#REF!</definedName>
    <definedName name="Oct">#REF!</definedName>
    <definedName name="OctSun1" localSheetId="2">DATEVALUE("10/1/"&amp;'C2'!TheYear)-WEEKDAY(DATEVALUE("10/1/"&amp;'C2'!TheYear))+1</definedName>
    <definedName name="OctSun1" localSheetId="1">DATEVALUE("10/1/"&amp;'C2 (Dec''22 fix ตัด GC)'!TheYear)-WEEKDAY(DATEVALUE("10/1/"&amp;'C2 (Dec''22 fix ตัด GC)'!TheYear))+1</definedName>
    <definedName name="OctSun1" localSheetId="4">DATEVALUE("10/1/"&amp;'C3LPG'!TheYear)-WEEKDAY(DATEVALUE("10/1/"&amp;'C3LPG'!TheYear))+1</definedName>
    <definedName name="OctSun1" localSheetId="9">DATEVALUE("10/1/"&amp;TheYear)-WEEKDAY(DATEVALUE("10/1/"&amp;TheYear))+1</definedName>
    <definedName name="OctSun1" localSheetId="8">DATEVALUE("10/1/"&amp;'Graph Allo'!TheYear)-WEEKDAY(DATEVALUE("10/1/"&amp;'Graph Allo'!TheYear))+1</definedName>
    <definedName name="OctSun1" localSheetId="5">DATEVALUE("10/1/"&amp;NGL!TheYear)-WEEKDAY(DATEVALUE("10/1/"&amp;NGL!TheYear))+1</definedName>
    <definedName name="OctSun1" localSheetId="10">DATEVALUE("10/1/"&amp;TheYear)-WEEKDAY(DATEVALUE("10/1/"&amp;TheYear))+1</definedName>
    <definedName name="OctSun1">DATEVALUE("10/1/"&amp;TheYear)-WEEKDAY(DATEVALUE("10/1/"&amp;TheYear))+1</definedName>
    <definedName name="OneStepChart" localSheetId="2">[6]!OneStepChart</definedName>
    <definedName name="OneStepChart" localSheetId="1">[6]!OneStepChart</definedName>
    <definedName name="OneStepChart" localSheetId="4">[6]!OneStepChart</definedName>
    <definedName name="OneStepChart" localSheetId="8">[6]!OneStepChart</definedName>
    <definedName name="OneStepChart" localSheetId="5">[6]!OneStepChart</definedName>
    <definedName name="OneStepChart">[6]!OneStepChart</definedName>
    <definedName name="outad" localSheetId="2">#REF!</definedName>
    <definedName name="outad" localSheetId="1">#REF!</definedName>
    <definedName name="outad" localSheetId="4">#REF!</definedName>
    <definedName name="outad" localSheetId="8">#REF!</definedName>
    <definedName name="outad" localSheetId="5">#REF!</definedName>
    <definedName name="outad">#REF!</definedName>
    <definedName name="PAGE2" localSheetId="2">#REF!</definedName>
    <definedName name="PAGE2" localSheetId="1">#REF!</definedName>
    <definedName name="PAGE2" localSheetId="4">#REF!</definedName>
    <definedName name="PAGE2" localSheetId="8">#REF!</definedName>
    <definedName name="PAGE2" localSheetId="5">#REF!</definedName>
    <definedName name="PAGE2">#REF!</definedName>
    <definedName name="pool3" localSheetId="2">[3]Purchase!#REF!</definedName>
    <definedName name="pool3" localSheetId="1">[3]Purchase!#REF!</definedName>
    <definedName name="pool3" localSheetId="4">[3]Purchase!#REF!</definedName>
    <definedName name="pool3" localSheetId="8">[3]Purchase!#REF!</definedName>
    <definedName name="pool3" localSheetId="5">[3]Purchase!#REF!</definedName>
    <definedName name="pool3">[3]Purchase!#REF!</definedName>
    <definedName name="Pressure_not_stabilized" localSheetId="2">#REF!</definedName>
    <definedName name="Pressure_not_stabilized" localSheetId="1">#REF!</definedName>
    <definedName name="Pressure_not_stabilized" localSheetId="4">#REF!</definedName>
    <definedName name="Pressure_not_stabilized" localSheetId="8">#REF!</definedName>
    <definedName name="Pressure_not_stabilized" localSheetId="5">#REF!</definedName>
    <definedName name="Pressure_not_stabilized">#REF!</definedName>
    <definedName name="_xlnm.Print_Area" localSheetId="2">#REF!</definedName>
    <definedName name="_xlnm.Print_Area" localSheetId="1">#REF!</definedName>
    <definedName name="_xlnm.Print_Area" localSheetId="4">#REF!</definedName>
    <definedName name="_xlnm.Print_Area" localSheetId="8">#REF!</definedName>
    <definedName name="_xlnm.Print_Area" localSheetId="5">#REF!</definedName>
    <definedName name="_xlnm.Print_Area">#REF!</definedName>
    <definedName name="PRINT_AREA_MI" localSheetId="2">#REF!</definedName>
    <definedName name="PRINT_AREA_MI" localSheetId="1">#REF!</definedName>
    <definedName name="PRINT_AREA_MI" localSheetId="4">#REF!</definedName>
    <definedName name="PRINT_AREA_MI" localSheetId="8">#REF!</definedName>
    <definedName name="PRINT_AREA_MI" localSheetId="5">#REF!</definedName>
    <definedName name="PRINT_AREA_MI">#REF!</definedName>
    <definedName name="Q" localSheetId="2">[3]Purchase!#REF!</definedName>
    <definedName name="Q" localSheetId="1">[3]Purchase!#REF!</definedName>
    <definedName name="Q" localSheetId="4">[3]Purchase!#REF!</definedName>
    <definedName name="Q" localSheetId="8">[3]Purchase!#REF!</definedName>
    <definedName name="Q" localSheetId="5">[3]Purchase!#REF!</definedName>
    <definedName name="Q">[3]Purchase!#REF!</definedName>
    <definedName name="RPB">[4]level_all!$ER$2:$EZ$15</definedName>
    <definedName name="S234gal." localSheetId="2">#REF!</definedName>
    <definedName name="S234gal." localSheetId="1">#REF!</definedName>
    <definedName name="S234gal." localSheetId="4">#REF!</definedName>
    <definedName name="S234gal." localSheetId="8">#REF!</definedName>
    <definedName name="S234gal." localSheetId="5">#REF!</definedName>
    <definedName name="S234gal.">#REF!</definedName>
    <definedName name="S6gal." localSheetId="2">#REF!</definedName>
    <definedName name="S6gal." localSheetId="1">#REF!</definedName>
    <definedName name="S6gal." localSheetId="4">#REF!</definedName>
    <definedName name="S6gal." localSheetId="8">#REF!</definedName>
    <definedName name="S6gal." localSheetId="5">#REF!</definedName>
    <definedName name="S6gal.">#REF!</definedName>
    <definedName name="SALES" localSheetId="2">#REF!</definedName>
    <definedName name="SALES" localSheetId="1">#REF!</definedName>
    <definedName name="SALES" localSheetId="4">#REF!</definedName>
    <definedName name="SALES" localSheetId="8">#REF!</definedName>
    <definedName name="SALES" localSheetId="5">#REF!</definedName>
    <definedName name="SALES">#REF!</definedName>
    <definedName name="Seal_Failure" localSheetId="2">#REF!</definedName>
    <definedName name="Seal_Failure" localSheetId="1">#REF!</definedName>
    <definedName name="Seal_Failure" localSheetId="4">#REF!</definedName>
    <definedName name="Seal_Failure" localSheetId="8">#REF!</definedName>
    <definedName name="Seal_Failure" localSheetId="5">#REF!</definedName>
    <definedName name="Seal_Failure">#REF!</definedName>
    <definedName name="Sep" localSheetId="2">#REF!</definedName>
    <definedName name="Sep" localSheetId="1">#REF!</definedName>
    <definedName name="Sep" localSheetId="4">#REF!</definedName>
    <definedName name="Sep" localSheetId="8">#REF!</definedName>
    <definedName name="Sep" localSheetId="5">#REF!</definedName>
    <definedName name="Sep">#REF!</definedName>
    <definedName name="SepSun1" localSheetId="2">DATEVALUE("9/1/"&amp;'C2'!TheYear)-WEEKDAY(DATEVALUE("9/1/"&amp;'C2'!TheYear))+1</definedName>
    <definedName name="SepSun1" localSheetId="1">DATEVALUE("9/1/"&amp;'C2 (Dec''22 fix ตัด GC)'!TheYear)-WEEKDAY(DATEVALUE("9/1/"&amp;'C2 (Dec''22 fix ตัด GC)'!TheYear))+1</definedName>
    <definedName name="SepSun1" localSheetId="4">DATEVALUE("9/1/"&amp;'C3LPG'!TheYear)-WEEKDAY(DATEVALUE("9/1/"&amp;'C3LPG'!TheYear))+1</definedName>
    <definedName name="SepSun1" localSheetId="9">DATEVALUE("9/1/"&amp;TheYear)-WEEKDAY(DATEVALUE("9/1/"&amp;TheYear))+1</definedName>
    <definedName name="SepSun1" localSheetId="8">DATEVALUE("9/1/"&amp;'Graph Allo'!TheYear)-WEEKDAY(DATEVALUE("9/1/"&amp;'Graph Allo'!TheYear))+1</definedName>
    <definedName name="SepSun1" localSheetId="5">DATEVALUE("9/1/"&amp;NGL!TheYear)-WEEKDAY(DATEVALUE("9/1/"&amp;NGL!TheYear))+1</definedName>
    <definedName name="SepSun1" localSheetId="10">DATEVALUE("9/1/"&amp;TheYear)-WEEKDAY(DATEVALUE("9/1/"&amp;TheYear))+1</definedName>
    <definedName name="SepSun1">DATEVALUE("9/1/"&amp;TheYear)-WEEKDAY(DATEVALUE("9/1/"&amp;TheYear))+1</definedName>
    <definedName name="sfsdfd" localSheetId="2">#REF!</definedName>
    <definedName name="sfsdfd" localSheetId="1">#REF!</definedName>
    <definedName name="sfsdfd" localSheetId="4">#REF!</definedName>
    <definedName name="sfsdfd" localSheetId="8">#REF!</definedName>
    <definedName name="sfsdfd" localSheetId="5">#REF!</definedName>
    <definedName name="sfsdfd">#REF!</definedName>
    <definedName name="sk">[4]level_all!$N$2:$U$15</definedName>
    <definedName name="SNR">[4]level_all!$AO$2:$AX$15</definedName>
    <definedName name="SRD">[4]level_all!$DD$2:$DM$15</definedName>
    <definedName name="su" localSheetId="2">#REF!</definedName>
    <definedName name="su" localSheetId="1">#REF!</definedName>
    <definedName name="su" localSheetId="4">#REF!</definedName>
    <definedName name="su" localSheetId="8">#REF!</definedName>
    <definedName name="su" localSheetId="5">#REF!</definedName>
    <definedName name="su">#REF!</definedName>
    <definedName name="Supercharged_?" localSheetId="2">#REF!</definedName>
    <definedName name="Supercharged_?" localSheetId="1">#REF!</definedName>
    <definedName name="Supercharged_?" localSheetId="4">#REF!</definedName>
    <definedName name="Supercharged_?" localSheetId="8">#REF!</definedName>
    <definedName name="Supercharged_?" localSheetId="5">#REF!</definedName>
    <definedName name="Supercharged_?">#REF!</definedName>
    <definedName name="suree" localSheetId="2">#REF!</definedName>
    <definedName name="suree" localSheetId="1">#REF!</definedName>
    <definedName name="suree" localSheetId="4">#REF!</definedName>
    <definedName name="suree" localSheetId="8">#REF!</definedName>
    <definedName name="suree" localSheetId="5">#REF!</definedName>
    <definedName name="suree">#REF!</definedName>
    <definedName name="TheYear" localSheetId="2">#REF!</definedName>
    <definedName name="TheYear" localSheetId="1">#REF!</definedName>
    <definedName name="TheYear" localSheetId="4">#REF!</definedName>
    <definedName name="TheYear" localSheetId="8">#REF!</definedName>
    <definedName name="TheYear" localSheetId="5">#REF!</definedName>
    <definedName name="TheYear">#REF!</definedName>
    <definedName name="UNIT__Bbtu" localSheetId="2">#REF!</definedName>
    <definedName name="UNIT__Bbtu" localSheetId="1">#REF!</definedName>
    <definedName name="UNIT__Bbtu" localSheetId="4">#REF!</definedName>
    <definedName name="UNIT__Bbtu" localSheetId="8">#REF!</definedName>
    <definedName name="UNIT__Bbtu" localSheetId="5">#REF!</definedName>
    <definedName name="UNIT__Bbtu">#REF!</definedName>
    <definedName name="UNIT__Bbtu_d" localSheetId="2">#REF!</definedName>
    <definedName name="UNIT__Bbtu_d" localSheetId="1">#REF!</definedName>
    <definedName name="UNIT__Bbtu_d" localSheetId="4">#REF!</definedName>
    <definedName name="UNIT__Bbtu_d" localSheetId="8">#REF!</definedName>
    <definedName name="UNIT__Bbtu_d" localSheetId="5">#REF!</definedName>
    <definedName name="UNIT__Bbtu_d">#REF!</definedName>
    <definedName name="UR">[4]level_all!$CP$2:$CY$15</definedName>
    <definedName name="VOLUME" localSheetId="2">#REF!</definedName>
    <definedName name="VOLUME" localSheetId="1">#REF!</definedName>
    <definedName name="VOLUME" localSheetId="4">#REF!</definedName>
    <definedName name="VOLUME" localSheetId="8">#REF!</definedName>
    <definedName name="VOLUME" localSheetId="5">#REF!</definedName>
    <definedName name="VOLUME">#REF!</definedName>
    <definedName name="WATER" localSheetId="2">#REF!</definedName>
    <definedName name="WATER" localSheetId="1">#REF!</definedName>
    <definedName name="WATER" localSheetId="4">#REF!</definedName>
    <definedName name="WATER" localSheetId="8">#REF!</definedName>
    <definedName name="WATER" localSheetId="5">#REF!</definedName>
    <definedName name="WATER">#REF!</definedName>
    <definedName name="WH" localSheetId="2">#REF!</definedName>
    <definedName name="WH" localSheetId="1">#REF!</definedName>
    <definedName name="WH" localSheetId="4">#REF!</definedName>
    <definedName name="WH" localSheetId="8">#REF!</definedName>
    <definedName name="WH" localSheetId="5">#REF!</definedName>
    <definedName name="WH">#REF!</definedName>
    <definedName name="wrn.A." localSheetId="9" hidden="1">{#N/A,#N/A,TRUE,"mng";#N/A,#N/A,TRUE,"snr";#N/A,#N/A,TRUE,"khl";#N/A,#N/A,TRUE,"kkc";#N/A,#N/A,TRUE,"krd";#N/A,#N/A,TRUE,"ur";#N/A,#N/A,TRUE,"srd";#N/A,#N/A,TRUE,"clb";#N/A,#N/A,TRUE,"np";#N/A,#N/A,TRUE,"rpb";#N/A,#N/A,TRUE,"blg"}</definedName>
    <definedName name="wrn.A." localSheetId="10" hidden="1">{#N/A,#N/A,TRUE,"mng";#N/A,#N/A,TRUE,"snr";#N/A,#N/A,TRUE,"khl";#N/A,#N/A,TRUE,"kkc";#N/A,#N/A,TRUE,"krd";#N/A,#N/A,TRUE,"ur";#N/A,#N/A,TRUE,"srd";#N/A,#N/A,TRUE,"clb";#N/A,#N/A,TRUE,"np";#N/A,#N/A,TRUE,"rpb";#N/A,#N/A,TRUE,"blg"}</definedName>
    <definedName name="wrn.A." hidden="1">{#N/A,#N/A,TRUE,"mng";#N/A,#N/A,TRUE,"snr";#N/A,#N/A,TRUE,"khl";#N/A,#N/A,TRUE,"kkc";#N/A,#N/A,TRUE,"krd";#N/A,#N/A,TRUE,"ur";#N/A,#N/A,TRUE,"srd";#N/A,#N/A,TRUE,"clb";#N/A,#N/A,TRUE,"np";#N/A,#N/A,TRUE,"rpb";#N/A,#N/A,TRUE,"blg"}</definedName>
    <definedName name="x" localSheetId="2">[3]Purchase!#REF!</definedName>
    <definedName name="x" localSheetId="1">[3]Purchase!#REF!</definedName>
    <definedName name="x" localSheetId="4">[3]Purchase!#REF!</definedName>
    <definedName name="x" localSheetId="8">[3]Purchase!#REF!</definedName>
    <definedName name="x" localSheetId="5">[3]Purchase!#REF!</definedName>
    <definedName name="x">[3]Purchase!#REF!</definedName>
    <definedName name="xxx" localSheetId="2">[3]Purchase!#REF!</definedName>
    <definedName name="xxx" localSheetId="1">[3]Purchase!#REF!</definedName>
    <definedName name="xxx" localSheetId="4">[3]Purchase!#REF!</definedName>
    <definedName name="xxx" localSheetId="8">[3]Purchase!#REF!</definedName>
    <definedName name="xxx" localSheetId="5">[3]Purchase!#REF!</definedName>
    <definedName name="xxx">[3]Purchase!#REF!</definedName>
    <definedName name="ZeroRef">[5]Invent.!$B$6</definedName>
    <definedName name="น้ำระบาย" localSheetId="2">#REF!</definedName>
    <definedName name="น้ำระบาย" localSheetId="1">#REF!</definedName>
    <definedName name="น้ำระบาย" localSheetId="4">#REF!</definedName>
    <definedName name="น้ำระบาย" localSheetId="8">#REF!</definedName>
    <definedName name="น้ำระบาย" localSheetId="5">#REF!</definedName>
    <definedName name="น้ำระบาย">#REF!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B36" i="56" l="1"/>
  <c r="AC36" i="56"/>
  <c r="AD36" i="56"/>
  <c r="AE36" i="56"/>
  <c r="AF36" i="56"/>
  <c r="AG36" i="56"/>
  <c r="AH36" i="56"/>
  <c r="AI36" i="56"/>
  <c r="AJ36" i="56"/>
  <c r="AK36" i="56"/>
  <c r="AL36" i="56"/>
  <c r="AM36" i="56"/>
  <c r="AB37" i="56"/>
  <c r="AC37" i="56"/>
  <c r="AD37" i="56"/>
  <c r="AE37" i="56"/>
  <c r="AF37" i="56"/>
  <c r="AG37" i="56"/>
  <c r="AH37" i="56"/>
  <c r="AJ37" i="56"/>
  <c r="AK37" i="56"/>
  <c r="AL37" i="56"/>
  <c r="AM37" i="56"/>
  <c r="AB38" i="56"/>
  <c r="AC38" i="56"/>
  <c r="AD38" i="56"/>
  <c r="AE38" i="56"/>
  <c r="AF38" i="56"/>
  <c r="AG38" i="56"/>
  <c r="AH38" i="56"/>
  <c r="AI38" i="56"/>
  <c r="AJ38" i="56"/>
  <c r="AK38" i="56"/>
  <c r="AL38" i="56"/>
  <c r="AM38" i="56"/>
  <c r="AB39" i="56"/>
  <c r="AC39" i="56"/>
  <c r="AD39" i="56"/>
  <c r="AE39" i="56"/>
  <c r="AF39" i="56"/>
  <c r="AG39" i="56"/>
  <c r="AH39" i="56"/>
  <c r="AI39" i="56"/>
  <c r="AJ39" i="56"/>
  <c r="AK39" i="56"/>
  <c r="AL39" i="56"/>
  <c r="AM39" i="56"/>
  <c r="AA37" i="56"/>
  <c r="AA38" i="56"/>
  <c r="AA39" i="56"/>
  <c r="AA36" i="56"/>
  <c r="AB35" i="56"/>
  <c r="AB34" i="56" s="1"/>
  <c r="AC35" i="56"/>
  <c r="AD35" i="56"/>
  <c r="AE35" i="56"/>
  <c r="AF35" i="56"/>
  <c r="AG35" i="56"/>
  <c r="AH35" i="56"/>
  <c r="AI35" i="56"/>
  <c r="AJ35" i="56"/>
  <c r="AK35" i="56"/>
  <c r="AL35" i="56"/>
  <c r="AM35" i="56"/>
  <c r="AA35" i="56"/>
  <c r="AJ112" i="50" l="1"/>
  <c r="AJ30" i="50" s="1"/>
  <c r="AK30" i="50" s="1"/>
  <c r="AL30" i="50" s="1"/>
  <c r="AM30" i="50" s="1"/>
  <c r="AN30" i="50" s="1"/>
  <c r="CD8" i="111" l="1"/>
  <c r="BZ8" i="111"/>
  <c r="BY8" i="111"/>
  <c r="BX8" i="111"/>
  <c r="BW8" i="111"/>
  <c r="AZ60" i="50" l="1"/>
  <c r="AZ61" i="50"/>
  <c r="AZ62" i="50"/>
  <c r="AZ63" i="50"/>
  <c r="AZ64" i="50"/>
  <c r="AX60" i="50"/>
  <c r="AZ59" i="50"/>
  <c r="AZ112" i="50"/>
  <c r="AZ114" i="50"/>
  <c r="AZ118" i="50"/>
  <c r="AZ121" i="50"/>
  <c r="AZ122" i="50"/>
  <c r="AZ123" i="50"/>
  <c r="AZ124" i="50"/>
  <c r="AZ125" i="50"/>
  <c r="AZ126" i="50"/>
  <c r="AZ127" i="50"/>
  <c r="AZ128" i="50"/>
  <c r="AZ129" i="50"/>
  <c r="AZ130" i="50"/>
  <c r="AZ131" i="50"/>
  <c r="AZ132" i="50"/>
  <c r="AZ133" i="50"/>
  <c r="AZ134" i="50"/>
  <c r="AZ135" i="50"/>
  <c r="AZ136" i="50"/>
  <c r="AZ137" i="50"/>
  <c r="AZ138" i="50"/>
  <c r="AZ139" i="50"/>
  <c r="AZ140" i="50"/>
  <c r="AZ141" i="50"/>
  <c r="AZ142" i="50"/>
  <c r="AZ143" i="50"/>
  <c r="AZ144" i="50"/>
  <c r="AZ145" i="50"/>
  <c r="AZ146" i="50"/>
  <c r="AZ147" i="50"/>
  <c r="AZ148" i="50"/>
  <c r="AZ149" i="50"/>
  <c r="AZ150" i="50"/>
  <c r="AZ152" i="50"/>
  <c r="AZ153" i="50"/>
  <c r="AZ154" i="50"/>
  <c r="AZ155" i="50"/>
  <c r="AZ156" i="50"/>
  <c r="AZ157" i="50"/>
  <c r="AZ158" i="50"/>
  <c r="AZ159" i="50"/>
  <c r="AZ160" i="50"/>
  <c r="AZ161" i="50"/>
  <c r="AZ162" i="50"/>
  <c r="AZ163" i="50"/>
  <c r="AZ164" i="50"/>
  <c r="AZ165" i="50"/>
  <c r="AZ166" i="50"/>
  <c r="AZ167" i="50"/>
  <c r="AZ168" i="50"/>
  <c r="AZ170" i="50"/>
  <c r="AZ171" i="50"/>
  <c r="AZ172" i="50"/>
  <c r="AX129" i="50"/>
  <c r="AX130" i="50"/>
  <c r="AX131" i="50"/>
  <c r="AX132" i="50"/>
  <c r="AX133" i="50"/>
  <c r="AX134" i="50"/>
  <c r="AX135" i="50"/>
  <c r="AX136" i="50"/>
  <c r="AX138" i="50"/>
  <c r="AX139" i="50"/>
  <c r="AX141" i="50"/>
  <c r="AX142" i="50"/>
  <c r="AX143" i="50"/>
  <c r="AX144" i="50"/>
  <c r="AX145" i="50"/>
  <c r="AX146" i="50"/>
  <c r="AX147" i="50"/>
  <c r="AX148" i="50"/>
  <c r="AX152" i="50"/>
  <c r="AX153" i="50"/>
  <c r="AX154" i="50"/>
  <c r="AX155" i="50"/>
  <c r="AX156" i="50"/>
  <c r="AX157" i="50"/>
  <c r="AX158" i="50"/>
  <c r="AX159" i="50"/>
  <c r="AX160" i="50"/>
  <c r="AX161" i="50"/>
  <c r="AX162" i="50"/>
  <c r="AX163" i="50"/>
  <c r="AX164" i="50"/>
  <c r="AX165" i="50"/>
  <c r="AX166" i="50"/>
  <c r="AX167" i="50"/>
  <c r="AX168" i="50"/>
  <c r="AX170" i="50"/>
  <c r="AX172" i="50"/>
  <c r="AG33" i="56" l="1"/>
  <c r="AG34" i="56" s="1"/>
  <c r="AF33" i="56"/>
  <c r="AF34" i="56" s="1"/>
  <c r="AM33" i="56"/>
  <c r="AM34" i="56" s="1"/>
  <c r="AL33" i="56"/>
  <c r="AL34" i="56" s="1"/>
  <c r="AK33" i="56"/>
  <c r="AK34" i="56" s="1"/>
  <c r="AI33" i="56"/>
  <c r="AE33" i="56"/>
  <c r="AE34" i="56" s="1"/>
  <c r="AA33" i="56"/>
  <c r="AC7" i="129"/>
  <c r="AJ17" i="50" l="1"/>
  <c r="AJ79" i="50" l="1"/>
  <c r="AJ81" i="50" s="1"/>
  <c r="AK79" i="50"/>
  <c r="AK81" i="50" s="1"/>
  <c r="AL79" i="50"/>
  <c r="AL81" i="50" s="1"/>
  <c r="AM79" i="50"/>
  <c r="AM81" i="50" s="1"/>
  <c r="AN79" i="50"/>
  <c r="AN81" i="50" s="1"/>
  <c r="AO79" i="50"/>
  <c r="AO81" i="50" s="1"/>
  <c r="AP79" i="50"/>
  <c r="AP81" i="50" s="1"/>
  <c r="AQ79" i="50"/>
  <c r="AQ81" i="50" s="1"/>
  <c r="AR79" i="50"/>
  <c r="AR81" i="50" s="1"/>
  <c r="AS79" i="50"/>
  <c r="AS81" i="50" s="1"/>
  <c r="AT79" i="50"/>
  <c r="AT81" i="50" s="1"/>
  <c r="AU79" i="50"/>
  <c r="AU81" i="50" s="1"/>
  <c r="AV79" i="50"/>
  <c r="AV81" i="50" s="1"/>
  <c r="AJ83" i="50" l="1"/>
  <c r="AJ137" i="50" l="1"/>
  <c r="AJ149" i="50"/>
  <c r="AI73" i="50"/>
  <c r="AK73" i="50"/>
  <c r="AL73" i="50"/>
  <c r="AM73" i="50"/>
  <c r="AN73" i="50"/>
  <c r="AO73" i="50"/>
  <c r="AP73" i="50"/>
  <c r="AQ73" i="50"/>
  <c r="AR73" i="50"/>
  <c r="AS73" i="50"/>
  <c r="AT73" i="50"/>
  <c r="AU73" i="50"/>
  <c r="AV73" i="50"/>
  <c r="AJ73" i="50"/>
  <c r="AZ55" i="50" l="1"/>
  <c r="AI120" i="50" l="1"/>
  <c r="AI119" i="50"/>
  <c r="AC33" i="56" l="1"/>
  <c r="AC34" i="56" s="1"/>
  <c r="AH33" i="56" l="1"/>
  <c r="AH34" i="56" s="1"/>
  <c r="AI125" i="50" l="1"/>
  <c r="AI8" i="50" l="1"/>
  <c r="AI79" i="50" l="1"/>
  <c r="AI81" i="50" s="1"/>
  <c r="CG7" i="111"/>
  <c r="CF7" i="111"/>
  <c r="CE7" i="111"/>
  <c r="CD7" i="111"/>
  <c r="CB7" i="111"/>
  <c r="CA7" i="111"/>
  <c r="BZ7" i="111"/>
  <c r="BY7" i="111"/>
  <c r="CC7" i="111"/>
  <c r="CH7" i="111"/>
  <c r="BX7" i="111"/>
  <c r="BW7" i="111"/>
  <c r="CA8" i="111"/>
  <c r="CB8" i="111"/>
  <c r="CC8" i="111"/>
  <c r="CE8" i="111"/>
  <c r="CF8" i="111"/>
  <c r="CG8" i="111"/>
  <c r="CH8" i="111"/>
  <c r="AK111" i="50" l="1"/>
  <c r="AI137" i="50" l="1"/>
  <c r="AI171" i="50"/>
  <c r="Y83" i="50" l="1"/>
  <c r="Y84" i="50"/>
  <c r="Y88" i="50" s="1"/>
  <c r="Y92" i="50" s="1"/>
  <c r="Z84" i="50"/>
  <c r="Z88" i="50" s="1"/>
  <c r="Z92" i="50" s="1"/>
  <c r="AA84" i="50"/>
  <c r="AA88" i="50" s="1"/>
  <c r="AA92" i="50" s="1"/>
  <c r="AB84" i="50"/>
  <c r="AB88" i="50" s="1"/>
  <c r="AB92" i="50" s="1"/>
  <c r="AC84" i="50"/>
  <c r="AC88" i="50" s="1"/>
  <c r="AC92" i="50" s="1"/>
  <c r="AD84" i="50"/>
  <c r="AD88" i="50" s="1"/>
  <c r="AE84" i="50"/>
  <c r="AE88" i="50" s="1"/>
  <c r="AF84" i="50"/>
  <c r="AF88" i="50" s="1"/>
  <c r="AG84" i="50"/>
  <c r="AG88" i="50" s="1"/>
  <c r="AH84" i="50"/>
  <c r="AH88" i="50" s="1"/>
  <c r="Y85" i="50"/>
  <c r="Y86" i="50"/>
  <c r="AA87" i="50"/>
  <c r="AA89" i="50" s="1"/>
  <c r="AC87" i="50"/>
  <c r="AC89" i="50" s="1"/>
  <c r="AC91" i="50" l="1"/>
  <c r="AC90" i="50"/>
  <c r="AC94" i="50" s="1"/>
  <c r="AC93" i="50"/>
  <c r="AA93" i="50"/>
  <c r="AA90" i="50"/>
  <c r="AA94" i="50" s="1"/>
  <c r="AA91" i="50"/>
  <c r="AO115" i="50" l="1"/>
  <c r="AZ115" i="50" l="1"/>
  <c r="AO30" i="50"/>
  <c r="AP30" i="50" s="1"/>
  <c r="AQ30" i="50" s="1"/>
  <c r="AR30" i="50" s="1"/>
  <c r="AS30" i="50" s="1"/>
  <c r="AT30" i="50" s="1"/>
  <c r="AU30" i="50" s="1"/>
  <c r="AV30" i="50" s="1"/>
  <c r="V22" i="134"/>
  <c r="W22" i="134" s="1"/>
  <c r="V23" i="134"/>
  <c r="W23" i="134" s="1"/>
  <c r="V17" i="134"/>
  <c r="W17" i="134" s="1"/>
  <c r="S17" i="134"/>
  <c r="T17" i="134" s="1"/>
  <c r="S23" i="134"/>
  <c r="T23" i="134" s="1"/>
  <c r="S22" i="134"/>
  <c r="T22" i="134" s="1"/>
  <c r="F1" i="131" l="1"/>
  <c r="F6" i="131" s="1"/>
  <c r="F12" i="131" s="1"/>
  <c r="F19" i="131" s="1"/>
  <c r="F2" i="131"/>
  <c r="F13" i="131"/>
  <c r="F14" i="131"/>
  <c r="F16" i="131"/>
  <c r="F20" i="131"/>
  <c r="F21" i="131" s="1"/>
  <c r="AD34" i="56" l="1"/>
  <c r="O27" i="134" l="1"/>
  <c r="O26" i="134"/>
  <c r="O25" i="134"/>
  <c r="O24" i="134"/>
  <c r="O23" i="134"/>
  <c r="O22" i="134"/>
  <c r="O21" i="134"/>
  <c r="O20" i="134"/>
  <c r="O19" i="134"/>
  <c r="O18" i="134"/>
  <c r="O17" i="134"/>
  <c r="O13" i="134"/>
  <c r="O12" i="134"/>
  <c r="O11" i="134"/>
  <c r="O10" i="134"/>
  <c r="O9" i="134"/>
  <c r="O8" i="134"/>
  <c r="O7" i="134"/>
  <c r="O6" i="134"/>
  <c r="O5" i="134"/>
  <c r="O4" i="134"/>
  <c r="O3" i="134"/>
  <c r="AJ33" i="56" l="1"/>
  <c r="AJ34" i="56" s="1"/>
  <c r="AK113" i="50" l="1"/>
  <c r="AZ113" i="50" s="1"/>
  <c r="AI9" i="50" l="1"/>
  <c r="AK85" i="50" l="1"/>
  <c r="AL85" i="50"/>
  <c r="AM85" i="50"/>
  <c r="AN85" i="50"/>
  <c r="AJ87" i="50"/>
  <c r="AJ89" i="50" s="1"/>
  <c r="AJ90" i="50" s="1"/>
  <c r="AJ94" i="50" s="1"/>
  <c r="AK87" i="50"/>
  <c r="AL87" i="50"/>
  <c r="AL89" i="50" s="1"/>
  <c r="AM87" i="50"/>
  <c r="AM89" i="50" s="1"/>
  <c r="AN87" i="50"/>
  <c r="AN91" i="50" s="1"/>
  <c r="AJ85" i="50" l="1"/>
  <c r="AK89" i="50"/>
  <c r="AK93" i="50" s="1"/>
  <c r="AN83" i="50"/>
  <c r="AK91" i="50"/>
  <c r="AJ91" i="50"/>
  <c r="AN89" i="50"/>
  <c r="AK83" i="50"/>
  <c r="AK82" i="50" s="1"/>
  <c r="AK80" i="50" s="1"/>
  <c r="AM90" i="50"/>
  <c r="AM94" i="50" s="1"/>
  <c r="AM93" i="50"/>
  <c r="AM83" i="50"/>
  <c r="AM82" i="50" s="1"/>
  <c r="AM80" i="50" s="1"/>
  <c r="AM91" i="50"/>
  <c r="AJ93" i="50"/>
  <c r="AL91" i="50"/>
  <c r="AL83" i="50"/>
  <c r="AL90" i="50"/>
  <c r="AL94" i="50" s="1"/>
  <c r="AL93" i="50"/>
  <c r="AN82" i="50" l="1"/>
  <c r="AN80" i="50" s="1"/>
  <c r="AL82" i="50"/>
  <c r="AL80" i="50" s="1"/>
  <c r="AL84" i="50" s="1"/>
  <c r="AL88" i="50" s="1"/>
  <c r="AL92" i="50" s="1"/>
  <c r="AJ82" i="50"/>
  <c r="AJ80" i="50" s="1"/>
  <c r="AJ84" i="50" s="1"/>
  <c r="AJ88" i="50" s="1"/>
  <c r="AJ92" i="50" s="1"/>
  <c r="AK90" i="50"/>
  <c r="AK94" i="50" s="1"/>
  <c r="AK84" i="50"/>
  <c r="AN84" i="50"/>
  <c r="AN88" i="50" s="1"/>
  <c r="AN92" i="50" s="1"/>
  <c r="AN90" i="50"/>
  <c r="AN94" i="50" s="1"/>
  <c r="AN93" i="50"/>
  <c r="AM86" i="50"/>
  <c r="AM84" i="50"/>
  <c r="AM88" i="50" s="1"/>
  <c r="AM92" i="50" s="1"/>
  <c r="AL86" i="50" l="1"/>
  <c r="AJ86" i="50"/>
  <c r="AN86" i="50"/>
  <c r="AK88" i="50"/>
  <c r="AK86" i="50"/>
  <c r="AK92" i="50" l="1"/>
  <c r="AI87" i="50"/>
  <c r="AA55" i="133"/>
  <c r="AA50" i="133"/>
  <c r="AA57" i="133" s="1"/>
  <c r="AA31" i="133"/>
  <c r="AA23" i="133"/>
  <c r="AA24" i="133" s="1"/>
  <c r="AA21" i="133"/>
  <c r="AA10" i="133"/>
  <c r="AA8" i="133"/>
  <c r="AA4" i="133"/>
  <c r="AA2" i="133"/>
  <c r="Z55" i="133"/>
  <c r="Y55" i="133"/>
  <c r="X55" i="133"/>
  <c r="W55" i="133"/>
  <c r="V55" i="133"/>
  <c r="U55" i="133"/>
  <c r="T55" i="133"/>
  <c r="S55" i="133"/>
  <c r="R55" i="133"/>
  <c r="Q55" i="133"/>
  <c r="P55" i="133"/>
  <c r="O55" i="133"/>
  <c r="N55" i="133"/>
  <c r="M55" i="133"/>
  <c r="L55" i="133"/>
  <c r="K55" i="133"/>
  <c r="J55" i="133"/>
  <c r="I55" i="133"/>
  <c r="H55" i="133"/>
  <c r="G55" i="133"/>
  <c r="F55" i="133"/>
  <c r="E55" i="133"/>
  <c r="AC54" i="133"/>
  <c r="AC53" i="133"/>
  <c r="AC52" i="133"/>
  <c r="AC51" i="133"/>
  <c r="Z50" i="133"/>
  <c r="Z57" i="133" s="1"/>
  <c r="Y50" i="133"/>
  <c r="Y57" i="133" s="1"/>
  <c r="X50" i="133"/>
  <c r="X57" i="133" s="1"/>
  <c r="W50" i="133"/>
  <c r="W57" i="133" s="1"/>
  <c r="V50" i="133"/>
  <c r="V57" i="133" s="1"/>
  <c r="U50" i="133"/>
  <c r="U57" i="133" s="1"/>
  <c r="T50" i="133"/>
  <c r="T57" i="133" s="1"/>
  <c r="S50" i="133"/>
  <c r="S57" i="133" s="1"/>
  <c r="R50" i="133"/>
  <c r="R57" i="133" s="1"/>
  <c r="Q50" i="133"/>
  <c r="Q57" i="133" s="1"/>
  <c r="P50" i="133"/>
  <c r="P57" i="133" s="1"/>
  <c r="O50" i="133"/>
  <c r="O57" i="133" s="1"/>
  <c r="N50" i="133"/>
  <c r="N57" i="133" s="1"/>
  <c r="M50" i="133"/>
  <c r="M57" i="133" s="1"/>
  <c r="L50" i="133"/>
  <c r="L57" i="133" s="1"/>
  <c r="K50" i="133"/>
  <c r="K57" i="133" s="1"/>
  <c r="J50" i="133"/>
  <c r="J57" i="133" s="1"/>
  <c r="I50" i="133"/>
  <c r="I57" i="133" s="1"/>
  <c r="H50" i="133"/>
  <c r="G50" i="133"/>
  <c r="F50" i="133"/>
  <c r="E50" i="133"/>
  <c r="AC49" i="133"/>
  <c r="AC48" i="133"/>
  <c r="AC35" i="133"/>
  <c r="Z31" i="133"/>
  <c r="Y31" i="133"/>
  <c r="X31" i="133"/>
  <c r="W31" i="133"/>
  <c r="V31" i="133"/>
  <c r="U31" i="133"/>
  <c r="T31" i="133"/>
  <c r="S31" i="133"/>
  <c r="R31" i="133"/>
  <c r="Q31" i="133"/>
  <c r="P31" i="133"/>
  <c r="O31" i="133"/>
  <c r="N31" i="133"/>
  <c r="M31" i="133"/>
  <c r="L31" i="133"/>
  <c r="K31" i="133"/>
  <c r="J31" i="133"/>
  <c r="I31" i="133"/>
  <c r="H31" i="133"/>
  <c r="G31" i="133"/>
  <c r="F31" i="133"/>
  <c r="E31" i="133"/>
  <c r="D31" i="133"/>
  <c r="C31" i="133"/>
  <c r="C29" i="133"/>
  <c r="D24" i="133"/>
  <c r="D28" i="133" s="1"/>
  <c r="C24" i="133"/>
  <c r="Z23" i="133"/>
  <c r="Z24" i="133" s="1"/>
  <c r="Y23" i="133"/>
  <c r="Y24" i="133" s="1"/>
  <c r="X23" i="133"/>
  <c r="X24" i="133" s="1"/>
  <c r="W23" i="133"/>
  <c r="W24" i="133" s="1"/>
  <c r="V23" i="133"/>
  <c r="V24" i="133" s="1"/>
  <c r="U23" i="133"/>
  <c r="U24" i="133" s="1"/>
  <c r="T23" i="133"/>
  <c r="T24" i="133" s="1"/>
  <c r="S23" i="133"/>
  <c r="S24" i="133" s="1"/>
  <c r="R23" i="133"/>
  <c r="R24" i="133" s="1"/>
  <c r="Q23" i="133"/>
  <c r="Q24" i="133" s="1"/>
  <c r="P23" i="133"/>
  <c r="P24" i="133" s="1"/>
  <c r="O23" i="133"/>
  <c r="O24" i="133" s="1"/>
  <c r="N23" i="133"/>
  <c r="N24" i="133" s="1"/>
  <c r="M23" i="133"/>
  <c r="M24" i="133" s="1"/>
  <c r="L23" i="133"/>
  <c r="L24" i="133" s="1"/>
  <c r="K23" i="133"/>
  <c r="K24" i="133" s="1"/>
  <c r="J23" i="133"/>
  <c r="J24" i="133" s="1"/>
  <c r="I23" i="133"/>
  <c r="I24" i="133" s="1"/>
  <c r="H23" i="133"/>
  <c r="H24" i="133" s="1"/>
  <c r="G23" i="133"/>
  <c r="G24" i="133" s="1"/>
  <c r="F23" i="133"/>
  <c r="F24" i="133" s="1"/>
  <c r="E23" i="133"/>
  <c r="E24" i="133" s="1"/>
  <c r="Z21" i="133"/>
  <c r="Y21" i="133"/>
  <c r="X21" i="133"/>
  <c r="W21" i="133"/>
  <c r="V21" i="133"/>
  <c r="U21" i="133"/>
  <c r="T21" i="133"/>
  <c r="S21" i="133"/>
  <c r="R21" i="133"/>
  <c r="Q21" i="133"/>
  <c r="P21" i="133"/>
  <c r="O21" i="133"/>
  <c r="N21" i="133"/>
  <c r="M21" i="133"/>
  <c r="L21" i="133"/>
  <c r="K21" i="133"/>
  <c r="J21" i="133"/>
  <c r="I21" i="133"/>
  <c r="H21" i="133"/>
  <c r="G21" i="133"/>
  <c r="F21" i="133"/>
  <c r="E21" i="133"/>
  <c r="D21" i="133"/>
  <c r="C21" i="133"/>
  <c r="Z10" i="133"/>
  <c r="Y10" i="133"/>
  <c r="X10" i="133"/>
  <c r="W10" i="133"/>
  <c r="V10" i="133"/>
  <c r="U10" i="133"/>
  <c r="T10" i="133"/>
  <c r="S10" i="133"/>
  <c r="R10" i="133"/>
  <c r="Q10" i="133"/>
  <c r="P10" i="133"/>
  <c r="O10" i="133"/>
  <c r="N10" i="133"/>
  <c r="M10" i="133"/>
  <c r="L10" i="133"/>
  <c r="K10" i="133"/>
  <c r="J10" i="133"/>
  <c r="I10" i="133"/>
  <c r="H10" i="133"/>
  <c r="G10" i="133"/>
  <c r="F10" i="133"/>
  <c r="E10" i="133"/>
  <c r="D10" i="133"/>
  <c r="C10" i="133"/>
  <c r="AC9" i="133"/>
  <c r="Z8" i="133"/>
  <c r="Z16" i="133" s="1"/>
  <c r="Y8" i="133"/>
  <c r="Y16" i="133" s="1"/>
  <c r="X8" i="133"/>
  <c r="W8" i="133"/>
  <c r="W16" i="133" s="1"/>
  <c r="W19" i="133" s="1"/>
  <c r="V8" i="133"/>
  <c r="V16" i="133" s="1"/>
  <c r="U8" i="133"/>
  <c r="U16" i="133" s="1"/>
  <c r="T8" i="133"/>
  <c r="S8" i="133"/>
  <c r="S16" i="133" s="1"/>
  <c r="S18" i="133" s="1"/>
  <c r="R8" i="133"/>
  <c r="R16" i="133" s="1"/>
  <c r="Q8" i="133"/>
  <c r="Q16" i="133" s="1"/>
  <c r="P8" i="133"/>
  <c r="O8" i="133"/>
  <c r="O16" i="133" s="1"/>
  <c r="O19" i="133" s="1"/>
  <c r="N8" i="133"/>
  <c r="N16" i="133" s="1"/>
  <c r="M8" i="133"/>
  <c r="M16" i="133" s="1"/>
  <c r="L8" i="133"/>
  <c r="K8" i="133"/>
  <c r="K16" i="133" s="1"/>
  <c r="K18" i="133" s="1"/>
  <c r="J8" i="133"/>
  <c r="J16" i="133" s="1"/>
  <c r="I8" i="133"/>
  <c r="I16" i="133" s="1"/>
  <c r="H8" i="133"/>
  <c r="G8" i="133"/>
  <c r="G16" i="133" s="1"/>
  <c r="G19" i="133" s="1"/>
  <c r="F8" i="133"/>
  <c r="F16" i="133" s="1"/>
  <c r="E8" i="133"/>
  <c r="E16" i="133" s="1"/>
  <c r="D8" i="133"/>
  <c r="C8" i="133"/>
  <c r="A8" i="133"/>
  <c r="AC7" i="133"/>
  <c r="Z4" i="133"/>
  <c r="Y4" i="133"/>
  <c r="X4" i="133"/>
  <c r="W4" i="133"/>
  <c r="V4" i="133"/>
  <c r="U4" i="133"/>
  <c r="T4" i="133"/>
  <c r="S4" i="133"/>
  <c r="R4" i="133"/>
  <c r="Q4" i="133"/>
  <c r="P4" i="133"/>
  <c r="O4" i="133"/>
  <c r="N4" i="133"/>
  <c r="M4" i="133"/>
  <c r="L4" i="133"/>
  <c r="K4" i="133"/>
  <c r="J4" i="133"/>
  <c r="I4" i="133"/>
  <c r="H4" i="133"/>
  <c r="G4" i="133"/>
  <c r="F4" i="133"/>
  <c r="E4" i="133"/>
  <c r="D4" i="133"/>
  <c r="C4" i="133"/>
  <c r="Z2" i="133"/>
  <c r="Y2" i="133"/>
  <c r="X2" i="133"/>
  <c r="W2" i="133"/>
  <c r="V2" i="133"/>
  <c r="U2" i="133"/>
  <c r="T2" i="133"/>
  <c r="S2" i="133"/>
  <c r="R2" i="133"/>
  <c r="Q2" i="133"/>
  <c r="P2" i="133"/>
  <c r="O2" i="133"/>
  <c r="N2" i="133"/>
  <c r="M2" i="133"/>
  <c r="L2" i="133"/>
  <c r="K2" i="133"/>
  <c r="J2" i="133"/>
  <c r="I2" i="133"/>
  <c r="H2" i="133"/>
  <c r="G2" i="133"/>
  <c r="F2" i="133"/>
  <c r="E2" i="133"/>
  <c r="D2" i="133"/>
  <c r="C2" i="133"/>
  <c r="AI89" i="50" l="1"/>
  <c r="AI91" i="50"/>
  <c r="D38" i="133"/>
  <c r="D33" i="133" s="1"/>
  <c r="D36" i="133" s="1"/>
  <c r="H38" i="133"/>
  <c r="H33" i="133" s="1"/>
  <c r="H36" i="133" s="1"/>
  <c r="L38" i="133"/>
  <c r="L33" i="133" s="1"/>
  <c r="L36" i="133" s="1"/>
  <c r="P38" i="133"/>
  <c r="P33" i="133" s="1"/>
  <c r="P36" i="133" s="1"/>
  <c r="T38" i="133"/>
  <c r="T33" i="133" s="1"/>
  <c r="T36" i="133" s="1"/>
  <c r="X38" i="133"/>
  <c r="X33" i="133" s="1"/>
  <c r="X36" i="133" s="1"/>
  <c r="AI83" i="50"/>
  <c r="AA38" i="133"/>
  <c r="AA33" i="133" s="1"/>
  <c r="AA36" i="133" s="1"/>
  <c r="AC55" i="133"/>
  <c r="H16" i="133"/>
  <c r="H18" i="133" s="1"/>
  <c r="P16" i="133"/>
  <c r="P18" i="133" s="1"/>
  <c r="X16" i="133"/>
  <c r="X18" i="133" s="1"/>
  <c r="D25" i="133"/>
  <c r="G38" i="133"/>
  <c r="G33" i="133" s="1"/>
  <c r="G36" i="133" s="1"/>
  <c r="K38" i="133"/>
  <c r="K33" i="133" s="1"/>
  <c r="K45" i="133" s="1"/>
  <c r="O38" i="133"/>
  <c r="O33" i="133" s="1"/>
  <c r="O36" i="133" s="1"/>
  <c r="S38" i="133"/>
  <c r="S33" i="133" s="1"/>
  <c r="S36" i="133" s="1"/>
  <c r="W38" i="133"/>
  <c r="W33" i="133" s="1"/>
  <c r="W36" i="133" s="1"/>
  <c r="L16" i="133"/>
  <c r="L18" i="133" s="1"/>
  <c r="T16" i="133"/>
  <c r="T18" i="133" s="1"/>
  <c r="AA16" i="133"/>
  <c r="AA18" i="133" s="1"/>
  <c r="AA25" i="133"/>
  <c r="F28" i="133"/>
  <c r="F37" i="133" s="1"/>
  <c r="F25" i="133"/>
  <c r="J25" i="133"/>
  <c r="R25" i="133"/>
  <c r="Z25" i="133"/>
  <c r="K25" i="133"/>
  <c r="O28" i="133"/>
  <c r="O25" i="133"/>
  <c r="W28" i="133"/>
  <c r="W37" i="133" s="1"/>
  <c r="W25" i="133"/>
  <c r="E19" i="133"/>
  <c r="E18" i="133"/>
  <c r="I18" i="133"/>
  <c r="I19" i="133"/>
  <c r="I28" i="133" s="1"/>
  <c r="I37" i="133" s="1"/>
  <c r="M19" i="133"/>
  <c r="M28" i="133" s="1"/>
  <c r="M18" i="133"/>
  <c r="Q19" i="133"/>
  <c r="Q18" i="133"/>
  <c r="U18" i="133"/>
  <c r="U19" i="133"/>
  <c r="U28" i="133" s="1"/>
  <c r="U37" i="133" s="1"/>
  <c r="Y19" i="133"/>
  <c r="Y28" i="133" s="1"/>
  <c r="Y37" i="133" s="1"/>
  <c r="Y18" i="133"/>
  <c r="H25" i="133"/>
  <c r="H28" i="133"/>
  <c r="H37" i="133" s="1"/>
  <c r="L25" i="133"/>
  <c r="P25" i="133"/>
  <c r="T25" i="133"/>
  <c r="X25" i="133"/>
  <c r="D29" i="133"/>
  <c r="D26" i="133"/>
  <c r="N25" i="133"/>
  <c r="V25" i="133"/>
  <c r="G28" i="133"/>
  <c r="G37" i="133" s="1"/>
  <c r="G25" i="133"/>
  <c r="S25" i="133"/>
  <c r="F19" i="133"/>
  <c r="F18" i="133"/>
  <c r="J19" i="133"/>
  <c r="J28" i="133" s="1"/>
  <c r="J37" i="133" s="1"/>
  <c r="J18" i="133"/>
  <c r="N19" i="133"/>
  <c r="N28" i="133" s="1"/>
  <c r="N18" i="133"/>
  <c r="R19" i="133"/>
  <c r="R28" i="133" s="1"/>
  <c r="R18" i="133"/>
  <c r="V19" i="133"/>
  <c r="V28" i="133" s="1"/>
  <c r="V18" i="133"/>
  <c r="Z19" i="133"/>
  <c r="Z28" i="133" s="1"/>
  <c r="Z18" i="133"/>
  <c r="E28" i="133"/>
  <c r="E37" i="133" s="1"/>
  <c r="E25" i="133"/>
  <c r="I25" i="133"/>
  <c r="M25" i="133"/>
  <c r="Q28" i="133"/>
  <c r="Q25" i="133"/>
  <c r="U25" i="133"/>
  <c r="Y25" i="133"/>
  <c r="K19" i="133"/>
  <c r="K28" i="133" s="1"/>
  <c r="S19" i="133"/>
  <c r="S28" i="133" s="1"/>
  <c r="V38" i="133"/>
  <c r="V33" i="133" s="1"/>
  <c r="V36" i="133" s="1"/>
  <c r="G18" i="133"/>
  <c r="O18" i="133"/>
  <c r="W18" i="133"/>
  <c r="J38" i="133"/>
  <c r="J33" i="133" s="1"/>
  <c r="J36" i="133" s="1"/>
  <c r="R38" i="133"/>
  <c r="R33" i="133" s="1"/>
  <c r="R36" i="133" s="1"/>
  <c r="Z38" i="133"/>
  <c r="Z33" i="133" s="1"/>
  <c r="Z36" i="133" s="1"/>
  <c r="AC50" i="133"/>
  <c r="F38" i="133"/>
  <c r="F33" i="133" s="1"/>
  <c r="F36" i="133" s="1"/>
  <c r="N38" i="133"/>
  <c r="N33" i="133" s="1"/>
  <c r="N36" i="133" s="1"/>
  <c r="E38" i="133"/>
  <c r="E33" i="133" s="1"/>
  <c r="E36" i="133" s="1"/>
  <c r="I38" i="133"/>
  <c r="I33" i="133" s="1"/>
  <c r="I36" i="133" s="1"/>
  <c r="M38" i="133"/>
  <c r="M33" i="133" s="1"/>
  <c r="M36" i="133" s="1"/>
  <c r="Q38" i="133"/>
  <c r="Q33" i="133" s="1"/>
  <c r="Q36" i="133" s="1"/>
  <c r="U38" i="133"/>
  <c r="U33" i="133" s="1"/>
  <c r="U36" i="133" s="1"/>
  <c r="Y38" i="133"/>
  <c r="Y33" i="133" s="1"/>
  <c r="Y36" i="133" s="1"/>
  <c r="D37" i="133"/>
  <c r="AI90" i="50" l="1"/>
  <c r="AI94" i="50" s="1"/>
  <c r="AI93" i="50"/>
  <c r="K36" i="133"/>
  <c r="H19" i="133"/>
  <c r="T19" i="133"/>
  <c r="T28" i="133" s="1"/>
  <c r="T37" i="133" s="1"/>
  <c r="L19" i="133"/>
  <c r="L28" i="133" s="1"/>
  <c r="L29" i="133" s="1"/>
  <c r="P19" i="133"/>
  <c r="P28" i="133" s="1"/>
  <c r="P37" i="133" s="1"/>
  <c r="P32" i="133" s="1"/>
  <c r="X19" i="133"/>
  <c r="X28" i="133" s="1"/>
  <c r="X37" i="133" s="1"/>
  <c r="AA19" i="133"/>
  <c r="AA28" i="133" s="1"/>
  <c r="AA29" i="133" s="1"/>
  <c r="V29" i="133"/>
  <c r="V26" i="133"/>
  <c r="V27" i="133" s="1"/>
  <c r="V37" i="133"/>
  <c r="K26" i="133"/>
  <c r="K27" i="133" s="1"/>
  <c r="K29" i="133"/>
  <c r="K37" i="133"/>
  <c r="M29" i="133"/>
  <c r="M26" i="133"/>
  <c r="M27" i="133" s="1"/>
  <c r="M37" i="133"/>
  <c r="S29" i="133"/>
  <c r="S26" i="133"/>
  <c r="S27" i="133" s="1"/>
  <c r="S37" i="133"/>
  <c r="N29" i="133"/>
  <c r="N26" i="133"/>
  <c r="N27" i="133" s="1"/>
  <c r="N37" i="133"/>
  <c r="R29" i="133"/>
  <c r="R26" i="133"/>
  <c r="R27" i="133" s="1"/>
  <c r="R37" i="133"/>
  <c r="Y39" i="133"/>
  <c r="Y32" i="133"/>
  <c r="J39" i="133"/>
  <c r="J32" i="133"/>
  <c r="O44" i="133"/>
  <c r="P44" i="133" s="1"/>
  <c r="Q44" i="133" s="1"/>
  <c r="O29" i="133"/>
  <c r="O26" i="133"/>
  <c r="O27" i="133" s="1"/>
  <c r="Z29" i="133"/>
  <c r="Z26" i="133"/>
  <c r="Z27" i="133" s="1"/>
  <c r="Q29" i="133"/>
  <c r="Q26" i="133"/>
  <c r="Q27" i="133" s="1"/>
  <c r="U39" i="133"/>
  <c r="U32" i="133"/>
  <c r="E39" i="133"/>
  <c r="E32" i="133"/>
  <c r="G29" i="133"/>
  <c r="G26" i="133"/>
  <c r="G27" i="133" s="1"/>
  <c r="F39" i="133"/>
  <c r="F32" i="133"/>
  <c r="H32" i="133"/>
  <c r="H39" i="133"/>
  <c r="Q37" i="133"/>
  <c r="W29" i="133"/>
  <c r="W26" i="133"/>
  <c r="W27" i="133" s="1"/>
  <c r="F29" i="133"/>
  <c r="F26" i="133"/>
  <c r="F27" i="133" s="1"/>
  <c r="I39" i="133"/>
  <c r="I32" i="133"/>
  <c r="J29" i="133"/>
  <c r="J26" i="133"/>
  <c r="J27" i="133" s="1"/>
  <c r="W32" i="133"/>
  <c r="W39" i="133"/>
  <c r="G32" i="133"/>
  <c r="G39" i="133"/>
  <c r="Y26" i="133"/>
  <c r="Y27" i="133" s="1"/>
  <c r="Y29" i="133"/>
  <c r="I29" i="133"/>
  <c r="I26" i="133"/>
  <c r="I27" i="133" s="1"/>
  <c r="D27" i="133"/>
  <c r="D39" i="133"/>
  <c r="D32" i="133"/>
  <c r="D35" i="133" s="1"/>
  <c r="O37" i="133"/>
  <c r="U29" i="133"/>
  <c r="U26" i="133"/>
  <c r="U27" i="133" s="1"/>
  <c r="E29" i="133"/>
  <c r="E26" i="133"/>
  <c r="E27" i="133" s="1"/>
  <c r="H26" i="133"/>
  <c r="H27" i="133" s="1"/>
  <c r="H29" i="133"/>
  <c r="Z37" i="133"/>
  <c r="AI85" i="50" l="1"/>
  <c r="AI82" i="50" s="1"/>
  <c r="P39" i="133"/>
  <c r="T29" i="133"/>
  <c r="AA26" i="133"/>
  <c r="AA27" i="133" s="1"/>
  <c r="T26" i="133"/>
  <c r="T27" i="133" s="1"/>
  <c r="L37" i="133"/>
  <c r="L32" i="133" s="1"/>
  <c r="L26" i="133"/>
  <c r="L27" i="133" s="1"/>
  <c r="AA37" i="133"/>
  <c r="AA39" i="133" s="1"/>
  <c r="X29" i="133"/>
  <c r="X26" i="133"/>
  <c r="X27" i="133" s="1"/>
  <c r="P29" i="133"/>
  <c r="P26" i="133"/>
  <c r="P27" i="133" s="1"/>
  <c r="K32" i="133"/>
  <c r="K39" i="133"/>
  <c r="AC26" i="133"/>
  <c r="O32" i="133"/>
  <c r="O39" i="133"/>
  <c r="W35" i="133"/>
  <c r="W41" i="133" s="1"/>
  <c r="W34" i="133"/>
  <c r="F34" i="133"/>
  <c r="F35" i="133"/>
  <c r="F41" i="133" s="1"/>
  <c r="E34" i="133"/>
  <c r="E35" i="133"/>
  <c r="E41" i="133" s="1"/>
  <c r="M39" i="133"/>
  <c r="M32" i="133"/>
  <c r="X32" i="133"/>
  <c r="X39" i="133"/>
  <c r="G35" i="133"/>
  <c r="G41" i="133" s="1"/>
  <c r="G34" i="133"/>
  <c r="U34" i="133"/>
  <c r="U35" i="133"/>
  <c r="U41" i="133" s="1"/>
  <c r="P35" i="133"/>
  <c r="P34" i="133"/>
  <c r="P61" i="133" s="1"/>
  <c r="N39" i="133"/>
  <c r="N32" i="133"/>
  <c r="I34" i="133"/>
  <c r="I35" i="133"/>
  <c r="I41" i="133" s="1"/>
  <c r="H34" i="133"/>
  <c r="H35" i="133"/>
  <c r="H41" i="133" s="1"/>
  <c r="Y34" i="133"/>
  <c r="Y35" i="133"/>
  <c r="Y41" i="133" s="1"/>
  <c r="R39" i="133"/>
  <c r="R32" i="133"/>
  <c r="T39" i="133"/>
  <c r="T32" i="133"/>
  <c r="L39" i="133"/>
  <c r="Z39" i="133"/>
  <c r="Z32" i="133"/>
  <c r="D41" i="133"/>
  <c r="Q39" i="133"/>
  <c r="Q32" i="133"/>
  <c r="J34" i="133"/>
  <c r="J61" i="133" s="1"/>
  <c r="J35" i="133"/>
  <c r="J41" i="133" s="1"/>
  <c r="S32" i="133"/>
  <c r="S39" i="133"/>
  <c r="V39" i="133"/>
  <c r="V32" i="133"/>
  <c r="AI86" i="50" l="1"/>
  <c r="AI80" i="50"/>
  <c r="AI84" i="50" s="1"/>
  <c r="AI88" i="50" s="1"/>
  <c r="AA32" i="133"/>
  <c r="AA34" i="133" s="1"/>
  <c r="P41" i="133"/>
  <c r="F42" i="133"/>
  <c r="I42" i="133"/>
  <c r="V34" i="133"/>
  <c r="V35" i="133"/>
  <c r="H42" i="133"/>
  <c r="Z34" i="133"/>
  <c r="Z35" i="133"/>
  <c r="T35" i="133"/>
  <c r="T34" i="133"/>
  <c r="T61" i="133" s="1"/>
  <c r="N34" i="133"/>
  <c r="N61" i="133" s="1"/>
  <c r="N35" i="133"/>
  <c r="P42" i="133"/>
  <c r="G42" i="133"/>
  <c r="S35" i="133"/>
  <c r="S34" i="133"/>
  <c r="S61" i="133" s="1"/>
  <c r="L35" i="133"/>
  <c r="L34" i="133"/>
  <c r="L61" i="133" s="1"/>
  <c r="R34" i="133"/>
  <c r="R61" i="133" s="1"/>
  <c r="R35" i="133"/>
  <c r="X34" i="133"/>
  <c r="X35" i="133"/>
  <c r="O35" i="133"/>
  <c r="O34" i="133"/>
  <c r="O61" i="133" s="1"/>
  <c r="E42" i="133"/>
  <c r="J42" i="133"/>
  <c r="Q34" i="133"/>
  <c r="Q61" i="133" s="1"/>
  <c r="Q35" i="133"/>
  <c r="Y42" i="133"/>
  <c r="M34" i="133"/>
  <c r="M61" i="133" s="1"/>
  <c r="M35" i="133"/>
  <c r="W42" i="133"/>
  <c r="K35" i="133"/>
  <c r="K34" i="133"/>
  <c r="K61" i="133" s="1"/>
  <c r="U42" i="133"/>
  <c r="AA35" i="133" l="1"/>
  <c r="AA42" i="133" s="1"/>
  <c r="AX84" i="50"/>
  <c r="AI92" i="50"/>
  <c r="AX88" i="50"/>
  <c r="AA41" i="133"/>
  <c r="O41" i="133"/>
  <c r="O42" i="133"/>
  <c r="K41" i="133"/>
  <c r="K42" i="133"/>
  <c r="L41" i="133"/>
  <c r="L42" i="133"/>
  <c r="T41" i="133"/>
  <c r="T42" i="133"/>
  <c r="V41" i="133"/>
  <c r="V42" i="133"/>
  <c r="M41" i="133"/>
  <c r="M43" i="133"/>
  <c r="M42" i="133"/>
  <c r="S41" i="133"/>
  <c r="S42" i="133"/>
  <c r="X41" i="133"/>
  <c r="X42" i="133"/>
  <c r="Q41" i="133"/>
  <c r="Q42" i="133"/>
  <c r="R41" i="133"/>
  <c r="R42" i="133"/>
  <c r="N43" i="133"/>
  <c r="N41" i="133"/>
  <c r="N42" i="133"/>
  <c r="Z41" i="133"/>
  <c r="Z42" i="133"/>
  <c r="AL177" i="50" l="1"/>
  <c r="AM177" i="50"/>
  <c r="AN177" i="50"/>
  <c r="AO177" i="50"/>
  <c r="AP177" i="50"/>
  <c r="AQ177" i="50"/>
  <c r="AS177" i="50"/>
  <c r="AT177" i="50"/>
  <c r="AU177" i="50"/>
  <c r="AV177" i="50"/>
  <c r="AO178" i="50"/>
  <c r="BU8" i="111" l="1"/>
  <c r="BV7" i="111" l="1"/>
  <c r="F15" i="131" s="1"/>
  <c r="F17" i="131" s="1"/>
  <c r="Z55" i="129" l="1"/>
  <c r="Z50" i="129"/>
  <c r="Z57" i="129" s="1"/>
  <c r="Z31" i="129"/>
  <c r="Z23" i="129"/>
  <c r="Z24" i="129" s="1"/>
  <c r="Z25" i="129" s="1"/>
  <c r="Z21" i="129"/>
  <c r="Z10" i="129"/>
  <c r="Z8" i="129"/>
  <c r="Z16" i="129" s="1"/>
  <c r="Z4" i="129"/>
  <c r="Z2" i="129"/>
  <c r="AB7" i="129"/>
  <c r="Z19" i="129" l="1"/>
  <c r="Z28" i="129" s="1"/>
  <c r="Z18" i="129"/>
  <c r="Z38" i="129"/>
  <c r="Z33" i="129" s="1"/>
  <c r="Z36" i="129" s="1"/>
  <c r="Z29" i="129" l="1"/>
  <c r="Z26" i="129"/>
  <c r="Z27" i="129" s="1"/>
  <c r="Z37" i="129"/>
  <c r="AI203" i="50"/>
  <c r="AJ203" i="50"/>
  <c r="AK203" i="50"/>
  <c r="AL203" i="50"/>
  <c r="AM203" i="50"/>
  <c r="AN203" i="50"/>
  <c r="AI204" i="50"/>
  <c r="AJ204" i="50"/>
  <c r="AK204" i="50"/>
  <c r="AL204" i="50"/>
  <c r="AM204" i="50"/>
  <c r="AN204" i="50"/>
  <c r="AP203" i="50"/>
  <c r="AQ203" i="50"/>
  <c r="AS203" i="50"/>
  <c r="AT203" i="50"/>
  <c r="AU203" i="50"/>
  <c r="AV203" i="50"/>
  <c r="AP204" i="50"/>
  <c r="AQ204" i="50"/>
  <c r="AR204" i="50"/>
  <c r="AS204" i="50"/>
  <c r="AT204" i="50"/>
  <c r="AU204" i="50"/>
  <c r="AV204" i="50"/>
  <c r="AO204" i="50"/>
  <c r="AO203" i="50"/>
  <c r="AQ205" i="50" l="1"/>
  <c r="AT205" i="50"/>
  <c r="AU205" i="50"/>
  <c r="AP205" i="50"/>
  <c r="AO205" i="50"/>
  <c r="AS205" i="50"/>
  <c r="AV205" i="50"/>
  <c r="Z32" i="129"/>
  <c r="Z39" i="129"/>
  <c r="CN6" i="111"/>
  <c r="CO6" i="111" s="1"/>
  <c r="AZ17" i="50"/>
  <c r="AZ8" i="50"/>
  <c r="Z35" i="129" l="1"/>
  <c r="Z34" i="129"/>
  <c r="C60" i="132"/>
  <c r="D60" i="132"/>
  <c r="E60" i="132"/>
  <c r="F60" i="132"/>
  <c r="G60" i="132"/>
  <c r="H60" i="132"/>
  <c r="I60" i="132"/>
  <c r="J60" i="132"/>
  <c r="K60" i="132"/>
  <c r="L60" i="132"/>
  <c r="M60" i="132"/>
  <c r="B60" i="132"/>
  <c r="Z41" i="129" l="1"/>
  <c r="Z42" i="129"/>
  <c r="CG21" i="111" l="1"/>
  <c r="CH18" i="111"/>
  <c r="CH21" i="111"/>
  <c r="CH2" i="111"/>
  <c r="CG18" i="111"/>
  <c r="CG2" i="111"/>
  <c r="AR100" i="50"/>
  <c r="AI37" i="56" s="1"/>
  <c r="AI34" i="56" s="1"/>
  <c r="AX55" i="50"/>
  <c r="Y55" i="129"/>
  <c r="Y50" i="129"/>
  <c r="Y57" i="129" s="1"/>
  <c r="Y31" i="129"/>
  <c r="Y23" i="129"/>
  <c r="Y24" i="129" s="1"/>
  <c r="Y25" i="129" s="1"/>
  <c r="Y21" i="129"/>
  <c r="Y10" i="129"/>
  <c r="Y8" i="129"/>
  <c r="Y16" i="129" s="1"/>
  <c r="Y4" i="129"/>
  <c r="Y2" i="129"/>
  <c r="AR177" i="50" l="1"/>
  <c r="AR203" i="50"/>
  <c r="AR205" i="50" s="1"/>
  <c r="CN8" i="111"/>
  <c r="CO8" i="111" s="1"/>
  <c r="CG17" i="111"/>
  <c r="CG16" i="111" s="1"/>
  <c r="CH14" i="111"/>
  <c r="CH15" i="111" s="1"/>
  <c r="CG14" i="111"/>
  <c r="CG15" i="111" s="1"/>
  <c r="CH17" i="111"/>
  <c r="CH16" i="111" s="1"/>
  <c r="CH20" i="111"/>
  <c r="CG20" i="111"/>
  <c r="Y19" i="129"/>
  <c r="Y28" i="129" s="1"/>
  <c r="Y18" i="129"/>
  <c r="Y38" i="129"/>
  <c r="Y33" i="129" s="1"/>
  <c r="Y36" i="129" s="1"/>
  <c r="Y29" i="129" l="1"/>
  <c r="Y26" i="129"/>
  <c r="Y27" i="129" s="1"/>
  <c r="Y37" i="129"/>
  <c r="Y32" i="129" l="1"/>
  <c r="Y39" i="129"/>
  <c r="Y35" i="129" l="1"/>
  <c r="Y34" i="129"/>
  <c r="Y41" i="129" l="1"/>
  <c r="Y42" i="129"/>
  <c r="AI115" i="50" l="1"/>
  <c r="Y26" i="56" l="1"/>
  <c r="AJ114" i="50" l="1"/>
  <c r="AK104" i="50" l="1"/>
  <c r="AV119" i="50"/>
  <c r="AV178" i="50" s="1"/>
  <c r="AU119" i="50"/>
  <c r="AU178" i="50" s="1"/>
  <c r="AT119" i="50"/>
  <c r="AT178" i="50" s="1"/>
  <c r="AL119" i="50"/>
  <c r="BB120" i="50"/>
  <c r="BC118" i="50" s="1"/>
  <c r="AL120" i="50" l="1"/>
  <c r="AL178" i="50" s="1"/>
  <c r="AS119" i="50"/>
  <c r="AS178" i="50" s="1"/>
  <c r="BC119" i="50"/>
  <c r="AR119" i="50" l="1"/>
  <c r="AQ119" i="50"/>
  <c r="AQ178" i="50" s="1"/>
  <c r="AP119" i="50"/>
  <c r="AP178" i="50" s="1"/>
  <c r="AI112" i="50"/>
  <c r="AR120" i="50" l="1"/>
  <c r="AR178" i="50" s="1"/>
  <c r="AK177" i="50"/>
  <c r="AK184" i="50" l="1"/>
  <c r="AH123" i="50" l="1"/>
  <c r="AH87" i="50" s="1"/>
  <c r="AH91" i="50" l="1"/>
  <c r="AI111" i="50"/>
  <c r="AJ111" i="50"/>
  <c r="AJ4" i="56"/>
  <c r="AK4" i="56"/>
  <c r="AJ5" i="56"/>
  <c r="AK5" i="56"/>
  <c r="AJ6" i="56"/>
  <c r="AK6" i="56"/>
  <c r="AJ13" i="56"/>
  <c r="AK13" i="56"/>
  <c r="AM45" i="56"/>
  <c r="AM23" i="56"/>
  <c r="AM20" i="56"/>
  <c r="AM13" i="56"/>
  <c r="AM6" i="56"/>
  <c r="AM19" i="56" s="1"/>
  <c r="AM5" i="56"/>
  <c r="AM4" i="56"/>
  <c r="AL45" i="56"/>
  <c r="AL48" i="56"/>
  <c r="AL23" i="56"/>
  <c r="AL20" i="56"/>
  <c r="AL13" i="56"/>
  <c r="AL6" i="56"/>
  <c r="AL19" i="56" s="1"/>
  <c r="AL5" i="56"/>
  <c r="AL4" i="56"/>
  <c r="AM3" i="56" l="1"/>
  <c r="AM18" i="56"/>
  <c r="AM48" i="56"/>
  <c r="AL18" i="56"/>
  <c r="AK3" i="56"/>
  <c r="AJ3" i="56"/>
  <c r="AL3" i="56"/>
  <c r="AH125" i="50"/>
  <c r="AH124" i="50"/>
  <c r="AH92" i="50" s="1"/>
  <c r="AH137" i="50" l="1"/>
  <c r="AH171" i="50" l="1"/>
  <c r="AH62" i="50" l="1"/>
  <c r="BT8" i="111" l="1"/>
  <c r="BT10" i="111"/>
  <c r="B9" i="17" l="1"/>
  <c r="C9" i="17"/>
  <c r="D9" i="17"/>
  <c r="E9" i="17"/>
  <c r="F9" i="17"/>
  <c r="G9" i="17"/>
  <c r="H9" i="17"/>
  <c r="I9" i="17"/>
  <c r="J9" i="17"/>
  <c r="K9" i="17"/>
  <c r="L9" i="17"/>
  <c r="M9" i="17"/>
  <c r="AH63" i="50" l="1"/>
  <c r="AX63" i="50" s="1"/>
  <c r="AH127" i="50"/>
  <c r="AH89" i="50" s="1"/>
  <c r="AH90" i="50" l="1"/>
  <c r="AH94" i="50" s="1"/>
  <c r="AH93" i="50"/>
  <c r="AZ102" i="50"/>
  <c r="AZ98" i="50"/>
  <c r="AM119" i="50" l="1"/>
  <c r="AM120" i="50" s="1"/>
  <c r="AN119" i="50"/>
  <c r="AN120" i="50" s="1"/>
  <c r="AP103" i="50"/>
  <c r="AQ103" i="50"/>
  <c r="AS103" i="50"/>
  <c r="AT103" i="50"/>
  <c r="AU103" i="50"/>
  <c r="AV103" i="50"/>
  <c r="AO103" i="50"/>
  <c r="AN178" i="50" l="1"/>
  <c r="AM178" i="50"/>
  <c r="AU174" i="50"/>
  <c r="AV174" i="50"/>
  <c r="AP54" i="50" l="1"/>
  <c r="AV193" i="50" l="1"/>
  <c r="AV192" i="50"/>
  <c r="AV191" i="50"/>
  <c r="AV190" i="50"/>
  <c r="AV189" i="50"/>
  <c r="AV188" i="50"/>
  <c r="AV187" i="50"/>
  <c r="AV184" i="50"/>
  <c r="AV182" i="50"/>
  <c r="AM12" i="56" s="1"/>
  <c r="AV180" i="50"/>
  <c r="AM10" i="56" s="1"/>
  <c r="AV199" i="50"/>
  <c r="AV173" i="50"/>
  <c r="AV198" i="50" s="1"/>
  <c r="AV169" i="50"/>
  <c r="AV151" i="50"/>
  <c r="AV96" i="50" s="1"/>
  <c r="AV110" i="50"/>
  <c r="AV109" i="50"/>
  <c r="AV53" i="50" s="1"/>
  <c r="AV104" i="50"/>
  <c r="AV105" i="50" s="1"/>
  <c r="AV87" i="50"/>
  <c r="AV91" i="50" s="1"/>
  <c r="AV83" i="50"/>
  <c r="AV77" i="50"/>
  <c r="AV76" i="50"/>
  <c r="AV75" i="50"/>
  <c r="AV74" i="50"/>
  <c r="AV72" i="50"/>
  <c r="AV68" i="50"/>
  <c r="AV67" i="50"/>
  <c r="AV65" i="50"/>
  <c r="AV56" i="50"/>
  <c r="AV54" i="50"/>
  <c r="AV52" i="50"/>
  <c r="AV41" i="50"/>
  <c r="AV34" i="50"/>
  <c r="AV27" i="50"/>
  <c r="AV21" i="50"/>
  <c r="AV13" i="50"/>
  <c r="AU193" i="50"/>
  <c r="AU192" i="50"/>
  <c r="AU191" i="50"/>
  <c r="AU190" i="50"/>
  <c r="AU189" i="50"/>
  <c r="AU188" i="50"/>
  <c r="AU187" i="50"/>
  <c r="AU184" i="50"/>
  <c r="AU182" i="50"/>
  <c r="AL12" i="56" s="1"/>
  <c r="AU180" i="50"/>
  <c r="AL10" i="56" s="1"/>
  <c r="AU173" i="50"/>
  <c r="AU198" i="50" s="1"/>
  <c r="AU169" i="50"/>
  <c r="AU151" i="50"/>
  <c r="AU196" i="50" s="1"/>
  <c r="AU110" i="50"/>
  <c r="AU109" i="50"/>
  <c r="AU53" i="50" s="1"/>
  <c r="AU104" i="50"/>
  <c r="AU105" i="50" s="1"/>
  <c r="AU87" i="50"/>
  <c r="AU91" i="50" s="1"/>
  <c r="AU85" i="50"/>
  <c r="AU77" i="50"/>
  <c r="AU76" i="50"/>
  <c r="AU75" i="50"/>
  <c r="AU74" i="50"/>
  <c r="AU72" i="50"/>
  <c r="AU68" i="50"/>
  <c r="AU67" i="50"/>
  <c r="AU65" i="50"/>
  <c r="AU56" i="50"/>
  <c r="AU54" i="50"/>
  <c r="AU52" i="50"/>
  <c r="AU41" i="50"/>
  <c r="AU34" i="50"/>
  <c r="AU27" i="50"/>
  <c r="AU21" i="50"/>
  <c r="AU19" i="50"/>
  <c r="AU13" i="50"/>
  <c r="AU183" i="50" l="1"/>
  <c r="AV183" i="50"/>
  <c r="AU78" i="50"/>
  <c r="AV97" i="50"/>
  <c r="AU97" i="50"/>
  <c r="AV179" i="50"/>
  <c r="AU194" i="50"/>
  <c r="AV194" i="50"/>
  <c r="AU89" i="50"/>
  <c r="AU93" i="50" s="1"/>
  <c r="AU69" i="50"/>
  <c r="AV78" i="50"/>
  <c r="AV69" i="50"/>
  <c r="AV19" i="50"/>
  <c r="AV89" i="50"/>
  <c r="AV196" i="50"/>
  <c r="AV181" i="50"/>
  <c r="AV197" i="50"/>
  <c r="AV85" i="50"/>
  <c r="AV82" i="50" s="1"/>
  <c r="AV80" i="50" s="1"/>
  <c r="AV95" i="50"/>
  <c r="AV176" i="50"/>
  <c r="AV185" i="50"/>
  <c r="AV186" i="50" s="1"/>
  <c r="AV201" i="50" s="1"/>
  <c r="AU199" i="50"/>
  <c r="AU83" i="50"/>
  <c r="AU82" i="50" s="1"/>
  <c r="AU80" i="50" s="1"/>
  <c r="AU95" i="50"/>
  <c r="AU176" i="50"/>
  <c r="AU185" i="50"/>
  <c r="AU186" i="50" s="1"/>
  <c r="AU201" i="50" s="1"/>
  <c r="AU96" i="50"/>
  <c r="AU181" i="50"/>
  <c r="AU197" i="50"/>
  <c r="AU179" i="50"/>
  <c r="AH118" i="50"/>
  <c r="AV84" i="50" l="1"/>
  <c r="AV88" i="50" s="1"/>
  <c r="AV92" i="50" s="1"/>
  <c r="AV86" i="50"/>
  <c r="AU84" i="50"/>
  <c r="AU88" i="50" s="1"/>
  <c r="AU92" i="50" s="1"/>
  <c r="AU86" i="50"/>
  <c r="AM11" i="56"/>
  <c r="AM17" i="56" s="1"/>
  <c r="AM16" i="56" s="1"/>
  <c r="AV209" i="50"/>
  <c r="AL11" i="56"/>
  <c r="AL22" i="56" s="1"/>
  <c r="AL21" i="56" s="1"/>
  <c r="AU209" i="50"/>
  <c r="AV200" i="50"/>
  <c r="AM8" i="56"/>
  <c r="AU200" i="50"/>
  <c r="AL8" i="56"/>
  <c r="AM22" i="56"/>
  <c r="AM21" i="56" s="1"/>
  <c r="AU195" i="50"/>
  <c r="AV195" i="50"/>
  <c r="AU90" i="50"/>
  <c r="AU94" i="50" s="1"/>
  <c r="AV93" i="50"/>
  <c r="AV90" i="50"/>
  <c r="AV94" i="50" s="1"/>
  <c r="AI114" i="50"/>
  <c r="AI113" i="50"/>
  <c r="AK119" i="50"/>
  <c r="AZ119" i="50" s="1"/>
  <c r="AH112" i="50"/>
  <c r="AK120" i="50" l="1"/>
  <c r="AZ120" i="50" s="1"/>
  <c r="AM9" i="56"/>
  <c r="AM7" i="56" s="1"/>
  <c r="AL17" i="56"/>
  <c r="AL16" i="56" s="1"/>
  <c r="AL9" i="56"/>
  <c r="AL7" i="56" s="1"/>
  <c r="AH120" i="50"/>
  <c r="AH119" i="50"/>
  <c r="AH115" i="50"/>
  <c r="AH111" i="50"/>
  <c r="AZ185" i="50"/>
  <c r="AZ186" i="50" s="1"/>
  <c r="AK105" i="50" l="1"/>
  <c r="BT7" i="111"/>
  <c r="BT20" i="111" l="1"/>
  <c r="C8" i="132" l="1"/>
  <c r="D8" i="132"/>
  <c r="E8" i="132"/>
  <c r="F8" i="132"/>
  <c r="G8" i="132"/>
  <c r="H8" i="132"/>
  <c r="I8" i="132"/>
  <c r="J8" i="132"/>
  <c r="K8" i="132"/>
  <c r="L8" i="132"/>
  <c r="M8" i="132"/>
  <c r="B8" i="132"/>
  <c r="AK178" i="50" l="1"/>
  <c r="AK176" i="50" s="1"/>
  <c r="AK200" i="50" s="1"/>
  <c r="AK45" i="56" l="1"/>
  <c r="AK48" i="56"/>
  <c r="AK23" i="56"/>
  <c r="AK20" i="56"/>
  <c r="AK19" i="56" l="1"/>
  <c r="AK18" i="56" s="1"/>
  <c r="AB35" i="129"/>
  <c r="AL103" i="50" l="1"/>
  <c r="AT104" i="50"/>
  <c r="AT105" i="50" s="1"/>
  <c r="AS104" i="50"/>
  <c r="AS105" i="50" s="1"/>
  <c r="AR104" i="50"/>
  <c r="AR105" i="50" s="1"/>
  <c r="AQ104" i="50"/>
  <c r="AQ105" i="50" s="1"/>
  <c r="AP104" i="50"/>
  <c r="AP105" i="50" s="1"/>
  <c r="AO104" i="50"/>
  <c r="AO105" i="50" s="1"/>
  <c r="AN104" i="50"/>
  <c r="AN105" i="50" s="1"/>
  <c r="AM104" i="50"/>
  <c r="AM105" i="50" s="1"/>
  <c r="AL104" i="50"/>
  <c r="AL105" i="50" s="1"/>
  <c r="AO110" i="50"/>
  <c r="F109" i="50"/>
  <c r="H109" i="50"/>
  <c r="I109" i="50"/>
  <c r="K109" i="50"/>
  <c r="L109" i="50"/>
  <c r="P109" i="50"/>
  <c r="Q109" i="50"/>
  <c r="R109" i="50"/>
  <c r="U109" i="50"/>
  <c r="V109" i="50"/>
  <c r="X109" i="50"/>
  <c r="AB109" i="50"/>
  <c r="AC109" i="50"/>
  <c r="AN109" i="50"/>
  <c r="AR109" i="50"/>
  <c r="AZ100" i="50" l="1"/>
  <c r="AR103" i="50"/>
  <c r="BC111" i="50"/>
  <c r="AS109" i="50" l="1"/>
  <c r="AQ109" i="50"/>
  <c r="AP109" i="50"/>
  <c r="AT109" i="50"/>
  <c r="AZ111" i="50" l="1"/>
  <c r="AO109" i="50"/>
  <c r="O78" i="132" l="1"/>
  <c r="O77" i="132" s="1"/>
  <c r="N78" i="132"/>
  <c r="N77" i="132" s="1"/>
  <c r="M78" i="132"/>
  <c r="M77" i="132" s="1"/>
  <c r="L78" i="132"/>
  <c r="L77" i="132" s="1"/>
  <c r="K78" i="132"/>
  <c r="K77" i="132" s="1"/>
  <c r="J78" i="132"/>
  <c r="J77" i="132" s="1"/>
  <c r="I78" i="132"/>
  <c r="I77" i="132" s="1"/>
  <c r="H78" i="132"/>
  <c r="H77" i="132" s="1"/>
  <c r="G78" i="132"/>
  <c r="G77" i="132" s="1"/>
  <c r="F78" i="132"/>
  <c r="F77" i="132" s="1"/>
  <c r="E78" i="132"/>
  <c r="E77" i="132" s="1"/>
  <c r="D78" i="132"/>
  <c r="D77" i="132" s="1"/>
  <c r="C78" i="132"/>
  <c r="C77" i="132" s="1"/>
  <c r="O74" i="132"/>
  <c r="N74" i="132"/>
  <c r="M74" i="132"/>
  <c r="L74" i="132"/>
  <c r="K74" i="132"/>
  <c r="J74" i="132"/>
  <c r="I74" i="132"/>
  <c r="H74" i="132"/>
  <c r="G74" i="132"/>
  <c r="F74" i="132"/>
  <c r="E74" i="132"/>
  <c r="D74" i="132"/>
  <c r="C74" i="132"/>
  <c r="K66" i="132"/>
  <c r="J66" i="132"/>
  <c r="I66" i="132"/>
  <c r="H66" i="132"/>
  <c r="G66" i="132"/>
  <c r="F66" i="132"/>
  <c r="E66" i="132"/>
  <c r="D66" i="132"/>
  <c r="C66" i="132"/>
  <c r="B66" i="132"/>
  <c r="M59" i="132"/>
  <c r="L59" i="132"/>
  <c r="K59" i="132"/>
  <c r="J59" i="132"/>
  <c r="I59" i="132"/>
  <c r="H59" i="132"/>
  <c r="G59" i="132"/>
  <c r="F59" i="132"/>
  <c r="E59" i="132"/>
  <c r="D59" i="132"/>
  <c r="C59" i="132"/>
  <c r="B59" i="132"/>
  <c r="N58" i="132"/>
  <c r="M37" i="132"/>
  <c r="M38" i="132" s="1"/>
  <c r="M28" i="132" s="1"/>
  <c r="L37" i="132"/>
  <c r="L38" i="132" s="1"/>
  <c r="L28" i="132" s="1"/>
  <c r="M26" i="132"/>
  <c r="L26" i="132"/>
  <c r="K26" i="132"/>
  <c r="J26" i="132"/>
  <c r="I26" i="132"/>
  <c r="H26" i="132"/>
  <c r="G26" i="132"/>
  <c r="F26" i="132"/>
  <c r="E26" i="132"/>
  <c r="D26" i="132"/>
  <c r="C26" i="132"/>
  <c r="B26" i="132"/>
  <c r="O25" i="132"/>
  <c r="M23" i="132"/>
  <c r="L23" i="132"/>
  <c r="K23" i="132"/>
  <c r="J23" i="132"/>
  <c r="I23" i="132"/>
  <c r="H23" i="132"/>
  <c r="G23" i="132"/>
  <c r="F23" i="132"/>
  <c r="E23" i="132"/>
  <c r="D23" i="132"/>
  <c r="C23" i="132"/>
  <c r="B23" i="132"/>
  <c r="O22" i="132"/>
  <c r="M20" i="132"/>
  <c r="L20" i="132"/>
  <c r="K20" i="132"/>
  <c r="J20" i="132"/>
  <c r="I20" i="132"/>
  <c r="H20" i="132"/>
  <c r="G20" i="132"/>
  <c r="F20" i="132"/>
  <c r="E20" i="132"/>
  <c r="D20" i="132"/>
  <c r="C20" i="132"/>
  <c r="B20" i="132"/>
  <c r="K14" i="132"/>
  <c r="J14" i="132"/>
  <c r="I14" i="132"/>
  <c r="H14" i="132"/>
  <c r="G14" i="132"/>
  <c r="F14" i="132"/>
  <c r="E14" i="132"/>
  <c r="D14" i="132"/>
  <c r="C14" i="132"/>
  <c r="B14" i="132"/>
  <c r="M7" i="132"/>
  <c r="L7" i="132"/>
  <c r="K7" i="132"/>
  <c r="J7" i="132"/>
  <c r="I7" i="132"/>
  <c r="H7" i="132"/>
  <c r="G7" i="132"/>
  <c r="F7" i="132"/>
  <c r="E7" i="132"/>
  <c r="D7" i="132"/>
  <c r="C7" i="132"/>
  <c r="B7" i="132"/>
  <c r="O73" i="132" l="1"/>
  <c r="F73" i="132"/>
  <c r="N73" i="132"/>
  <c r="M73" i="132"/>
  <c r="D73" i="132"/>
  <c r="J73" i="132"/>
  <c r="C73" i="132"/>
  <c r="G73" i="132"/>
  <c r="H73" i="132"/>
  <c r="L73" i="132"/>
  <c r="I73" i="132"/>
  <c r="E73" i="132"/>
  <c r="K73" i="132"/>
  <c r="M29" i="132"/>
  <c r="M31" i="132"/>
  <c r="M32" i="132" s="1"/>
  <c r="L31" i="132"/>
  <c r="L32" i="132" s="1"/>
  <c r="L29" i="132"/>
  <c r="Z34" i="56" l="1"/>
  <c r="AJ109" i="50"/>
  <c r="AI109" i="50" l="1"/>
  <c r="E20" i="131" l="1"/>
  <c r="E21" i="131" s="1"/>
  <c r="E1" i="131"/>
  <c r="E6" i="131" s="1"/>
  <c r="E12" i="131" s="1"/>
  <c r="E19" i="131" s="1"/>
  <c r="E2" i="131"/>
  <c r="E13" i="131"/>
  <c r="E14" i="131"/>
  <c r="E16" i="131"/>
  <c r="AL74" i="50" l="1"/>
  <c r="AJ110" i="50"/>
  <c r="Y24" i="56" l="1"/>
  <c r="CF18" i="111" l="1"/>
  <c r="CF21" i="111"/>
  <c r="CF2" i="111"/>
  <c r="X55" i="129"/>
  <c r="X50" i="129"/>
  <c r="X57" i="129" s="1"/>
  <c r="X31" i="129"/>
  <c r="X23" i="129"/>
  <c r="X24" i="129" s="1"/>
  <c r="X25" i="129" s="1"/>
  <c r="X21" i="129"/>
  <c r="X10" i="129"/>
  <c r="X8" i="129"/>
  <c r="X4" i="129"/>
  <c r="X2" i="129"/>
  <c r="CF20" i="111" l="1"/>
  <c r="CN7" i="111"/>
  <c r="CO7" i="111" s="1"/>
  <c r="CF14" i="111"/>
  <c r="CF15" i="111" s="1"/>
  <c r="CF17" i="111"/>
  <c r="CF16" i="111" s="1"/>
  <c r="X38" i="129"/>
  <c r="X33" i="129" s="1"/>
  <c r="X36" i="129" s="1"/>
  <c r="X16" i="129"/>
  <c r="X19" i="129" l="1"/>
  <c r="X28" i="129" s="1"/>
  <c r="K36" i="132" s="1"/>
  <c r="K37" i="132" s="1"/>
  <c r="K38" i="132" s="1"/>
  <c r="K28" i="132" s="1"/>
  <c r="X18" i="129"/>
  <c r="K31" i="132" l="1"/>
  <c r="K32" i="132" s="1"/>
  <c r="K29" i="132"/>
  <c r="X29" i="129"/>
  <c r="X26" i="129"/>
  <c r="X27" i="129" s="1"/>
  <c r="X37" i="129"/>
  <c r="X32" i="129" l="1"/>
  <c r="X39" i="129"/>
  <c r="X35" i="129" l="1"/>
  <c r="X34" i="129"/>
  <c r="X41" i="129" l="1"/>
  <c r="X42" i="129"/>
  <c r="AT193" i="50" l="1"/>
  <c r="AT192" i="50"/>
  <c r="AT191" i="50"/>
  <c r="AT190" i="50"/>
  <c r="AT189" i="50"/>
  <c r="AT188" i="50"/>
  <c r="AT187" i="50"/>
  <c r="AT184" i="50"/>
  <c r="AT182" i="50"/>
  <c r="AK12" i="56" s="1"/>
  <c r="AT180" i="50"/>
  <c r="AK10" i="56" s="1"/>
  <c r="AT174" i="50"/>
  <c r="AT199" i="50" s="1"/>
  <c r="AT173" i="50"/>
  <c r="AT198" i="50" s="1"/>
  <c r="AT169" i="50"/>
  <c r="AT197" i="50" s="1"/>
  <c r="AT151" i="50"/>
  <c r="AT196" i="50" s="1"/>
  <c r="AT110" i="50"/>
  <c r="AT87" i="50"/>
  <c r="AT91" i="50" s="1"/>
  <c r="AT83" i="50"/>
  <c r="AT77" i="50"/>
  <c r="AT76" i="50"/>
  <c r="AT75" i="50"/>
  <c r="AT74" i="50"/>
  <c r="AT72" i="50"/>
  <c r="AT68" i="50"/>
  <c r="AT67" i="50"/>
  <c r="AT65" i="50"/>
  <c r="AT56" i="50"/>
  <c r="AT54" i="50"/>
  <c r="AT53" i="50"/>
  <c r="AT52" i="50"/>
  <c r="AT41" i="50"/>
  <c r="AT34" i="50"/>
  <c r="AT27" i="50"/>
  <c r="AT21" i="50"/>
  <c r="AT19" i="50"/>
  <c r="AT13" i="50"/>
  <c r="AT96" i="50" l="1"/>
  <c r="AT181" i="50"/>
  <c r="AT95" i="50"/>
  <c r="AT176" i="50"/>
  <c r="AT78" i="50"/>
  <c r="AT97" i="50"/>
  <c r="AT194" i="50"/>
  <c r="AT183" i="50"/>
  <c r="AT89" i="50"/>
  <c r="AT185" i="50"/>
  <c r="AT186" i="50" s="1"/>
  <c r="AT201" i="50" s="1"/>
  <c r="AT69" i="50"/>
  <c r="AT85" i="50"/>
  <c r="AT82" i="50" s="1"/>
  <c r="AT80" i="50" s="1"/>
  <c r="AT179" i="50"/>
  <c r="AT86" i="50" l="1"/>
  <c r="AT84" i="50"/>
  <c r="AT88" i="50" s="1"/>
  <c r="AT92" i="50" s="1"/>
  <c r="AK11" i="56"/>
  <c r="AK9" i="56" s="1"/>
  <c r="AT209" i="50"/>
  <c r="AT195" i="50"/>
  <c r="AT200" i="50"/>
  <c r="AK8" i="56"/>
  <c r="AT93" i="50"/>
  <c r="AT90" i="50"/>
  <c r="AT94" i="50" s="1"/>
  <c r="AK7" i="56" l="1"/>
  <c r="AK22" i="56"/>
  <c r="AK21" i="56" s="1"/>
  <c r="AK17" i="56"/>
  <c r="AK16" i="56" s="1"/>
  <c r="S8" i="129"/>
  <c r="S16" i="129" s="1"/>
  <c r="AA30" i="56" l="1"/>
  <c r="AB30" i="56" s="1"/>
  <c r="AC30" i="56" s="1"/>
  <c r="AD30" i="56" s="1"/>
  <c r="AE30" i="56" s="1"/>
  <c r="AF30" i="56" s="1"/>
  <c r="AG30" i="56" s="1"/>
  <c r="AH30" i="56" s="1"/>
  <c r="AI30" i="56" s="1"/>
  <c r="AJ30" i="56" s="1"/>
  <c r="AK30" i="56" s="1"/>
  <c r="AL30" i="56" s="1"/>
  <c r="AM30" i="56" s="1"/>
  <c r="X34" i="56"/>
  <c r="AG126" i="50" l="1"/>
  <c r="AG125" i="50" l="1"/>
  <c r="AG124" i="50" l="1"/>
  <c r="AG92" i="50" s="1"/>
  <c r="AG121" i="50" l="1"/>
  <c r="X26" i="56" l="1"/>
  <c r="AH109" i="50" l="1"/>
  <c r="BU7" i="111"/>
  <c r="E15" i="131" s="1"/>
  <c r="E17" i="131" s="1"/>
  <c r="AJ45" i="56" l="1"/>
  <c r="AJ23" i="56"/>
  <c r="AJ20" i="56"/>
  <c r="AJ19" i="56"/>
  <c r="AJ18" i="56" l="1"/>
  <c r="AJ48" i="56"/>
  <c r="AG137" i="50"/>
  <c r="Z23" i="56" l="1"/>
  <c r="AG111" i="50" l="1"/>
  <c r="D18" i="131" l="1"/>
  <c r="D20" i="131" s="1"/>
  <c r="D21" i="131" s="1"/>
  <c r="D24" i="131"/>
  <c r="D1" i="131"/>
  <c r="D6" i="131" s="1"/>
  <c r="D12" i="131" s="1"/>
  <c r="D19" i="131" s="1"/>
  <c r="D2" i="131"/>
  <c r="D13" i="131"/>
  <c r="D14" i="131"/>
  <c r="D15" i="131"/>
  <c r="D16" i="131"/>
  <c r="D17" i="131" l="1"/>
  <c r="W55" i="129" l="1"/>
  <c r="W50" i="129"/>
  <c r="W57" i="129" s="1"/>
  <c r="W31" i="129"/>
  <c r="W23" i="129"/>
  <c r="W24" i="129" s="1"/>
  <c r="W21" i="129"/>
  <c r="W10" i="129"/>
  <c r="W8" i="129"/>
  <c r="W4" i="129"/>
  <c r="W2" i="129"/>
  <c r="W38" i="129" l="1"/>
  <c r="W33" i="129" s="1"/>
  <c r="W36" i="129" s="1"/>
  <c r="W16" i="129"/>
  <c r="W19" i="129" s="1"/>
  <c r="W28" i="129" s="1"/>
  <c r="J36" i="132" s="1"/>
  <c r="J37" i="132" s="1"/>
  <c r="J38" i="132" s="1"/>
  <c r="J28" i="132" s="1"/>
  <c r="W25" i="129"/>
  <c r="J29" i="132" l="1"/>
  <c r="J31" i="132"/>
  <c r="J32" i="132" s="1"/>
  <c r="W18" i="129"/>
  <c r="W26" i="129"/>
  <c r="W27" i="129" s="1"/>
  <c r="W29" i="129"/>
  <c r="W37" i="129"/>
  <c r="W32" i="129" l="1"/>
  <c r="W39" i="129"/>
  <c r="W35" i="129" l="1"/>
  <c r="W34" i="129"/>
  <c r="W41" i="129" l="1"/>
  <c r="W42" i="129"/>
  <c r="CE18" i="111" l="1"/>
  <c r="CE21" i="111"/>
  <c r="CE20" i="111"/>
  <c r="CE2" i="111"/>
  <c r="AS193" i="50"/>
  <c r="AS192" i="50"/>
  <c r="AS191" i="50"/>
  <c r="AS190" i="50"/>
  <c r="AS189" i="50"/>
  <c r="AS188" i="50"/>
  <c r="AS187" i="50"/>
  <c r="AS184" i="50"/>
  <c r="AS182" i="50"/>
  <c r="AJ12" i="56" s="1"/>
  <c r="AS180" i="50"/>
  <c r="AJ10" i="56" s="1"/>
  <c r="AS174" i="50"/>
  <c r="AS199" i="50" s="1"/>
  <c r="AS173" i="50"/>
  <c r="AS198" i="50" s="1"/>
  <c r="AS169" i="50"/>
  <c r="AS151" i="50"/>
  <c r="AS196" i="50" s="1"/>
  <c r="AS110" i="50"/>
  <c r="AS87" i="50"/>
  <c r="AS89" i="50" s="1"/>
  <c r="AS83" i="50"/>
  <c r="AS77" i="50"/>
  <c r="AS76" i="50"/>
  <c r="AS75" i="50"/>
  <c r="AS74" i="50"/>
  <c r="AS72" i="50"/>
  <c r="AS68" i="50"/>
  <c r="AS67" i="50"/>
  <c r="AS65" i="50"/>
  <c r="AS56" i="50"/>
  <c r="AS54" i="50"/>
  <c r="AS52" i="50"/>
  <c r="AS41" i="50"/>
  <c r="AS34" i="50"/>
  <c r="AS27" i="50"/>
  <c r="AS21" i="50"/>
  <c r="AS13" i="50"/>
  <c r="AS183" i="50" l="1"/>
  <c r="AS53" i="50"/>
  <c r="AS181" i="50"/>
  <c r="AS209" i="50" s="1"/>
  <c r="AS96" i="50"/>
  <c r="AS97" i="50"/>
  <c r="AS194" i="50"/>
  <c r="AS176" i="50"/>
  <c r="AS78" i="50"/>
  <c r="CE14" i="111"/>
  <c r="CE15" i="111" s="1"/>
  <c r="CE17" i="111"/>
  <c r="CE16" i="111" s="1"/>
  <c r="AS69" i="50"/>
  <c r="AS19" i="50"/>
  <c r="AS90" i="50"/>
  <c r="AS94" i="50" s="1"/>
  <c r="AS93" i="50"/>
  <c r="AS197" i="50"/>
  <c r="AS185" i="50"/>
  <c r="AS186" i="50" s="1"/>
  <c r="AS201" i="50" s="1"/>
  <c r="AS91" i="50"/>
  <c r="AS85" i="50"/>
  <c r="AS82" i="50" s="1"/>
  <c r="AS80" i="50" s="1"/>
  <c r="AS95" i="50"/>
  <c r="AS179" i="50"/>
  <c r="AS84" i="50" l="1"/>
  <c r="AS88" i="50" s="1"/>
  <c r="AS92" i="50" s="1"/>
  <c r="AS86" i="50"/>
  <c r="AS200" i="50"/>
  <c r="AJ8" i="56"/>
  <c r="AJ11" i="56"/>
  <c r="AJ9" i="56" s="1"/>
  <c r="AS195" i="50"/>
  <c r="AF118" i="50"/>
  <c r="AF119" i="50"/>
  <c r="AJ17" i="56" l="1"/>
  <c r="AJ16" i="56" s="1"/>
  <c r="AJ7" i="56"/>
  <c r="AJ22" i="56"/>
  <c r="AJ21" i="56" s="1"/>
  <c r="X24" i="56"/>
  <c r="W26" i="56" l="1"/>
  <c r="W24" i="56" l="1"/>
  <c r="AG123" i="50" l="1"/>
  <c r="AG87" i="50" s="1"/>
  <c r="AG89" i="50" l="1"/>
  <c r="AG91" i="50"/>
  <c r="AF123" i="50"/>
  <c r="AF87" i="50" s="1"/>
  <c r="AF124" i="50"/>
  <c r="AF92" i="50" s="1"/>
  <c r="AF89" i="50" l="1"/>
  <c r="AF91" i="50"/>
  <c r="AG90" i="50"/>
  <c r="AG94" i="50" s="1"/>
  <c r="AG93" i="50"/>
  <c r="AG115" i="50"/>
  <c r="AF115" i="50"/>
  <c r="AF90" i="50" l="1"/>
  <c r="AF94" i="50" s="1"/>
  <c r="AF93" i="50"/>
  <c r="U34" i="56"/>
  <c r="U48" i="56" s="1"/>
  <c r="AF121" i="50" l="1"/>
  <c r="AF112" i="50" l="1"/>
  <c r="AF109" i="50" s="1"/>
  <c r="AG120" i="50" l="1"/>
  <c r="AG112" i="50" l="1"/>
  <c r="AG109" i="50" s="1"/>
  <c r="BS8" i="111" l="1"/>
  <c r="AF137" i="50" l="1"/>
  <c r="AG149" i="50" l="1"/>
  <c r="BR8" i="111" l="1"/>
  <c r="C20" i="131" l="1"/>
  <c r="C21" i="131" s="1"/>
  <c r="B20" i="131"/>
  <c r="B21" i="131" s="1"/>
  <c r="C13" i="131"/>
  <c r="C14" i="131"/>
  <c r="C16" i="131"/>
  <c r="B16" i="131"/>
  <c r="B14" i="131"/>
  <c r="B13" i="131"/>
  <c r="C2" i="131"/>
  <c r="B2" i="131"/>
  <c r="C1" i="131"/>
  <c r="C6" i="131" s="1"/>
  <c r="C12" i="131" s="1"/>
  <c r="C19" i="131" s="1"/>
  <c r="B1" i="131"/>
  <c r="B6" i="131" s="1"/>
  <c r="B12" i="131" s="1"/>
  <c r="B19" i="131" s="1"/>
  <c r="AH298" i="50" l="1"/>
  <c r="AI298" i="50"/>
  <c r="AJ298" i="50"/>
  <c r="AK298" i="50"/>
  <c r="AL298" i="50"/>
  <c r="AG298" i="50"/>
  <c r="AF140" i="50" l="1"/>
  <c r="AX140" i="50" s="1"/>
  <c r="AI239" i="50" l="1"/>
  <c r="AI237" i="50"/>
  <c r="BS7" i="111" l="1"/>
  <c r="C15" i="131" s="1"/>
  <c r="C17" i="131" s="1"/>
  <c r="BR7" i="111"/>
  <c r="B15" i="131" s="1"/>
  <c r="B17" i="131" s="1"/>
  <c r="AF125" i="50" l="1"/>
  <c r="AF175" i="50" s="1"/>
  <c r="CD18" i="111" l="1"/>
  <c r="CD21" i="111"/>
  <c r="CD20" i="111"/>
  <c r="CD2" i="111"/>
  <c r="V55" i="129"/>
  <c r="V50" i="129"/>
  <c r="V57" i="129" s="1"/>
  <c r="V31" i="129"/>
  <c r="V23" i="129"/>
  <c r="V24" i="129" s="1"/>
  <c r="V21" i="129"/>
  <c r="V10" i="129"/>
  <c r="V8" i="129"/>
  <c r="V16" i="129" s="1"/>
  <c r="V4" i="129"/>
  <c r="V2" i="129"/>
  <c r="AG4" i="56"/>
  <c r="AH4" i="56"/>
  <c r="AG5" i="56"/>
  <c r="AH5" i="56"/>
  <c r="AG6" i="56"/>
  <c r="AH6" i="56"/>
  <c r="AG13" i="56"/>
  <c r="AH13" i="56"/>
  <c r="AI45" i="56"/>
  <c r="AI48" i="56"/>
  <c r="AI23" i="56"/>
  <c r="AI20" i="56"/>
  <c r="AI13" i="56"/>
  <c r="AI6" i="56"/>
  <c r="AI19" i="56" s="1"/>
  <c r="AI5" i="56"/>
  <c r="AI4" i="56"/>
  <c r="AR193" i="50"/>
  <c r="AR192" i="50"/>
  <c r="AR191" i="50"/>
  <c r="AR190" i="50"/>
  <c r="AR189" i="50"/>
  <c r="AR188" i="50"/>
  <c r="AR187" i="50"/>
  <c r="AR184" i="50"/>
  <c r="AR182" i="50"/>
  <c r="AI12" i="56" s="1"/>
  <c r="AR180" i="50"/>
  <c r="AI10" i="56" s="1"/>
  <c r="AR174" i="50"/>
  <c r="AR173" i="50"/>
  <c r="AR198" i="50" s="1"/>
  <c r="AR169" i="50"/>
  <c r="AR151" i="50"/>
  <c r="AR196" i="50" s="1"/>
  <c r="AR110" i="50"/>
  <c r="AR87" i="50"/>
  <c r="AR91" i="50" s="1"/>
  <c r="AR83" i="50"/>
  <c r="AR77" i="50"/>
  <c r="AR76" i="50"/>
  <c r="AR75" i="50"/>
  <c r="AR74" i="50"/>
  <c r="AR72" i="50"/>
  <c r="AR68" i="50"/>
  <c r="AR67" i="50"/>
  <c r="AR65" i="50"/>
  <c r="AR56" i="50"/>
  <c r="AR54" i="50"/>
  <c r="AR52" i="50"/>
  <c r="AR41" i="50"/>
  <c r="AR34" i="50"/>
  <c r="AR27" i="50"/>
  <c r="AR21" i="50"/>
  <c r="AR13" i="50"/>
  <c r="AR199" i="50" l="1"/>
  <c r="AR97" i="50"/>
  <c r="AI18" i="56"/>
  <c r="AG3" i="56"/>
  <c r="AI3" i="56"/>
  <c r="AH3" i="56"/>
  <c r="AR96" i="50"/>
  <c r="AR181" i="50"/>
  <c r="CD14" i="111"/>
  <c r="CD15" i="111" s="1"/>
  <c r="AR183" i="50"/>
  <c r="CD17" i="111"/>
  <c r="CD16" i="111" s="1"/>
  <c r="V38" i="129"/>
  <c r="V33" i="129" s="1"/>
  <c r="V36" i="129" s="1"/>
  <c r="V18" i="129"/>
  <c r="V19" i="129"/>
  <c r="V28" i="129" s="1"/>
  <c r="I36" i="132" s="1"/>
  <c r="I37" i="132" s="1"/>
  <c r="I38" i="132" s="1"/>
  <c r="I28" i="132" s="1"/>
  <c r="V25" i="129"/>
  <c r="AR78" i="50"/>
  <c r="AR197" i="50"/>
  <c r="AR89" i="50"/>
  <c r="AR69" i="50"/>
  <c r="AR85" i="50"/>
  <c r="AR82" i="50" s="1"/>
  <c r="AR80" i="50" s="1"/>
  <c r="AR185" i="50"/>
  <c r="AR186" i="50" s="1"/>
  <c r="AR201" i="50" s="1"/>
  <c r="AR95" i="50"/>
  <c r="AR179" i="50"/>
  <c r="AR86" i="50" l="1"/>
  <c r="AR84" i="50"/>
  <c r="AR88" i="50" s="1"/>
  <c r="AR92" i="50" s="1"/>
  <c r="AI11" i="56"/>
  <c r="AI17" i="56" s="1"/>
  <c r="AI16" i="56" s="1"/>
  <c r="AR209" i="50"/>
  <c r="I29" i="132"/>
  <c r="I31" i="132"/>
  <c r="I32" i="132" s="1"/>
  <c r="V26" i="129"/>
  <c r="V27" i="129" s="1"/>
  <c r="V37" i="129"/>
  <c r="V29" i="129"/>
  <c r="AR90" i="50"/>
  <c r="AR94" i="50" s="1"/>
  <c r="AR93" i="50"/>
  <c r="AI9" i="56" l="1"/>
  <c r="AI22" i="56"/>
  <c r="AI21" i="56" s="1"/>
  <c r="V39" i="129"/>
  <c r="V32" i="129"/>
  <c r="AE118" i="50"/>
  <c r="V35" i="129" l="1"/>
  <c r="V34" i="129"/>
  <c r="V41" i="129" l="1"/>
  <c r="V42" i="129"/>
  <c r="BR21" i="111"/>
  <c r="BS29" i="111" s="1"/>
  <c r="AE124" i="50" l="1"/>
  <c r="AE92" i="50" s="1"/>
  <c r="AG151" i="50" l="1"/>
  <c r="AE123" i="50" l="1"/>
  <c r="AE87" i="50" s="1"/>
  <c r="AE89" i="50" l="1"/>
  <c r="AE91" i="50"/>
  <c r="AE122" i="50"/>
  <c r="AX122" i="50" s="1"/>
  <c r="AE93" i="50" l="1"/>
  <c r="AE90" i="50"/>
  <c r="AE94" i="50" s="1"/>
  <c r="AE137" i="50"/>
  <c r="AE171" i="50"/>
  <c r="AE62" i="50"/>
  <c r="AE169" i="50" l="1"/>
  <c r="BR20" i="111"/>
  <c r="BS28" i="111" s="1"/>
  <c r="Y34" i="56" l="1"/>
  <c r="AF48" i="56"/>
  <c r="AG48" i="56"/>
  <c r="AH48" i="56"/>
  <c r="V34" i="56"/>
  <c r="Z48" i="56" l="1"/>
  <c r="AQ151" i="50" l="1"/>
  <c r="AP151" i="50"/>
  <c r="AO151" i="50"/>
  <c r="AN151" i="50"/>
  <c r="AM151" i="50"/>
  <c r="AL151" i="50"/>
  <c r="AK151" i="50"/>
  <c r="AJ151" i="50"/>
  <c r="AJ6" i="50" s="1"/>
  <c r="AK6" i="50" s="1"/>
  <c r="AL6" i="50" s="1"/>
  <c r="AM6" i="50" s="1"/>
  <c r="AN6" i="50" s="1"/>
  <c r="AO6" i="50" s="1"/>
  <c r="AP6" i="50" s="1"/>
  <c r="AQ6" i="50" s="1"/>
  <c r="AR6" i="50" s="1"/>
  <c r="AS6" i="50" s="1"/>
  <c r="AT6" i="50" s="1"/>
  <c r="AU6" i="50" s="1"/>
  <c r="AV6" i="50" s="1"/>
  <c r="AI151" i="50"/>
  <c r="AH151" i="50"/>
  <c r="AF151" i="50"/>
  <c r="AF114" i="50"/>
  <c r="AM109" i="50"/>
  <c r="AL109" i="50"/>
  <c r="AK109" i="50"/>
  <c r="AZ151" i="50" l="1"/>
  <c r="AF177" i="50"/>
  <c r="AX114" i="50"/>
  <c r="AQ174" i="50"/>
  <c r="AP174" i="50"/>
  <c r="AO174" i="50"/>
  <c r="AO97" i="50" s="1"/>
  <c r="AN174" i="50"/>
  <c r="AM174" i="50"/>
  <c r="AL174" i="50"/>
  <c r="AK174" i="50"/>
  <c r="AJ174" i="50"/>
  <c r="AI174" i="50"/>
  <c r="AH174" i="50"/>
  <c r="AG174" i="50"/>
  <c r="AF174" i="50"/>
  <c r="AE174" i="50"/>
  <c r="AQ173" i="50"/>
  <c r="AP173" i="50"/>
  <c r="AO173" i="50"/>
  <c r="AN173" i="50"/>
  <c r="AM173" i="50"/>
  <c r="AL173" i="50"/>
  <c r="AK173" i="50"/>
  <c r="AJ173" i="50"/>
  <c r="AI173" i="50"/>
  <c r="AH173" i="50"/>
  <c r="AG173" i="50"/>
  <c r="AF173" i="50"/>
  <c r="AE173" i="50"/>
  <c r="AQ169" i="50"/>
  <c r="AP169" i="50"/>
  <c r="AO169" i="50"/>
  <c r="AN169" i="50"/>
  <c r="AM169" i="50"/>
  <c r="AL169" i="50"/>
  <c r="AK169" i="50"/>
  <c r="AJ169" i="50"/>
  <c r="AI169" i="50"/>
  <c r="AH169" i="50"/>
  <c r="AG169" i="50"/>
  <c r="AF169" i="50"/>
  <c r="AZ169" i="50" l="1"/>
  <c r="AZ173" i="50"/>
  <c r="AZ174" i="50"/>
  <c r="AO194" i="50"/>
  <c r="AH194" i="50"/>
  <c r="AI194" i="50"/>
  <c r="AH185" i="50"/>
  <c r="AF185" i="50"/>
  <c r="AF186" i="50" s="1"/>
  <c r="AK179" i="50"/>
  <c r="AF179" i="50"/>
  <c r="B8" i="131" s="1"/>
  <c r="AG179" i="50"/>
  <c r="C8" i="131" s="1"/>
  <c r="AE112" i="50"/>
  <c r="AE109" i="50" s="1"/>
  <c r="AA34" i="56" l="1"/>
  <c r="AE126" i="50" l="1"/>
  <c r="J8" i="129" l="1"/>
  <c r="BQ7" i="111" l="1"/>
  <c r="AG65" i="50" l="1"/>
  <c r="C7" i="131" s="1"/>
  <c r="AI103" i="50" l="1"/>
  <c r="AH45" i="56" l="1"/>
  <c r="AH23" i="56"/>
  <c r="AH20" i="56"/>
  <c r="AH19" i="56"/>
  <c r="AF72" i="50"/>
  <c r="AH18" i="56" l="1"/>
  <c r="AQ199" i="50"/>
  <c r="AQ198" i="50"/>
  <c r="AQ197" i="50"/>
  <c r="AQ193" i="50"/>
  <c r="AQ192" i="50"/>
  <c r="AQ191" i="50"/>
  <c r="AQ190" i="50"/>
  <c r="AQ189" i="50"/>
  <c r="AQ188" i="50"/>
  <c r="AQ187" i="50"/>
  <c r="AQ184" i="50"/>
  <c r="AQ183" i="50"/>
  <c r="AQ182" i="50"/>
  <c r="AH12" i="56" s="1"/>
  <c r="AQ180" i="50"/>
  <c r="AH10" i="56" s="1"/>
  <c r="AQ185" i="50"/>
  <c r="AQ186" i="50" s="1"/>
  <c r="AQ110" i="50"/>
  <c r="AQ87" i="50"/>
  <c r="AQ89" i="50" s="1"/>
  <c r="AQ85" i="50"/>
  <c r="AQ77" i="50"/>
  <c r="AQ76" i="50"/>
  <c r="AQ75" i="50"/>
  <c r="AQ74" i="50"/>
  <c r="AQ72" i="50"/>
  <c r="AQ68" i="50"/>
  <c r="AQ67" i="50"/>
  <c r="AQ65" i="50"/>
  <c r="AQ56" i="50"/>
  <c r="AQ69" i="50" s="1"/>
  <c r="AQ54" i="50"/>
  <c r="AQ52" i="50"/>
  <c r="AQ41" i="50"/>
  <c r="AQ34" i="50"/>
  <c r="AQ27" i="50"/>
  <c r="AQ21" i="50"/>
  <c r="AQ13" i="50"/>
  <c r="U55" i="129"/>
  <c r="U50" i="129"/>
  <c r="U57" i="129" s="1"/>
  <c r="U31" i="129"/>
  <c r="U23" i="129"/>
  <c r="U24" i="129" s="1"/>
  <c r="U21" i="129"/>
  <c r="U10" i="129"/>
  <c r="U8" i="129"/>
  <c r="U16" i="129" s="1"/>
  <c r="U4" i="129"/>
  <c r="U2" i="129"/>
  <c r="AQ201" i="50" l="1"/>
  <c r="AQ176" i="50"/>
  <c r="AQ96" i="50"/>
  <c r="AQ91" i="50"/>
  <c r="AQ78" i="50"/>
  <c r="AQ194" i="50"/>
  <c r="AQ53" i="50"/>
  <c r="AQ90" i="50"/>
  <c r="AQ94" i="50" s="1"/>
  <c r="AQ93" i="50"/>
  <c r="AQ179" i="50"/>
  <c r="AQ196" i="50"/>
  <c r="AQ83" i="50"/>
  <c r="AQ82" i="50" s="1"/>
  <c r="AQ80" i="50" s="1"/>
  <c r="AQ181" i="50"/>
  <c r="AQ95" i="50"/>
  <c r="AQ97" i="50"/>
  <c r="AQ19" i="50"/>
  <c r="U38" i="129"/>
  <c r="U33" i="129" s="1"/>
  <c r="U36" i="129" s="1"/>
  <c r="U19" i="129"/>
  <c r="U28" i="129" s="1"/>
  <c r="H36" i="132" s="1"/>
  <c r="H37" i="132" s="1"/>
  <c r="H38" i="132" s="1"/>
  <c r="H28" i="132" s="1"/>
  <c r="U18" i="129"/>
  <c r="U25" i="129"/>
  <c r="AQ84" i="50" l="1"/>
  <c r="AQ88" i="50" s="1"/>
  <c r="AQ92" i="50" s="1"/>
  <c r="AQ86" i="50"/>
  <c r="AH11" i="56"/>
  <c r="AH9" i="56" s="1"/>
  <c r="AQ209" i="50"/>
  <c r="H31" i="132"/>
  <c r="H32" i="132" s="1"/>
  <c r="H29" i="132"/>
  <c r="AH8" i="56"/>
  <c r="AQ200" i="50"/>
  <c r="AQ195" i="50"/>
  <c r="U26" i="129"/>
  <c r="U27" i="129" s="1"/>
  <c r="U29" i="129"/>
  <c r="U37" i="129"/>
  <c r="AH17" i="56" l="1"/>
  <c r="AH16" i="56" s="1"/>
  <c r="AH22" i="56"/>
  <c r="AH21" i="56" s="1"/>
  <c r="AH7" i="56"/>
  <c r="U32" i="129"/>
  <c r="U39" i="129"/>
  <c r="U35" i="129" l="1"/>
  <c r="U34" i="129"/>
  <c r="U41" i="129" l="1"/>
  <c r="U42" i="129"/>
  <c r="CC18" i="111" l="1"/>
  <c r="CC21" i="111"/>
  <c r="CC20" i="111"/>
  <c r="CC2" i="111"/>
  <c r="CC14" i="111" l="1"/>
  <c r="CC15" i="111" s="1"/>
  <c r="CC17" i="111"/>
  <c r="CC16" i="111" s="1"/>
  <c r="AQ27" i="56" l="1"/>
  <c r="AQ28" i="56"/>
  <c r="AQ29" i="56"/>
  <c r="AQ30" i="56"/>
  <c r="AQ31" i="56"/>
  <c r="AQ32" i="56"/>
  <c r="AD123" i="50" l="1"/>
  <c r="AD87" i="50" s="1"/>
  <c r="AD124" i="50"/>
  <c r="AD92" i="50" l="1"/>
  <c r="AX92" i="50" s="1"/>
  <c r="AX124" i="50"/>
  <c r="AD91" i="50"/>
  <c r="AD62" i="50"/>
  <c r="AD128" i="50" l="1"/>
  <c r="AX128" i="50" s="1"/>
  <c r="AD127" i="50" l="1"/>
  <c r="AD89" i="50" s="1"/>
  <c r="AD137" i="50"/>
  <c r="AD171" i="50"/>
  <c r="AD169" i="50" s="1"/>
  <c r="AD93" i="50" l="1"/>
  <c r="AD90" i="50"/>
  <c r="AD94" i="50" s="1"/>
  <c r="BQ8" i="111"/>
  <c r="BQ34" i="111" s="1"/>
  <c r="AD187" i="50" l="1"/>
  <c r="U26" i="56" l="1"/>
  <c r="AF56" i="50" l="1"/>
  <c r="BR2" i="111"/>
  <c r="AF7" i="50" l="1"/>
  <c r="AE19" i="50" l="1"/>
  <c r="AE79" i="50" l="1"/>
  <c r="AE83" i="50" s="1"/>
  <c r="AE81" i="50" l="1"/>
  <c r="AD126" i="50"/>
  <c r="AX126" i="50" s="1"/>
  <c r="AE85" i="50" l="1"/>
  <c r="AE82" i="50" s="1"/>
  <c r="AE86" i="50" s="1"/>
  <c r="AD189" i="50"/>
  <c r="AD125" i="50" l="1"/>
  <c r="AX125" i="50" s="1"/>
  <c r="AD64" i="50" l="1"/>
  <c r="AX64" i="50" s="1"/>
  <c r="AD174" i="50" l="1"/>
  <c r="AD112" i="50" l="1"/>
  <c r="AD109" i="50" s="1"/>
  <c r="AD56" i="50" l="1"/>
  <c r="V48" i="56" l="1"/>
  <c r="I10" i="129"/>
  <c r="BP7" i="111"/>
  <c r="BP20" i="111" s="1"/>
  <c r="CB18" i="111"/>
  <c r="CB21" i="111"/>
  <c r="CB20" i="111"/>
  <c r="CB2" i="111"/>
  <c r="CA2" i="111"/>
  <c r="AC31" i="50"/>
  <c r="AC17" i="50"/>
  <c r="AG45" i="56"/>
  <c r="AG23" i="56"/>
  <c r="AG20" i="56"/>
  <c r="AG19" i="56"/>
  <c r="AP193" i="50"/>
  <c r="AP192" i="50"/>
  <c r="AP191" i="50"/>
  <c r="AP190" i="50"/>
  <c r="AP189" i="50"/>
  <c r="AP188" i="50"/>
  <c r="AP187" i="50"/>
  <c r="AP182" i="50"/>
  <c r="AG12" i="56" s="1"/>
  <c r="AP180" i="50"/>
  <c r="AG10" i="56" s="1"/>
  <c r="AP198" i="50"/>
  <c r="AP179" i="50"/>
  <c r="AP110" i="50"/>
  <c r="AP77" i="50"/>
  <c r="AP76" i="50"/>
  <c r="AP75" i="50"/>
  <c r="AP74" i="50"/>
  <c r="AP72" i="50"/>
  <c r="AP68" i="50"/>
  <c r="AP67" i="50"/>
  <c r="AP65" i="50"/>
  <c r="AP56" i="50"/>
  <c r="AP52" i="50"/>
  <c r="AP41" i="50"/>
  <c r="AP34" i="50"/>
  <c r="AP27" i="50"/>
  <c r="AP21" i="50"/>
  <c r="AP13" i="50"/>
  <c r="S55" i="129"/>
  <c r="S50" i="129"/>
  <c r="S57" i="129" s="1"/>
  <c r="S31" i="129"/>
  <c r="S23" i="129"/>
  <c r="S24" i="129" s="1"/>
  <c r="S25" i="129" s="1"/>
  <c r="S21" i="129"/>
  <c r="S10" i="129"/>
  <c r="S19" i="129"/>
  <c r="S4" i="129"/>
  <c r="S2" i="129"/>
  <c r="AG177" i="50"/>
  <c r="AH177" i="50"/>
  <c r="AI177" i="50"/>
  <c r="AE177" i="50"/>
  <c r="C22" i="14"/>
  <c r="D22" i="14"/>
  <c r="E22" i="14"/>
  <c r="F22" i="14"/>
  <c r="G22" i="14"/>
  <c r="H22" i="14"/>
  <c r="I22" i="14"/>
  <c r="J22" i="14"/>
  <c r="K22" i="14"/>
  <c r="L22" i="14"/>
  <c r="M22" i="14"/>
  <c r="B22" i="14"/>
  <c r="BT23" i="111"/>
  <c r="BT27" i="111"/>
  <c r="AF45" i="56"/>
  <c r="AF23" i="56"/>
  <c r="AF20" i="56"/>
  <c r="AF13" i="56"/>
  <c r="AF6" i="56"/>
  <c r="AF19" i="56" s="1"/>
  <c r="AF5" i="56"/>
  <c r="AF4" i="56"/>
  <c r="BY20" i="111"/>
  <c r="BX20" i="111"/>
  <c r="BW20" i="111"/>
  <c r="AD113" i="50"/>
  <c r="AC98" i="50"/>
  <c r="AD115" i="50"/>
  <c r="AO193" i="50"/>
  <c r="AO192" i="50"/>
  <c r="AO191" i="50"/>
  <c r="AO190" i="50"/>
  <c r="AO189" i="50"/>
  <c r="AO188" i="50"/>
  <c r="AO187" i="50"/>
  <c r="AO182" i="50"/>
  <c r="AF12" i="56" s="1"/>
  <c r="AO180" i="50"/>
  <c r="AF10" i="56" s="1"/>
  <c r="AO197" i="50"/>
  <c r="AO77" i="50"/>
  <c r="AO76" i="50"/>
  <c r="AO75" i="50"/>
  <c r="AO74" i="50"/>
  <c r="AO72" i="50"/>
  <c r="AO68" i="50"/>
  <c r="AO67" i="50"/>
  <c r="AO65" i="50"/>
  <c r="AO56" i="50"/>
  <c r="AO54" i="50"/>
  <c r="AO52" i="50"/>
  <c r="AO41" i="50"/>
  <c r="AO34" i="50"/>
  <c r="AO27" i="50"/>
  <c r="AO21" i="50"/>
  <c r="AO13" i="50"/>
  <c r="CA18" i="111"/>
  <c r="CA20" i="111"/>
  <c r="T55" i="129"/>
  <c r="T50" i="129"/>
  <c r="T57" i="129" s="1"/>
  <c r="T31" i="129"/>
  <c r="T23" i="129"/>
  <c r="T24" i="129" s="1"/>
  <c r="T25" i="129" s="1"/>
  <c r="T21" i="129"/>
  <c r="T10" i="129"/>
  <c r="T8" i="129"/>
  <c r="T16" i="129" s="1"/>
  <c r="T4" i="129"/>
  <c r="T2" i="129"/>
  <c r="AB115" i="50"/>
  <c r="AB177" i="50" s="1"/>
  <c r="AB8" i="50"/>
  <c r="AB119" i="50"/>
  <c r="BN6" i="111"/>
  <c r="CL6" i="111" s="1"/>
  <c r="CM6" i="111" s="1"/>
  <c r="BO7" i="111"/>
  <c r="BO20" i="111" s="1"/>
  <c r="AB120" i="50"/>
  <c r="BN7" i="111"/>
  <c r="BN14" i="111" s="1"/>
  <c r="AA151" i="50"/>
  <c r="AA181" i="50" s="1"/>
  <c r="R11" i="56" s="1"/>
  <c r="R17" i="56" s="1"/>
  <c r="AB151" i="50"/>
  <c r="AB196" i="50" s="1"/>
  <c r="AC151" i="50"/>
  <c r="AC196" i="50" s="1"/>
  <c r="AD151" i="50"/>
  <c r="AE151" i="50"/>
  <c r="AE181" i="50" s="1"/>
  <c r="AF219" i="50"/>
  <c r="AH179" i="50"/>
  <c r="AI179" i="50"/>
  <c r="AJ179" i="50"/>
  <c r="F8" i="131" s="1"/>
  <c r="AL179" i="50"/>
  <c r="AM179" i="50"/>
  <c r="AN179" i="50"/>
  <c r="AE45" i="56"/>
  <c r="AE23" i="56"/>
  <c r="AE20" i="56"/>
  <c r="AE13" i="56"/>
  <c r="AE6" i="56"/>
  <c r="AE19" i="56" s="1"/>
  <c r="AE5" i="56"/>
  <c r="AE4" i="56"/>
  <c r="C59" i="50"/>
  <c r="C58" i="50"/>
  <c r="C57" i="50"/>
  <c r="C56" i="50"/>
  <c r="C29" i="129"/>
  <c r="BV20" i="111"/>
  <c r="BZ18" i="111"/>
  <c r="BZ21" i="111"/>
  <c r="BZ2" i="111"/>
  <c r="AN193" i="50"/>
  <c r="AN192" i="50"/>
  <c r="AN191" i="50"/>
  <c r="AN190" i="50"/>
  <c r="AN189" i="50"/>
  <c r="AN188" i="50"/>
  <c r="AN187" i="50"/>
  <c r="AN182" i="50"/>
  <c r="AE12" i="56" s="1"/>
  <c r="AN180" i="50"/>
  <c r="AE10" i="56" s="1"/>
  <c r="AN199" i="50"/>
  <c r="AN198" i="50"/>
  <c r="AN110" i="50"/>
  <c r="AN77" i="50"/>
  <c r="AN76" i="50"/>
  <c r="AN75" i="50"/>
  <c r="AN74" i="50"/>
  <c r="AN72" i="50"/>
  <c r="AN68" i="50"/>
  <c r="AN67" i="50"/>
  <c r="AN65" i="50"/>
  <c r="AN56" i="50"/>
  <c r="AN54" i="50"/>
  <c r="AN52" i="50"/>
  <c r="AN41" i="50"/>
  <c r="AN34" i="50"/>
  <c r="AN27" i="50"/>
  <c r="AN21" i="50"/>
  <c r="AN13" i="50"/>
  <c r="R55" i="129"/>
  <c r="R50" i="129"/>
  <c r="R57" i="129" s="1"/>
  <c r="R31" i="129"/>
  <c r="R23" i="129"/>
  <c r="R24" i="129" s="1"/>
  <c r="R21" i="129"/>
  <c r="R10" i="129"/>
  <c r="R8" i="129"/>
  <c r="R16" i="129" s="1"/>
  <c r="R4" i="129"/>
  <c r="R2" i="129"/>
  <c r="AA59" i="50"/>
  <c r="AX59" i="50" s="1"/>
  <c r="AD48" i="56"/>
  <c r="AD45" i="56"/>
  <c r="AD23" i="56"/>
  <c r="AD20" i="56"/>
  <c r="AD13" i="56"/>
  <c r="AD6" i="56"/>
  <c r="AD19" i="56" s="1"/>
  <c r="AD5" i="56"/>
  <c r="AD4" i="56"/>
  <c r="AA137" i="50"/>
  <c r="AA184" i="50" s="1"/>
  <c r="S34" i="56"/>
  <c r="S48" i="56" s="1"/>
  <c r="AA120" i="50"/>
  <c r="AA112" i="50"/>
  <c r="AA111" i="50"/>
  <c r="AA17" i="50"/>
  <c r="AB54" i="129"/>
  <c r="AB53" i="129"/>
  <c r="AB52" i="129"/>
  <c r="AB51" i="129"/>
  <c r="AB49" i="129"/>
  <c r="AB48" i="129"/>
  <c r="F50" i="129"/>
  <c r="G50" i="129"/>
  <c r="H50" i="129"/>
  <c r="I50" i="129"/>
  <c r="I57" i="129" s="1"/>
  <c r="J50" i="129"/>
  <c r="J57" i="129" s="1"/>
  <c r="K50" i="129"/>
  <c r="L50" i="129"/>
  <c r="L57" i="129" s="1"/>
  <c r="M50" i="129"/>
  <c r="M57" i="129" s="1"/>
  <c r="N50" i="129"/>
  <c r="N57" i="129" s="1"/>
  <c r="O50" i="129"/>
  <c r="O57" i="129" s="1"/>
  <c r="P50" i="129"/>
  <c r="P57" i="129" s="1"/>
  <c r="Q50" i="129"/>
  <c r="Q57" i="129" s="1"/>
  <c r="E50" i="129"/>
  <c r="F55" i="129"/>
  <c r="G55" i="129"/>
  <c r="H55" i="129"/>
  <c r="I55" i="129"/>
  <c r="J55" i="129"/>
  <c r="K55" i="129"/>
  <c r="L55" i="129"/>
  <c r="M55" i="129"/>
  <c r="N55" i="129"/>
  <c r="O55" i="129"/>
  <c r="P55" i="129"/>
  <c r="Q55" i="129"/>
  <c r="E55" i="129"/>
  <c r="Q31" i="129"/>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N25" i="129" s="1"/>
  <c r="M23" i="129"/>
  <c r="M24" i="129" s="1"/>
  <c r="L23" i="129"/>
  <c r="L24" i="129" s="1"/>
  <c r="K23" i="129"/>
  <c r="K24" i="129" s="1"/>
  <c r="K25" i="129" s="1"/>
  <c r="J23" i="129"/>
  <c r="J24" i="129" s="1"/>
  <c r="I23" i="129"/>
  <c r="I24" i="129" s="1"/>
  <c r="H23" i="129"/>
  <c r="H24" i="129" s="1"/>
  <c r="H25" i="129" s="1"/>
  <c r="G23" i="129"/>
  <c r="G24" i="129" s="1"/>
  <c r="F23" i="129"/>
  <c r="F24" i="129" s="1"/>
  <c r="E23" i="129"/>
  <c r="E24" i="129" s="1"/>
  <c r="E25" i="129" s="1"/>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H10" i="129"/>
  <c r="G10" i="129"/>
  <c r="F10" i="129"/>
  <c r="E10" i="129"/>
  <c r="D10" i="129"/>
  <c r="C10" i="129"/>
  <c r="AB9" i="129"/>
  <c r="Q8" i="129"/>
  <c r="P8" i="129"/>
  <c r="O8" i="129"/>
  <c r="O16" i="129" s="1"/>
  <c r="N8" i="129"/>
  <c r="M8" i="129"/>
  <c r="M16" i="129" s="1"/>
  <c r="M18" i="129" s="1"/>
  <c r="L8" i="129"/>
  <c r="K8" i="129"/>
  <c r="K16" i="129" s="1"/>
  <c r="J16" i="129"/>
  <c r="I8" i="129"/>
  <c r="H8" i="129"/>
  <c r="H38" i="129" s="1"/>
  <c r="H33" i="129" s="1"/>
  <c r="H36" i="129" s="1"/>
  <c r="G8" i="129"/>
  <c r="G16" i="129" s="1"/>
  <c r="G18" i="129" s="1"/>
  <c r="F8" i="129"/>
  <c r="E8" i="129"/>
  <c r="E16" i="129" s="1"/>
  <c r="D8" i="129"/>
  <c r="C8" i="129"/>
  <c r="A8" i="129"/>
  <c r="Q4" i="129"/>
  <c r="P4" i="129"/>
  <c r="O4" i="129"/>
  <c r="N4" i="129"/>
  <c r="M4" i="129"/>
  <c r="L4" i="129"/>
  <c r="K4" i="129"/>
  <c r="J4" i="129"/>
  <c r="I4" i="129"/>
  <c r="H4" i="129"/>
  <c r="G4" i="129"/>
  <c r="F4" i="129"/>
  <c r="E4" i="129"/>
  <c r="D4" i="129"/>
  <c r="C4" i="129"/>
  <c r="Q2" i="129"/>
  <c r="P2" i="129"/>
  <c r="O2" i="129"/>
  <c r="N2" i="129"/>
  <c r="M2" i="129"/>
  <c r="L2" i="129"/>
  <c r="K2" i="129"/>
  <c r="J2" i="129"/>
  <c r="I2" i="129"/>
  <c r="H2" i="129"/>
  <c r="G2" i="129"/>
  <c r="F2" i="129"/>
  <c r="E2" i="129"/>
  <c r="D2" i="129"/>
  <c r="C2" i="129"/>
  <c r="BY18" i="111"/>
  <c r="BY21" i="111"/>
  <c r="BY2" i="111"/>
  <c r="AM193" i="50"/>
  <c r="AM192" i="50"/>
  <c r="AM191" i="50"/>
  <c r="AM190" i="50"/>
  <c r="AM189" i="50"/>
  <c r="AM188" i="50"/>
  <c r="AM187" i="50"/>
  <c r="AM182" i="50"/>
  <c r="AD12" i="56" s="1"/>
  <c r="AM180" i="50"/>
  <c r="AD10" i="56" s="1"/>
  <c r="AM199" i="50"/>
  <c r="AM198" i="50"/>
  <c r="AM110" i="50"/>
  <c r="AM77" i="50"/>
  <c r="AM76" i="50"/>
  <c r="AM75" i="50"/>
  <c r="AM74" i="50"/>
  <c r="AM72" i="50"/>
  <c r="AM68" i="50"/>
  <c r="AM67" i="50"/>
  <c r="AM65" i="50"/>
  <c r="AM56" i="50"/>
  <c r="AM54" i="50"/>
  <c r="AM52" i="50"/>
  <c r="AM41" i="50"/>
  <c r="AM34" i="50"/>
  <c r="AM27" i="50"/>
  <c r="AM21" i="50"/>
  <c r="AM13" i="50"/>
  <c r="AX121" i="50"/>
  <c r="Z123" i="50"/>
  <c r="Z87" i="50" s="1"/>
  <c r="Z137" i="50"/>
  <c r="AB56" i="50"/>
  <c r="AB69" i="50" s="1"/>
  <c r="AC56" i="50"/>
  <c r="AC69" i="50" s="1"/>
  <c r="AE56" i="50"/>
  <c r="AF69" i="50"/>
  <c r="AG56" i="50"/>
  <c r="AH56" i="50"/>
  <c r="AI56" i="50"/>
  <c r="AJ56" i="50"/>
  <c r="AJ24" i="50" s="1"/>
  <c r="AK24" i="50" s="1"/>
  <c r="AL24" i="50" s="1"/>
  <c r="AM24" i="50" s="1"/>
  <c r="AK56" i="50"/>
  <c r="AL56" i="50"/>
  <c r="AL34" i="50"/>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71" i="50"/>
  <c r="AX171" i="50" s="1"/>
  <c r="Z62" i="50"/>
  <c r="BW21" i="111"/>
  <c r="BU21" i="111"/>
  <c r="BS21" i="111"/>
  <c r="BR14" i="111"/>
  <c r="BO8" i="111"/>
  <c r="BO21" i="111" s="1"/>
  <c r="BP8" i="111"/>
  <c r="AJ178" i="50"/>
  <c r="AF19" i="50"/>
  <c r="AC48" i="56"/>
  <c r="AC45" i="56"/>
  <c r="AC23" i="56"/>
  <c r="AC20" i="56"/>
  <c r="AC13" i="56"/>
  <c r="AC6" i="56"/>
  <c r="AC19" i="56" s="1"/>
  <c r="AC5" i="56"/>
  <c r="AC4" i="56"/>
  <c r="AE178" i="50"/>
  <c r="AH178" i="50"/>
  <c r="AG178" i="50"/>
  <c r="AD178" i="50"/>
  <c r="AC178" i="50"/>
  <c r="Z119" i="50"/>
  <c r="Z178" i="50" s="1"/>
  <c r="Z127" i="50"/>
  <c r="BM7" i="111"/>
  <c r="BM20" i="111" s="1"/>
  <c r="BL7" i="111"/>
  <c r="BL20" i="111" s="1"/>
  <c r="AA79" i="50"/>
  <c r="AA83" i="50" s="1"/>
  <c r="AC79" i="50"/>
  <c r="AD79" i="50"/>
  <c r="AL193" i="50"/>
  <c r="AL192" i="50"/>
  <c r="AL191" i="50"/>
  <c r="AL190" i="50"/>
  <c r="AL189" i="50"/>
  <c r="AL188" i="50"/>
  <c r="AL187" i="50"/>
  <c r="AL182" i="50"/>
  <c r="AC12" i="56" s="1"/>
  <c r="AL180" i="50"/>
  <c r="AC10" i="56" s="1"/>
  <c r="AL198" i="50"/>
  <c r="AL110" i="50"/>
  <c r="AL77" i="50"/>
  <c r="AL76" i="50"/>
  <c r="AL75" i="50"/>
  <c r="AL72" i="50"/>
  <c r="AL68" i="50"/>
  <c r="AL67" i="50"/>
  <c r="AL65" i="50"/>
  <c r="AL54" i="50"/>
  <c r="AL52" i="50"/>
  <c r="AL41" i="50"/>
  <c r="AL21" i="50"/>
  <c r="AL13" i="50"/>
  <c r="BX18" i="111"/>
  <c r="BX2" i="111"/>
  <c r="Z112" i="50"/>
  <c r="Z113" i="50"/>
  <c r="Z103" i="50" s="1"/>
  <c r="Y8" i="50"/>
  <c r="P6" i="56" s="1"/>
  <c r="P19" i="56" s="1"/>
  <c r="BL26" i="111"/>
  <c r="Y123" i="50"/>
  <c r="O34" i="56"/>
  <c r="O48" i="56" s="1"/>
  <c r="P49" i="56"/>
  <c r="Q49" i="56"/>
  <c r="R49" i="56"/>
  <c r="P50" i="56"/>
  <c r="Q50" i="56"/>
  <c r="R50" i="56"/>
  <c r="S49" i="56"/>
  <c r="T49" i="56"/>
  <c r="U49" i="56"/>
  <c r="S50" i="56"/>
  <c r="T50" i="56"/>
  <c r="U50" i="56"/>
  <c r="Z61" i="50"/>
  <c r="AX61" i="50" s="1"/>
  <c r="Z149" i="50"/>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Z19" i="56" s="1"/>
  <c r="AA6" i="56"/>
  <c r="AA19" i="56" s="1"/>
  <c r="Z13" i="56"/>
  <c r="AA13" i="56"/>
  <c r="AB48" i="56"/>
  <c r="AB45" i="56"/>
  <c r="AB23" i="56"/>
  <c r="AB20" i="56"/>
  <c r="AB13" i="56"/>
  <c r="AB6" i="56"/>
  <c r="AB19" i="56" s="1"/>
  <c r="AB5" i="56"/>
  <c r="AB4" i="56"/>
  <c r="Z115" i="50"/>
  <c r="AA150" i="50"/>
  <c r="Y150" i="50"/>
  <c r="BK7" i="111"/>
  <c r="AA32" i="50"/>
  <c r="BN25" i="111"/>
  <c r="AB32" i="50"/>
  <c r="BP26" i="111"/>
  <c r="BQ25" i="111" s="1"/>
  <c r="BR25" i="111" s="1"/>
  <c r="BM8" i="111"/>
  <c r="BM21" i="111" s="1"/>
  <c r="AC32" i="50"/>
  <c r="Y112" i="50"/>
  <c r="AB180" i="50"/>
  <c r="S10" i="56" s="1"/>
  <c r="AC180" i="50"/>
  <c r="T10" i="56" s="1"/>
  <c r="AD180" i="50"/>
  <c r="U10" i="56" s="1"/>
  <c r="AE180" i="50"/>
  <c r="V10" i="56" s="1"/>
  <c r="AF180" i="50"/>
  <c r="W10" i="56" s="1"/>
  <c r="AG180" i="50"/>
  <c r="X10" i="56" s="1"/>
  <c r="AH180" i="50"/>
  <c r="Y10" i="56" s="1"/>
  <c r="AI180" i="50"/>
  <c r="Z10" i="56" s="1"/>
  <c r="AJ180" i="50"/>
  <c r="AA10" i="56" s="1"/>
  <c r="AK180" i="50"/>
  <c r="AB10" i="56" s="1"/>
  <c r="Y180" i="50"/>
  <c r="P10" i="56" s="1"/>
  <c r="Z56" i="50"/>
  <c r="Z69" i="50" s="1"/>
  <c r="Y56" i="50"/>
  <c r="BW18" i="111"/>
  <c r="BW2" i="111"/>
  <c r="AK193" i="50"/>
  <c r="AK192" i="50"/>
  <c r="AK191" i="50"/>
  <c r="AK190" i="50"/>
  <c r="AK189" i="50"/>
  <c r="AK188" i="50"/>
  <c r="AK187" i="50"/>
  <c r="AK182" i="50"/>
  <c r="AB12" i="56" s="1"/>
  <c r="AK198" i="50"/>
  <c r="AK197" i="50"/>
  <c r="AK110" i="50"/>
  <c r="AK77" i="50"/>
  <c r="AK76" i="50"/>
  <c r="AK75" i="50"/>
  <c r="AK74" i="50"/>
  <c r="AK72" i="50"/>
  <c r="AK68" i="50"/>
  <c r="AK67" i="50"/>
  <c r="AK65" i="50"/>
  <c r="AK54" i="50"/>
  <c r="AK52" i="50"/>
  <c r="AK41" i="50"/>
  <c r="BK18" i="111"/>
  <c r="Y119" i="50"/>
  <c r="BJ8" i="111"/>
  <c r="BJ21" i="111" s="1"/>
  <c r="X137" i="50"/>
  <c r="X149" i="50"/>
  <c r="Y151" i="50"/>
  <c r="Y103" i="50"/>
  <c r="AA103" i="50"/>
  <c r="AG103" i="50"/>
  <c r="AH103" i="50"/>
  <c r="AB103" i="50"/>
  <c r="AA38" i="50"/>
  <c r="Z188" i="50"/>
  <c r="AA188" i="50"/>
  <c r="AB188" i="50"/>
  <c r="AC188" i="50"/>
  <c r="AD188" i="50"/>
  <c r="AE188" i="50"/>
  <c r="AF188" i="50"/>
  <c r="AG188" i="50"/>
  <c r="AH188" i="50"/>
  <c r="AI188" i="50"/>
  <c r="AJ188" i="50"/>
  <c r="Y188" i="50"/>
  <c r="Y169" i="50"/>
  <c r="AA169" i="50"/>
  <c r="AA197" i="50" s="1"/>
  <c r="AB169" i="50"/>
  <c r="AC169" i="50"/>
  <c r="AD197" i="50"/>
  <c r="AF197" i="50"/>
  <c r="AG197" i="50"/>
  <c r="AH197" i="50"/>
  <c r="AI197" i="50"/>
  <c r="AB38" i="50"/>
  <c r="AA118" i="50"/>
  <c r="AC38" i="50"/>
  <c r="X119" i="50"/>
  <c r="X56" i="50"/>
  <c r="X69" i="50" s="1"/>
  <c r="W8" i="50"/>
  <c r="N6" i="56" s="1"/>
  <c r="BJ7" i="111"/>
  <c r="BJ20" i="111" s="1"/>
  <c r="X160" i="50"/>
  <c r="X151" i="50" s="1"/>
  <c r="BI8" i="111"/>
  <c r="BI7" i="111"/>
  <c r="BI20" i="111" s="1"/>
  <c r="BI26" i="111"/>
  <c r="BJ24" i="111" s="1"/>
  <c r="BK24" i="111" s="1"/>
  <c r="BL24" i="111" s="1"/>
  <c r="W111" i="50"/>
  <c r="W56" i="50"/>
  <c r="W69" i="50" s="1"/>
  <c r="BT21" i="111"/>
  <c r="Y118" i="50"/>
  <c r="Z111" i="50"/>
  <c r="X191" i="50"/>
  <c r="Y191" i="50"/>
  <c r="Z191" i="50"/>
  <c r="AA191" i="50"/>
  <c r="AB191" i="50"/>
  <c r="AC191" i="50"/>
  <c r="AD191" i="50"/>
  <c r="AE191" i="50"/>
  <c r="AF191" i="50"/>
  <c r="AG191" i="50"/>
  <c r="AH191" i="50"/>
  <c r="AI191" i="50"/>
  <c r="AJ191" i="50"/>
  <c r="X192" i="50"/>
  <c r="Y192" i="50"/>
  <c r="Z192" i="50"/>
  <c r="AA192" i="50"/>
  <c r="AB192" i="50"/>
  <c r="AC192" i="50"/>
  <c r="AD192" i="50"/>
  <c r="AE192" i="50"/>
  <c r="AF192" i="50"/>
  <c r="AG192" i="50"/>
  <c r="AH192" i="50"/>
  <c r="AI192" i="50"/>
  <c r="AJ192" i="50"/>
  <c r="X193" i="50"/>
  <c r="Y193" i="50"/>
  <c r="Z193" i="50"/>
  <c r="AA193" i="50"/>
  <c r="AB193" i="50"/>
  <c r="AC193" i="50"/>
  <c r="AD193" i="50"/>
  <c r="AE193" i="50"/>
  <c r="AF193" i="50"/>
  <c r="AG193" i="50"/>
  <c r="AH193" i="50"/>
  <c r="AI193" i="50"/>
  <c r="AJ193" i="50"/>
  <c r="W193" i="50"/>
  <c r="W192" i="50"/>
  <c r="W191" i="50"/>
  <c r="W137" i="50"/>
  <c r="W180" i="50" s="1"/>
  <c r="N10" i="56" s="1"/>
  <c r="V125" i="50"/>
  <c r="V180" i="50" s="1"/>
  <c r="M10" i="56" s="1"/>
  <c r="V62" i="50"/>
  <c r="V75" i="50" s="1"/>
  <c r="Z45" i="56"/>
  <c r="AA45" i="56"/>
  <c r="Z20" i="56"/>
  <c r="AA20" i="56"/>
  <c r="AA23" i="56"/>
  <c r="V123" i="50"/>
  <c r="V87" i="50" s="1"/>
  <c r="V188" i="50"/>
  <c r="X188" i="50"/>
  <c r="W188" i="50"/>
  <c r="W151" i="50"/>
  <c r="W181" i="50" s="1"/>
  <c r="N11" i="56" s="1"/>
  <c r="N22" i="56" s="1"/>
  <c r="W169" i="50"/>
  <c r="W197" i="50" s="1"/>
  <c r="X169" i="50"/>
  <c r="W173" i="50"/>
  <c r="W198" i="50" s="1"/>
  <c r="X173" i="50"/>
  <c r="X198" i="50" s="1"/>
  <c r="Y173" i="50"/>
  <c r="Z173" i="50"/>
  <c r="Z198" i="50" s="1"/>
  <c r="AA173" i="50"/>
  <c r="AA198" i="50" s="1"/>
  <c r="AB173" i="50"/>
  <c r="AB198" i="50" s="1"/>
  <c r="AC173" i="50"/>
  <c r="AC198" i="50" s="1"/>
  <c r="AD173" i="50"/>
  <c r="AD198" i="50" s="1"/>
  <c r="AF198" i="50"/>
  <c r="AG198" i="50"/>
  <c r="W174" i="50"/>
  <c r="W199" i="50" s="1"/>
  <c r="X174" i="50"/>
  <c r="X199" i="50" s="1"/>
  <c r="Y174" i="50"/>
  <c r="Z174" i="50"/>
  <c r="Z199" i="50" s="1"/>
  <c r="AA174" i="50"/>
  <c r="AB174" i="50"/>
  <c r="AB199" i="50" s="1"/>
  <c r="AC174" i="50"/>
  <c r="AC199" i="50" s="1"/>
  <c r="AE199" i="50"/>
  <c r="AF199" i="50"/>
  <c r="AG199" i="50"/>
  <c r="W118" i="50"/>
  <c r="W178" i="50" s="1"/>
  <c r="V118" i="50"/>
  <c r="AB184" i="50"/>
  <c r="AC184" i="50"/>
  <c r="AD184" i="50"/>
  <c r="AE184" i="50"/>
  <c r="BL21" i="111"/>
  <c r="BN21" i="111"/>
  <c r="BQ21" i="111"/>
  <c r="W4" i="56"/>
  <c r="X4" i="56"/>
  <c r="W5" i="56"/>
  <c r="X5" i="56"/>
  <c r="W6" i="56"/>
  <c r="W19" i="56" s="1"/>
  <c r="X6" i="56"/>
  <c r="X19" i="56" s="1"/>
  <c r="Y48" i="56"/>
  <c r="Y45" i="56"/>
  <c r="Y23" i="56"/>
  <c r="Y20" i="56"/>
  <c r="Y13" i="56"/>
  <c r="Y6" i="56"/>
  <c r="Y19" i="56" s="1"/>
  <c r="Y5" i="56"/>
  <c r="Y4" i="56"/>
  <c r="BV18" i="111"/>
  <c r="BV2" i="111"/>
  <c r="BU18" i="111"/>
  <c r="BU2" i="111"/>
  <c r="BH7" i="111"/>
  <c r="BH20" i="111" s="1"/>
  <c r="BT32" i="111"/>
  <c r="BT18" i="111"/>
  <c r="BT2" i="111"/>
  <c r="U184" i="50"/>
  <c r="O197" i="50"/>
  <c r="E196" i="50"/>
  <c r="F196" i="50"/>
  <c r="J180" i="50"/>
  <c r="K180" i="50"/>
  <c r="L180" i="50"/>
  <c r="N180" i="50"/>
  <c r="E10" i="56" s="1"/>
  <c r="O180" i="50"/>
  <c r="F10" i="56" s="1"/>
  <c r="P180" i="50"/>
  <c r="G10" i="56" s="1"/>
  <c r="Q180" i="50"/>
  <c r="H10" i="56" s="1"/>
  <c r="R180" i="50"/>
  <c r="I10" i="56" s="1"/>
  <c r="T180" i="50"/>
  <c r="K10" i="56" s="1"/>
  <c r="U180" i="50"/>
  <c r="L10" i="56" s="1"/>
  <c r="I180" i="50"/>
  <c r="I151" i="50"/>
  <c r="I196" i="50" s="1"/>
  <c r="J151" i="50"/>
  <c r="J181" i="50" s="1"/>
  <c r="K151" i="50"/>
  <c r="K96" i="50" s="1"/>
  <c r="L151" i="50"/>
  <c r="L196" i="50" s="1"/>
  <c r="N151" i="50"/>
  <c r="N196" i="50" s="1"/>
  <c r="O151" i="50"/>
  <c r="P151" i="50"/>
  <c r="P181" i="50" s="1"/>
  <c r="G11" i="56" s="1"/>
  <c r="G17" i="56" s="1"/>
  <c r="Q151" i="50"/>
  <c r="Q96" i="50" s="1"/>
  <c r="R151" i="50"/>
  <c r="R196" i="50" s="1"/>
  <c r="T151" i="50"/>
  <c r="T96" i="50" s="1"/>
  <c r="U151" i="50"/>
  <c r="U196" i="50" s="1"/>
  <c r="V151" i="50"/>
  <c r="H151" i="50"/>
  <c r="H196" i="50" s="1"/>
  <c r="G151" i="50"/>
  <c r="G196" i="50" s="1"/>
  <c r="U190" i="50"/>
  <c r="V190" i="50"/>
  <c r="W190" i="50"/>
  <c r="X190" i="50"/>
  <c r="Y190" i="50"/>
  <c r="Z190" i="50"/>
  <c r="AA190" i="50"/>
  <c r="AB190" i="50"/>
  <c r="AC190" i="50"/>
  <c r="AD190" i="50"/>
  <c r="AE190" i="50"/>
  <c r="AF190" i="50"/>
  <c r="AG190" i="50"/>
  <c r="AH190" i="50"/>
  <c r="AI190" i="50"/>
  <c r="AJ190" i="50"/>
  <c r="T190" i="50"/>
  <c r="U169" i="50"/>
  <c r="U197" i="50" s="1"/>
  <c r="Y111" i="50"/>
  <c r="AJ189" i="50"/>
  <c r="AI189" i="50"/>
  <c r="AH189" i="50"/>
  <c r="AJ187" i="50"/>
  <c r="AI187" i="50"/>
  <c r="AH187" i="50"/>
  <c r="AJ182" i="50"/>
  <c r="AA12" i="56" s="1"/>
  <c r="AI182" i="50"/>
  <c r="Z12" i="56" s="1"/>
  <c r="AH182" i="50"/>
  <c r="Y12" i="56" s="1"/>
  <c r="AJ199" i="50"/>
  <c r="AI199" i="50"/>
  <c r="AJ198" i="50"/>
  <c r="AI198" i="50"/>
  <c r="AI110" i="50"/>
  <c r="AH110" i="50"/>
  <c r="AH53" i="50"/>
  <c r="AJ77" i="50"/>
  <c r="AI77" i="50"/>
  <c r="AH77" i="50"/>
  <c r="AJ76" i="50"/>
  <c r="AI76" i="50"/>
  <c r="AH76" i="50"/>
  <c r="AJ75" i="50"/>
  <c r="AI75" i="50"/>
  <c r="AH75" i="50"/>
  <c r="AJ74" i="50"/>
  <c r="AI74" i="50"/>
  <c r="AH74" i="50"/>
  <c r="AJ72" i="50"/>
  <c r="AI72" i="50"/>
  <c r="AH72" i="50"/>
  <c r="AJ68" i="50"/>
  <c r="AI68" i="50"/>
  <c r="AH68" i="50"/>
  <c r="AJ67" i="50"/>
  <c r="AI67" i="50"/>
  <c r="AH67" i="50"/>
  <c r="AJ65" i="50"/>
  <c r="F7" i="131" s="1"/>
  <c r="AI65" i="50"/>
  <c r="E7" i="131" s="1"/>
  <c r="AH65" i="50"/>
  <c r="D7" i="131" s="1"/>
  <c r="AJ54" i="50"/>
  <c r="AI54" i="50"/>
  <c r="AH54" i="50"/>
  <c r="AJ52" i="50"/>
  <c r="AI52" i="50"/>
  <c r="AH52" i="50"/>
  <c r="AJ41" i="50"/>
  <c r="AI41" i="50"/>
  <c r="AH41" i="50"/>
  <c r="AH19" i="50"/>
  <c r="X48" i="56"/>
  <c r="X45" i="56"/>
  <c r="X23" i="56"/>
  <c r="X20" i="56"/>
  <c r="X13" i="56"/>
  <c r="BS32" i="111"/>
  <c r="BS18" i="111"/>
  <c r="BS2" i="111"/>
  <c r="U56" i="50"/>
  <c r="U69" i="50" s="1"/>
  <c r="AG189" i="50"/>
  <c r="AG187" i="50"/>
  <c r="AG182" i="50"/>
  <c r="X12" i="56" s="1"/>
  <c r="AG110" i="50"/>
  <c r="AG53" i="50"/>
  <c r="AG77" i="50"/>
  <c r="AG76" i="50"/>
  <c r="AG75" i="50"/>
  <c r="AG74" i="50"/>
  <c r="AG72" i="50"/>
  <c r="AG68" i="50"/>
  <c r="AG67" i="50"/>
  <c r="AG54" i="50"/>
  <c r="AG52" i="50"/>
  <c r="AG41" i="50"/>
  <c r="AG19" i="50"/>
  <c r="BG7" i="111"/>
  <c r="BG20" i="111" s="1"/>
  <c r="V56" i="50"/>
  <c r="V69" i="50" s="1"/>
  <c r="AA25" i="50"/>
  <c r="AB25" i="50"/>
  <c r="W45" i="56"/>
  <c r="W23" i="56"/>
  <c r="W20" i="56"/>
  <c r="W13" i="56"/>
  <c r="AC25" i="50"/>
  <c r="T112" i="50"/>
  <c r="T109" i="50" s="1"/>
  <c r="BF25" i="111"/>
  <c r="BR32" i="111"/>
  <c r="BR18" i="111"/>
  <c r="BK21" i="111"/>
  <c r="AF189" i="50"/>
  <c r="AF187" i="50"/>
  <c r="AF182" i="50"/>
  <c r="W12" i="56" s="1"/>
  <c r="AF110" i="50"/>
  <c r="AF77" i="50"/>
  <c r="AF76" i="50"/>
  <c r="AF75" i="50"/>
  <c r="AF74" i="50"/>
  <c r="AF68" i="50"/>
  <c r="AF67" i="50"/>
  <c r="AF65" i="50"/>
  <c r="B7" i="131" s="1"/>
  <c r="AF54" i="50"/>
  <c r="AF52" i="50"/>
  <c r="AF41" i="50"/>
  <c r="S59" i="50"/>
  <c r="J4" i="56" s="1"/>
  <c r="S8" i="50"/>
  <c r="S87" i="50" s="1"/>
  <c r="T56" i="50"/>
  <c r="T69" i="50" s="1"/>
  <c r="BG8" i="111"/>
  <c r="BG21" i="111" s="1"/>
  <c r="BF7" i="111"/>
  <c r="T169" i="50"/>
  <c r="T197" i="50" s="1"/>
  <c r="V45" i="56"/>
  <c r="V23" i="56"/>
  <c r="V20" i="56"/>
  <c r="V13" i="56"/>
  <c r="V6" i="56"/>
  <c r="V19" i="56" s="1"/>
  <c r="V5" i="56"/>
  <c r="V4" i="56"/>
  <c r="S43" i="50"/>
  <c r="BQ32" i="111"/>
  <c r="BQ18" i="111"/>
  <c r="BQ2" i="111"/>
  <c r="AE187" i="50"/>
  <c r="AE182" i="50"/>
  <c r="V12" i="56" s="1"/>
  <c r="AE110" i="50"/>
  <c r="AE53" i="50"/>
  <c r="AE77" i="50"/>
  <c r="AE76" i="50"/>
  <c r="AE75" i="50"/>
  <c r="AE74" i="50"/>
  <c r="AE72" i="50"/>
  <c r="AE68" i="50"/>
  <c r="AE67" i="50"/>
  <c r="AE65" i="50"/>
  <c r="AE54" i="50"/>
  <c r="AE52" i="50"/>
  <c r="AE41" i="50"/>
  <c r="BQ17" i="111"/>
  <c r="BQ20" i="111"/>
  <c r="BQ14" i="111"/>
  <c r="BQ15" i="111" s="1"/>
  <c r="AE189" i="50"/>
  <c r="BG18" i="111"/>
  <c r="R8" i="50"/>
  <c r="R87" i="50" s="1"/>
  <c r="S152" i="50"/>
  <c r="S151" i="50" s="1"/>
  <c r="S112" i="50"/>
  <c r="S109" i="50" s="1"/>
  <c r="C15" i="17"/>
  <c r="C24" i="17" s="1"/>
  <c r="D15" i="17"/>
  <c r="D24" i="17" s="1"/>
  <c r="E15" i="17"/>
  <c r="E24" i="17" s="1"/>
  <c r="F15" i="17"/>
  <c r="F24" i="17" s="1"/>
  <c r="G15" i="17"/>
  <c r="G24" i="17" s="1"/>
  <c r="H15" i="17"/>
  <c r="H24" i="17" s="1"/>
  <c r="I15" i="17"/>
  <c r="I24" i="17" s="1"/>
  <c r="J15" i="17"/>
  <c r="J24" i="17" s="1"/>
  <c r="K15" i="17"/>
  <c r="K24" i="17" s="1"/>
  <c r="L15" i="17"/>
  <c r="L24" i="17" s="1"/>
  <c r="M15" i="17"/>
  <c r="M24" i="17" s="1"/>
  <c r="B15" i="17"/>
  <c r="B24" i="17" s="1"/>
  <c r="BE7" i="111"/>
  <c r="BE17" i="111" s="1"/>
  <c r="AY35" i="111"/>
  <c r="BP32" i="111"/>
  <c r="BO32" i="111"/>
  <c r="BN32" i="111"/>
  <c r="BM32" i="111"/>
  <c r="BL32" i="111"/>
  <c r="BK32" i="111"/>
  <c r="BJ32" i="111"/>
  <c r="BI32" i="111"/>
  <c r="BH32" i="111"/>
  <c r="BG32" i="111"/>
  <c r="BF32" i="111"/>
  <c r="BE32" i="111"/>
  <c r="BD32" i="111"/>
  <c r="BC32" i="111"/>
  <c r="BB32" i="111"/>
  <c r="BA32" i="111"/>
  <c r="AZ32" i="111"/>
  <c r="AY32" i="111"/>
  <c r="AE29" i="111"/>
  <c r="AD29" i="111"/>
  <c r="AC29" i="111"/>
  <c r="AB29" i="111"/>
  <c r="AA29" i="111"/>
  <c r="Z29" i="111"/>
  <c r="BG28" i="111"/>
  <c r="BC28" i="111"/>
  <c r="AE28" i="111"/>
  <c r="AD28" i="111"/>
  <c r="AC28" i="111"/>
  <c r="AB28" i="111"/>
  <c r="AA28" i="111"/>
  <c r="Z28" i="111"/>
  <c r="AI24" i="111"/>
  <c r="BC21" i="111"/>
  <c r="AX20" i="111"/>
  <c r="AJ20" i="111"/>
  <c r="AI20" i="111"/>
  <c r="AH20" i="111"/>
  <c r="AG20" i="111"/>
  <c r="AF20" i="111"/>
  <c r="AE20" i="111"/>
  <c r="AD20" i="111"/>
  <c r="AC20" i="111"/>
  <c r="Y20" i="111"/>
  <c r="W20" i="111"/>
  <c r="V20" i="111"/>
  <c r="U20" i="111"/>
  <c r="T20" i="111"/>
  <c r="S20" i="111"/>
  <c r="R20" i="111"/>
  <c r="Q20" i="111"/>
  <c r="P20" i="111"/>
  <c r="O20" i="111"/>
  <c r="N20" i="111"/>
  <c r="M20" i="111"/>
  <c r="L20" i="111"/>
  <c r="K20" i="111"/>
  <c r="J20" i="111"/>
  <c r="I20" i="111"/>
  <c r="H20" i="111"/>
  <c r="G20" i="111"/>
  <c r="F20" i="111"/>
  <c r="E20" i="111"/>
  <c r="D20" i="111"/>
  <c r="C20" i="111"/>
  <c r="BD19" i="111"/>
  <c r="BC19" i="111"/>
  <c r="BP18" i="111"/>
  <c r="BO18" i="111"/>
  <c r="BN18" i="111"/>
  <c r="BM18" i="111"/>
  <c r="BL18" i="111"/>
  <c r="BJ18" i="111"/>
  <c r="BI18" i="111"/>
  <c r="BH18" i="111"/>
  <c r="BF18" i="111"/>
  <c r="BE18" i="111"/>
  <c r="BD18" i="111"/>
  <c r="BC18" i="111"/>
  <c r="BB18" i="111"/>
  <c r="BA18" i="111"/>
  <c r="AZ18" i="111"/>
  <c r="AY18" i="111"/>
  <c r="AX18" i="111"/>
  <c r="AW18" i="111"/>
  <c r="AV18" i="111"/>
  <c r="AU18" i="111"/>
  <c r="AT18" i="111"/>
  <c r="AS18" i="111"/>
  <c r="AR18" i="111"/>
  <c r="AQ18" i="111"/>
  <c r="AP18" i="111"/>
  <c r="AO18" i="111"/>
  <c r="AN18" i="111"/>
  <c r="AM18" i="111"/>
  <c r="AL18" i="111"/>
  <c r="AK18" i="111"/>
  <c r="AJ18" i="111"/>
  <c r="AI18" i="111"/>
  <c r="AH18" i="111"/>
  <c r="AG18" i="111"/>
  <c r="AF18" i="111"/>
  <c r="AE18" i="111"/>
  <c r="AD18" i="111"/>
  <c r="AC18" i="111"/>
  <c r="Z18" i="111"/>
  <c r="Y18" i="111"/>
  <c r="X18" i="111"/>
  <c r="W18" i="111"/>
  <c r="V18" i="111"/>
  <c r="U18" i="111"/>
  <c r="S18" i="111"/>
  <c r="R18" i="111"/>
  <c r="P18" i="111"/>
  <c r="O18" i="111"/>
  <c r="M18" i="111"/>
  <c r="L18" i="111"/>
  <c r="J18" i="111"/>
  <c r="I18" i="111"/>
  <c r="H18" i="111"/>
  <c r="G18" i="111"/>
  <c r="F18" i="111"/>
  <c r="E18" i="111"/>
  <c r="D18" i="111"/>
  <c r="C18" i="111"/>
  <c r="AX17" i="111"/>
  <c r="AJ17" i="111"/>
  <c r="AI17" i="111"/>
  <c r="Y17" i="111"/>
  <c r="W17" i="111"/>
  <c r="V17" i="111"/>
  <c r="U17" i="111"/>
  <c r="T17" i="111"/>
  <c r="S17" i="111"/>
  <c r="R17" i="111"/>
  <c r="Q17" i="111"/>
  <c r="P17" i="111"/>
  <c r="O17" i="111"/>
  <c r="N17" i="111"/>
  <c r="M17" i="111"/>
  <c r="L17" i="111"/>
  <c r="K17" i="111"/>
  <c r="J17" i="111"/>
  <c r="I17" i="111"/>
  <c r="H17" i="111"/>
  <c r="G17" i="111"/>
  <c r="F17" i="111"/>
  <c r="E17" i="111"/>
  <c r="D17" i="111"/>
  <c r="C17" i="111"/>
  <c r="AX14" i="111"/>
  <c r="AX15" i="111" s="1"/>
  <c r="AJ14" i="111"/>
  <c r="AJ15" i="111" s="1"/>
  <c r="AI14" i="111"/>
  <c r="AI15" i="111" s="1"/>
  <c r="Y14" i="111"/>
  <c r="Y15" i="111" s="1"/>
  <c r="W14" i="111"/>
  <c r="W15" i="111" s="1"/>
  <c r="V14" i="111"/>
  <c r="V15" i="111" s="1"/>
  <c r="U14" i="111"/>
  <c r="U15" i="111" s="1"/>
  <c r="S14" i="111"/>
  <c r="S15" i="111" s="1"/>
  <c r="R14" i="111"/>
  <c r="R15" i="111" s="1"/>
  <c r="P14" i="111"/>
  <c r="P15" i="111" s="1"/>
  <c r="O14" i="111"/>
  <c r="O15" i="111" s="1"/>
  <c r="M14" i="111"/>
  <c r="M15" i="111" s="1"/>
  <c r="L14" i="111"/>
  <c r="L15" i="111" s="1"/>
  <c r="J14" i="111"/>
  <c r="J15" i="111" s="1"/>
  <c r="I14" i="111"/>
  <c r="I15" i="111" s="1"/>
  <c r="H14" i="111"/>
  <c r="H15" i="111" s="1"/>
  <c r="G14" i="111"/>
  <c r="G15" i="111" s="1"/>
  <c r="F14" i="111"/>
  <c r="F15" i="111" s="1"/>
  <c r="E14" i="111"/>
  <c r="E15" i="111" s="1"/>
  <c r="D14" i="111"/>
  <c r="D15" i="111" s="1"/>
  <c r="C14" i="111"/>
  <c r="C15" i="111" s="1"/>
  <c r="BC13" i="111"/>
  <c r="BB13" i="111"/>
  <c r="BA13" i="111"/>
  <c r="AZ13" i="111"/>
  <c r="AY13" i="111"/>
  <c r="AX13" i="111"/>
  <c r="AW13" i="111"/>
  <c r="AV13" i="111"/>
  <c r="AU13" i="111"/>
  <c r="AT13" i="111"/>
  <c r="AS13" i="111"/>
  <c r="AR13" i="111"/>
  <c r="AQ13" i="111"/>
  <c r="AP13" i="111"/>
  <c r="AO13" i="111"/>
  <c r="AN13" i="111"/>
  <c r="AM13" i="111"/>
  <c r="AL13" i="111"/>
  <c r="AK13" i="111"/>
  <c r="AJ13" i="111"/>
  <c r="AI13" i="111"/>
  <c r="AH13" i="111"/>
  <c r="AF13" i="111"/>
  <c r="AE13" i="111"/>
  <c r="AD13" i="111"/>
  <c r="AC13" i="111"/>
  <c r="AB13" i="111"/>
  <c r="AA13" i="111"/>
  <c r="Z13" i="111"/>
  <c r="Y13" i="111"/>
  <c r="X13" i="111"/>
  <c r="W13" i="111"/>
  <c r="V13" i="111"/>
  <c r="U13" i="111"/>
  <c r="T13" i="111"/>
  <c r="S13" i="111"/>
  <c r="R13" i="111"/>
  <c r="Q13" i="111"/>
  <c r="P13" i="111"/>
  <c r="O13" i="111"/>
  <c r="N13" i="111"/>
  <c r="M13" i="111"/>
  <c r="L13" i="111"/>
  <c r="K13" i="111"/>
  <c r="J13" i="111"/>
  <c r="I13" i="111"/>
  <c r="H13" i="111"/>
  <c r="G13" i="111"/>
  <c r="F13" i="111"/>
  <c r="E13" i="111"/>
  <c r="D13" i="111"/>
  <c r="C13" i="111"/>
  <c r="BA10" i="111"/>
  <c r="AZ10" i="111"/>
  <c r="T10" i="111"/>
  <c r="N10" i="111"/>
  <c r="N14" i="111" s="1"/>
  <c r="N15" i="111" s="1"/>
  <c r="K10" i="111"/>
  <c r="K14" i="111" s="1"/>
  <c r="K15" i="111" s="1"/>
  <c r="BH8" i="111"/>
  <c r="BF8" i="111"/>
  <c r="BE21" i="111"/>
  <c r="BD8" i="111"/>
  <c r="BD21" i="111" s="1"/>
  <c r="AZ8" i="111"/>
  <c r="AY8" i="111"/>
  <c r="AW8" i="111"/>
  <c r="AV8" i="111"/>
  <c r="AM8" i="111"/>
  <c r="AL8" i="111"/>
  <c r="AH8" i="111"/>
  <c r="AH17" i="111" s="1"/>
  <c r="AG8" i="111"/>
  <c r="AG17" i="111" s="1"/>
  <c r="AF8" i="111"/>
  <c r="AF14" i="111" s="1"/>
  <c r="AF15" i="111" s="1"/>
  <c r="AE8" i="111"/>
  <c r="AE17" i="111" s="1"/>
  <c r="AD8" i="111"/>
  <c r="AC8" i="111"/>
  <c r="AC14" i="111" s="1"/>
  <c r="AC15" i="111" s="1"/>
  <c r="AB8" i="111"/>
  <c r="AB18" i="111" s="1"/>
  <c r="AA8" i="111"/>
  <c r="AA18" i="111" s="1"/>
  <c r="Q8" i="111"/>
  <c r="Q14" i="111" s="1"/>
  <c r="Q15" i="111" s="1"/>
  <c r="BD7" i="111"/>
  <c r="BD20" i="111" s="1"/>
  <c r="BC7" i="111"/>
  <c r="BB7" i="111"/>
  <c r="BA7" i="111"/>
  <c r="BA17" i="111" s="1"/>
  <c r="AZ7" i="111"/>
  <c r="AY7" i="111"/>
  <c r="AW7" i="111"/>
  <c r="AW20" i="111" s="1"/>
  <c r="AV7" i="111"/>
  <c r="AU7" i="111"/>
  <c r="AT7" i="111"/>
  <c r="AT20" i="111" s="1"/>
  <c r="AS7" i="111"/>
  <c r="AS20" i="111" s="1"/>
  <c r="AR7" i="111"/>
  <c r="AR20" i="111" s="1"/>
  <c r="AQ7" i="111"/>
  <c r="AQ20" i="111" s="1"/>
  <c r="AP7" i="111"/>
  <c r="AP20" i="111" s="1"/>
  <c r="AO7" i="111"/>
  <c r="AO17" i="111" s="1"/>
  <c r="AN7" i="111"/>
  <c r="AN14" i="111" s="1"/>
  <c r="AN15" i="111" s="1"/>
  <c r="AM7" i="111"/>
  <c r="AL7" i="111"/>
  <c r="AK7" i="111"/>
  <c r="AB7" i="111"/>
  <c r="AB20" i="111" s="1"/>
  <c r="AA7" i="111"/>
  <c r="AA17" i="111" s="1"/>
  <c r="Z7" i="111"/>
  <c r="Z20" i="111" s="1"/>
  <c r="X7" i="111"/>
  <c r="CJ6" i="111"/>
  <c r="CK6" i="111" s="1"/>
  <c r="X6" i="111"/>
  <c r="BP2" i="111"/>
  <c r="BO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BD13" i="111"/>
  <c r="BE13" i="111"/>
  <c r="BF13" i="111"/>
  <c r="BG13" i="111"/>
  <c r="BH13" i="111"/>
  <c r="BI13" i="111"/>
  <c r="BJ13" i="111"/>
  <c r="BK13" i="111"/>
  <c r="BL13" i="111"/>
  <c r="BM13" i="111"/>
  <c r="BN13" i="111"/>
  <c r="BO13" i="111"/>
  <c r="E184" i="50"/>
  <c r="S171" i="50"/>
  <c r="U87" i="50"/>
  <c r="X87" i="50"/>
  <c r="T87" i="50"/>
  <c r="I184" i="50"/>
  <c r="J184" i="50"/>
  <c r="K184" i="50"/>
  <c r="L184" i="50"/>
  <c r="O184" i="50"/>
  <c r="P184" i="50"/>
  <c r="I187" i="50"/>
  <c r="J187" i="50"/>
  <c r="K187" i="50"/>
  <c r="L187" i="50"/>
  <c r="M187" i="50"/>
  <c r="N187" i="50"/>
  <c r="O187" i="50"/>
  <c r="P187" i="50"/>
  <c r="I188" i="50"/>
  <c r="J188" i="50"/>
  <c r="K188" i="50"/>
  <c r="L188" i="50"/>
  <c r="M188" i="50"/>
  <c r="N188" i="50"/>
  <c r="O188" i="50"/>
  <c r="P188" i="50"/>
  <c r="I189" i="50"/>
  <c r="J189" i="50"/>
  <c r="K189" i="50"/>
  <c r="L189" i="50"/>
  <c r="O189" i="50"/>
  <c r="P189" i="50"/>
  <c r="Q184" i="50"/>
  <c r="Q187" i="50"/>
  <c r="Q188" i="50"/>
  <c r="Q189" i="50"/>
  <c r="S187" i="50"/>
  <c r="T187" i="50"/>
  <c r="U187" i="50"/>
  <c r="V187" i="50"/>
  <c r="W187" i="50"/>
  <c r="X187" i="50"/>
  <c r="Y187" i="50"/>
  <c r="AA187" i="50"/>
  <c r="AB187" i="50"/>
  <c r="AC187" i="50"/>
  <c r="R187" i="50"/>
  <c r="S188" i="50"/>
  <c r="T188" i="50"/>
  <c r="U188" i="50"/>
  <c r="T189" i="50"/>
  <c r="U189" i="50"/>
  <c r="V189" i="50"/>
  <c r="Y189" i="50"/>
  <c r="AB189" i="50"/>
  <c r="AC189" i="50"/>
  <c r="R189" i="50"/>
  <c r="R188" i="50"/>
  <c r="J177" i="50"/>
  <c r="M177" i="50"/>
  <c r="N177" i="50"/>
  <c r="I178" i="50"/>
  <c r="J178" i="50"/>
  <c r="K178" i="50"/>
  <c r="L178" i="50"/>
  <c r="M178" i="50"/>
  <c r="P178" i="50"/>
  <c r="Q178" i="50"/>
  <c r="I182" i="50"/>
  <c r="J182" i="50"/>
  <c r="K182" i="50"/>
  <c r="L182" i="50"/>
  <c r="M182" i="50"/>
  <c r="D12" i="56" s="1"/>
  <c r="N182" i="50"/>
  <c r="E12" i="56" s="1"/>
  <c r="O182" i="50"/>
  <c r="F12" i="56" s="1"/>
  <c r="P182" i="50"/>
  <c r="G12" i="56" s="1"/>
  <c r="Q182" i="50"/>
  <c r="H12" i="56" s="1"/>
  <c r="S184" i="50"/>
  <c r="T184" i="50"/>
  <c r="R184" i="50"/>
  <c r="U45" i="56"/>
  <c r="U23" i="56"/>
  <c r="U20" i="56"/>
  <c r="U13" i="56"/>
  <c r="U6" i="56"/>
  <c r="U19" i="56" s="1"/>
  <c r="U5" i="56"/>
  <c r="U4" i="56"/>
  <c r="S178" i="50"/>
  <c r="T178" i="50"/>
  <c r="U178" i="50"/>
  <c r="S182" i="50"/>
  <c r="J12" i="56" s="1"/>
  <c r="T182" i="50"/>
  <c r="K12" i="56" s="1"/>
  <c r="U182" i="50"/>
  <c r="L12" i="56" s="1"/>
  <c r="V182" i="50"/>
  <c r="M12" i="56" s="1"/>
  <c r="W182" i="50"/>
  <c r="N12" i="56" s="1"/>
  <c r="X182" i="50"/>
  <c r="O12" i="56" s="1"/>
  <c r="Y182" i="50"/>
  <c r="P12" i="56" s="1"/>
  <c r="Z182" i="50"/>
  <c r="Q12" i="56" s="1"/>
  <c r="AA182" i="50"/>
  <c r="R12" i="56" s="1"/>
  <c r="AB182" i="50"/>
  <c r="S12" i="56" s="1"/>
  <c r="AC182" i="50"/>
  <c r="T12" i="56" s="1"/>
  <c r="AD182" i="50"/>
  <c r="U12" i="56" s="1"/>
  <c r="V177" i="50"/>
  <c r="X177" i="50"/>
  <c r="S23" i="50"/>
  <c r="S25" i="50" s="1"/>
  <c r="R23" i="50"/>
  <c r="R25" i="50" s="1"/>
  <c r="AC53" i="50"/>
  <c r="X7" i="50"/>
  <c r="W7" i="50"/>
  <c r="V7" i="50"/>
  <c r="S19" i="50"/>
  <c r="T19" i="50"/>
  <c r="U19" i="50"/>
  <c r="R19" i="50"/>
  <c r="R56" i="50"/>
  <c r="R69" i="50" s="1"/>
  <c r="Y7" i="50"/>
  <c r="Q69" i="50"/>
  <c r="AD68" i="50"/>
  <c r="AC68" i="50"/>
  <c r="AB68" i="50"/>
  <c r="AA68" i="50"/>
  <c r="Z68" i="50"/>
  <c r="Y68" i="50"/>
  <c r="X68" i="50"/>
  <c r="W68" i="50"/>
  <c r="V68" i="50"/>
  <c r="U68" i="50"/>
  <c r="T68" i="50"/>
  <c r="S68" i="50"/>
  <c r="R68" i="50"/>
  <c r="Q68" i="50"/>
  <c r="Q25" i="50"/>
  <c r="Q12" i="50"/>
  <c r="E18" i="50"/>
  <c r="F18" i="50"/>
  <c r="G18" i="50"/>
  <c r="H18" i="50"/>
  <c r="I18" i="50"/>
  <c r="J18" i="50"/>
  <c r="K18" i="50"/>
  <c r="L18" i="50"/>
  <c r="M18" i="50"/>
  <c r="N18" i="50"/>
  <c r="O18" i="50"/>
  <c r="P18" i="50"/>
  <c r="Q18" i="50"/>
  <c r="R18" i="50"/>
  <c r="S18" i="50"/>
  <c r="T18" i="50"/>
  <c r="U18" i="50"/>
  <c r="P12" i="50"/>
  <c r="O12" i="50"/>
  <c r="N12" i="50"/>
  <c r="M12" i="50"/>
  <c r="L12" i="50"/>
  <c r="P25" i="50"/>
  <c r="O25" i="50"/>
  <c r="N25" i="50"/>
  <c r="M25" i="50"/>
  <c r="L25" i="50"/>
  <c r="K25" i="50"/>
  <c r="J25" i="50"/>
  <c r="I25" i="50"/>
  <c r="H25" i="50"/>
  <c r="G25" i="50"/>
  <c r="F25" i="50"/>
  <c r="E25" i="50"/>
  <c r="Q20" i="50"/>
  <c r="P20" i="50"/>
  <c r="O20" i="50"/>
  <c r="N20" i="50"/>
  <c r="M20" i="50"/>
  <c r="L20" i="50"/>
  <c r="D27" i="13"/>
  <c r="C27" i="13"/>
  <c r="AD110" i="50"/>
  <c r="AD77" i="50"/>
  <c r="AD76" i="50"/>
  <c r="AD75" i="50"/>
  <c r="AD74" i="50"/>
  <c r="AD72" i="50"/>
  <c r="AD67" i="50"/>
  <c r="AD65" i="50"/>
  <c r="AD54" i="50"/>
  <c r="AD52" i="50"/>
  <c r="AD41" i="50"/>
  <c r="AD199" i="50"/>
  <c r="W25" i="50"/>
  <c r="X25" i="50"/>
  <c r="M23" i="56"/>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S4" i="56"/>
  <c r="T4" i="56"/>
  <c r="N5" i="56"/>
  <c r="O5" i="56"/>
  <c r="P5" i="56"/>
  <c r="R5" i="56"/>
  <c r="S5" i="56"/>
  <c r="T5" i="56"/>
  <c r="O6" i="56"/>
  <c r="O19" i="56" s="1"/>
  <c r="Q6" i="56"/>
  <c r="Q19" i="56" s="1"/>
  <c r="R6" i="56"/>
  <c r="R19" i="56" s="1"/>
  <c r="T6" i="56"/>
  <c r="T19" i="56" s="1"/>
  <c r="T45" i="56"/>
  <c r="S45" i="56"/>
  <c r="AC110" i="50"/>
  <c r="AC77" i="50"/>
  <c r="AC76" i="50"/>
  <c r="AC75" i="50"/>
  <c r="AC74" i="50"/>
  <c r="AC72" i="50"/>
  <c r="AC67" i="50"/>
  <c r="AC65" i="50"/>
  <c r="AC54" i="50"/>
  <c r="AC52" i="50"/>
  <c r="AC41" i="50"/>
  <c r="P115" i="50"/>
  <c r="R53" i="50"/>
  <c r="Q177" i="50"/>
  <c r="P110" i="50"/>
  <c r="Q110" i="50"/>
  <c r="R110" i="50"/>
  <c r="S110" i="50"/>
  <c r="T110" i="50"/>
  <c r="U110" i="50"/>
  <c r="V110" i="50"/>
  <c r="W110" i="50"/>
  <c r="X110" i="50"/>
  <c r="Y110" i="50"/>
  <c r="Z110" i="50"/>
  <c r="AA110" i="50"/>
  <c r="AB110" i="50"/>
  <c r="AB77" i="50"/>
  <c r="AB76" i="50"/>
  <c r="AB75" i="50"/>
  <c r="AB74" i="50"/>
  <c r="AB72" i="50"/>
  <c r="AB67" i="50"/>
  <c r="AB65" i="50"/>
  <c r="AB54" i="50"/>
  <c r="AB52" i="50"/>
  <c r="AB41" i="50"/>
  <c r="O119" i="50"/>
  <c r="O178" i="50" s="1"/>
  <c r="Q169" i="50"/>
  <c r="R169" i="50"/>
  <c r="R197" i="50" s="1"/>
  <c r="P169" i="50"/>
  <c r="P197" i="50" s="1"/>
  <c r="P173" i="50"/>
  <c r="P198" i="50" s="1"/>
  <c r="Q173" i="50"/>
  <c r="Q198" i="50" s="1"/>
  <c r="R173" i="50"/>
  <c r="R198" i="50" s="1"/>
  <c r="S173" i="50"/>
  <c r="S198" i="50" s="1"/>
  <c r="T173" i="50"/>
  <c r="T198" i="50" s="1"/>
  <c r="U173" i="50"/>
  <c r="U198" i="50" s="1"/>
  <c r="V173" i="50"/>
  <c r="V198" i="50" s="1"/>
  <c r="P174" i="50"/>
  <c r="P199" i="50" s="1"/>
  <c r="Q174" i="50"/>
  <c r="Q199" i="50" s="1"/>
  <c r="R174" i="50"/>
  <c r="S174" i="50"/>
  <c r="S199" i="50" s="1"/>
  <c r="T174" i="50"/>
  <c r="T199" i="50" s="1"/>
  <c r="U174" i="50"/>
  <c r="U199" i="50" s="1"/>
  <c r="V174" i="50"/>
  <c r="V199" i="50" s="1"/>
  <c r="R48" i="56"/>
  <c r="R45" i="56"/>
  <c r="AA77" i="50"/>
  <c r="AA76" i="50"/>
  <c r="AA75" i="50"/>
  <c r="AA74" i="50"/>
  <c r="AA67" i="50"/>
  <c r="AA54" i="50"/>
  <c r="AA52" i="50"/>
  <c r="AA41" i="50"/>
  <c r="N119" i="50"/>
  <c r="N178" i="50" s="1"/>
  <c r="O115" i="50"/>
  <c r="O177" i="50" s="1"/>
  <c r="N123" i="50"/>
  <c r="E20" i="56"/>
  <c r="F20" i="56"/>
  <c r="G20" i="56"/>
  <c r="H20" i="56"/>
  <c r="I20" i="56"/>
  <c r="J20" i="56"/>
  <c r="K20" i="56"/>
  <c r="L20" i="56"/>
  <c r="O148" i="50"/>
  <c r="O173" i="50"/>
  <c r="O174" i="50"/>
  <c r="O199" i="50" s="1"/>
  <c r="I48" i="56"/>
  <c r="E48" i="56"/>
  <c r="F48" i="56"/>
  <c r="G48" i="56"/>
  <c r="H48" i="56"/>
  <c r="J48" i="56"/>
  <c r="K48" i="56"/>
  <c r="L48" i="56"/>
  <c r="M48" i="56"/>
  <c r="N48" i="56"/>
  <c r="P48" i="56"/>
  <c r="Q48" i="56"/>
  <c r="H14" i="53"/>
  <c r="F14" i="53"/>
  <c r="B14" i="53"/>
  <c r="C20" i="56"/>
  <c r="E13" i="56"/>
  <c r="F13" i="56"/>
  <c r="G13" i="56"/>
  <c r="H13" i="56"/>
  <c r="I13" i="56"/>
  <c r="J13" i="56"/>
  <c r="K13" i="56"/>
  <c r="L13" i="56"/>
  <c r="M13" i="56"/>
  <c r="D13" i="56"/>
  <c r="E6" i="56"/>
  <c r="E19" i="56" s="1"/>
  <c r="F6" i="56"/>
  <c r="G6" i="56"/>
  <c r="G19" i="56" s="1"/>
  <c r="H6" i="56"/>
  <c r="H19" i="56" s="1"/>
  <c r="K6" i="56"/>
  <c r="K19" i="56" s="1"/>
  <c r="L6" i="56"/>
  <c r="L19" i="56" s="1"/>
  <c r="M6" i="56"/>
  <c r="M19" i="56" s="1"/>
  <c r="D6" i="56"/>
  <c r="D19" i="56" s="1"/>
  <c r="E4" i="56"/>
  <c r="F4" i="56"/>
  <c r="G4" i="56"/>
  <c r="H4" i="56"/>
  <c r="I4" i="56"/>
  <c r="K4" i="56"/>
  <c r="L4" i="56"/>
  <c r="M4" i="56"/>
  <c r="E5" i="56"/>
  <c r="F5" i="56"/>
  <c r="G5" i="56"/>
  <c r="H5" i="56"/>
  <c r="I5" i="56"/>
  <c r="J5" i="56"/>
  <c r="K5" i="56"/>
  <c r="L5" i="56"/>
  <c r="M5" i="56"/>
  <c r="D4" i="56"/>
  <c r="Q45" i="56"/>
  <c r="Z77" i="50"/>
  <c r="Z76" i="50"/>
  <c r="Z72" i="50"/>
  <c r="Z67" i="50"/>
  <c r="Z54" i="50"/>
  <c r="Z52" i="50"/>
  <c r="Z41" i="50"/>
  <c r="M137" i="50"/>
  <c r="M184" i="50" s="1"/>
  <c r="D48" i="56"/>
  <c r="P45" i="56"/>
  <c r="O45" i="56"/>
  <c r="N45" i="56"/>
  <c r="M45" i="56"/>
  <c r="L45" i="56"/>
  <c r="K45" i="56"/>
  <c r="J45" i="56"/>
  <c r="I45" i="56"/>
  <c r="H45" i="56"/>
  <c r="G45" i="56"/>
  <c r="F45" i="56"/>
  <c r="E45" i="56"/>
  <c r="D45" i="56"/>
  <c r="AA27" i="56"/>
  <c r="AB27" i="56" s="1"/>
  <c r="AC27" i="56" s="1"/>
  <c r="AD27" i="56" s="1"/>
  <c r="AE27" i="56" s="1"/>
  <c r="AF27" i="56" s="1"/>
  <c r="AG27" i="56" s="1"/>
  <c r="AH27" i="56" s="1"/>
  <c r="AI27" i="56" s="1"/>
  <c r="AJ27" i="56" s="1"/>
  <c r="AK27" i="56" s="1"/>
  <c r="AL27" i="56" s="1"/>
  <c r="AM27" i="56" s="1"/>
  <c r="L23" i="56"/>
  <c r="K23" i="56"/>
  <c r="J23" i="56"/>
  <c r="I23" i="56"/>
  <c r="H23" i="56"/>
  <c r="G23" i="56"/>
  <c r="F23" i="56"/>
  <c r="E23" i="56"/>
  <c r="D23" i="56"/>
  <c r="C23" i="56"/>
  <c r="C22" i="56"/>
  <c r="D20" i="56"/>
  <c r="C19" i="56"/>
  <c r="C17" i="56"/>
  <c r="C9" i="56"/>
  <c r="C7" i="56" s="1"/>
  <c r="C3" i="56"/>
  <c r="AA28" i="56"/>
  <c r="AB28" i="56" s="1"/>
  <c r="AC28" i="56" s="1"/>
  <c r="AD28" i="56" s="1"/>
  <c r="AE28" i="56" s="1"/>
  <c r="AF28" i="56" s="1"/>
  <c r="AG28" i="56" s="1"/>
  <c r="AH28" i="56" s="1"/>
  <c r="AI28" i="56" s="1"/>
  <c r="AJ28" i="56" s="1"/>
  <c r="AK28" i="56" s="1"/>
  <c r="AL28" i="56" s="1"/>
  <c r="AM28" i="56" s="1"/>
  <c r="R182" i="50"/>
  <c r="I12" i="56" s="1"/>
  <c r="L2" i="50"/>
  <c r="N173" i="50"/>
  <c r="N174" i="50"/>
  <c r="N199" i="50" s="1"/>
  <c r="N171" i="50"/>
  <c r="N197" i="50" s="1"/>
  <c r="M171" i="50"/>
  <c r="M197" i="50" s="1"/>
  <c r="M173" i="50"/>
  <c r="M198" i="50" s="1"/>
  <c r="M174" i="50"/>
  <c r="M199" i="50" s="1"/>
  <c r="I14" i="53"/>
  <c r="J14" i="53"/>
  <c r="K14" i="53"/>
  <c r="L14" i="53"/>
  <c r="M14" i="53"/>
  <c r="G14" i="53"/>
  <c r="D14" i="53"/>
  <c r="E14" i="53"/>
  <c r="C14" i="53"/>
  <c r="R178" i="50"/>
  <c r="H178" i="50"/>
  <c r="F178" i="50"/>
  <c r="E178" i="50"/>
  <c r="E177" i="50"/>
  <c r="L174" i="50"/>
  <c r="L199" i="50" s="1"/>
  <c r="K174" i="50"/>
  <c r="J174" i="50"/>
  <c r="J199" i="50" s="1"/>
  <c r="I174" i="50"/>
  <c r="I199" i="50" s="1"/>
  <c r="H174" i="50"/>
  <c r="H199" i="50" s="1"/>
  <c r="G174" i="50"/>
  <c r="G199" i="50" s="1"/>
  <c r="F174" i="50"/>
  <c r="F199" i="50" s="1"/>
  <c r="E174" i="50"/>
  <c r="E199" i="50" s="1"/>
  <c r="L173" i="50"/>
  <c r="L198" i="50" s="1"/>
  <c r="K173" i="50"/>
  <c r="K198" i="50" s="1"/>
  <c r="J173" i="50"/>
  <c r="J198" i="50" s="1"/>
  <c r="I173" i="50"/>
  <c r="I198" i="50" s="1"/>
  <c r="H173" i="50"/>
  <c r="H198" i="50" s="1"/>
  <c r="G173" i="50"/>
  <c r="G198" i="50" s="1"/>
  <c r="F173" i="50"/>
  <c r="F198" i="50" s="1"/>
  <c r="E173" i="50"/>
  <c r="E198" i="50" s="1"/>
  <c r="L169" i="50"/>
  <c r="L197" i="50" s="1"/>
  <c r="K169" i="50"/>
  <c r="J169" i="50"/>
  <c r="J197" i="50" s="1"/>
  <c r="I169" i="50"/>
  <c r="H169" i="50"/>
  <c r="H197" i="50" s="1"/>
  <c r="G169" i="50"/>
  <c r="G197" i="50" s="1"/>
  <c r="F169" i="50"/>
  <c r="F197" i="50" s="1"/>
  <c r="E169" i="50"/>
  <c r="E197" i="50" s="1"/>
  <c r="H124" i="50"/>
  <c r="H184" i="50" s="1"/>
  <c r="G123" i="50"/>
  <c r="G184" i="50" s="1"/>
  <c r="F123" i="50"/>
  <c r="F184" i="50" s="1"/>
  <c r="G119" i="50"/>
  <c r="G178" i="50" s="1"/>
  <c r="I115" i="50"/>
  <c r="H115" i="50"/>
  <c r="G115" i="50"/>
  <c r="G177" i="50" s="1"/>
  <c r="L177" i="50"/>
  <c r="K177" i="50"/>
  <c r="F177" i="50"/>
  <c r="O110" i="50"/>
  <c r="N110" i="50"/>
  <c r="M110" i="50"/>
  <c r="L110" i="50"/>
  <c r="K110" i="50"/>
  <c r="J110" i="50"/>
  <c r="I110" i="50"/>
  <c r="H110" i="50"/>
  <c r="G110" i="50"/>
  <c r="F110" i="50"/>
  <c r="E110" i="50"/>
  <c r="O87" i="50"/>
  <c r="K87" i="50"/>
  <c r="Y77" i="50"/>
  <c r="X77" i="50"/>
  <c r="W77" i="50"/>
  <c r="V77" i="50"/>
  <c r="U77" i="50"/>
  <c r="T77" i="50"/>
  <c r="S77" i="50"/>
  <c r="R77" i="50"/>
  <c r="Q77" i="50"/>
  <c r="P77" i="50"/>
  <c r="O77" i="50"/>
  <c r="N77" i="50"/>
  <c r="M77" i="50"/>
  <c r="L77" i="50"/>
  <c r="K77" i="50"/>
  <c r="J77" i="50"/>
  <c r="I77" i="50"/>
  <c r="H77" i="50"/>
  <c r="G77" i="50"/>
  <c r="F77" i="50"/>
  <c r="E77" i="50"/>
  <c r="Y76" i="50"/>
  <c r="X76" i="50"/>
  <c r="W76" i="50"/>
  <c r="V76" i="50"/>
  <c r="U76" i="50"/>
  <c r="T76" i="50"/>
  <c r="S76" i="50"/>
  <c r="R76" i="50"/>
  <c r="Q76" i="50"/>
  <c r="P76" i="50"/>
  <c r="O76" i="50"/>
  <c r="N76" i="50"/>
  <c r="M76" i="50"/>
  <c r="L76" i="50"/>
  <c r="K76" i="50"/>
  <c r="J76" i="50"/>
  <c r="I76" i="50"/>
  <c r="H76" i="50"/>
  <c r="G76" i="50"/>
  <c r="F76" i="50"/>
  <c r="E76" i="50"/>
  <c r="Y75" i="50"/>
  <c r="X75" i="50"/>
  <c r="W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L74" i="50"/>
  <c r="K74" i="50"/>
  <c r="J74" i="50"/>
  <c r="I74" i="50"/>
  <c r="H74" i="50"/>
  <c r="G74" i="50"/>
  <c r="F74" i="50"/>
  <c r="E74" i="50"/>
  <c r="Y72" i="50"/>
  <c r="X72" i="50"/>
  <c r="W72" i="50"/>
  <c r="V72" i="50"/>
  <c r="U72" i="50"/>
  <c r="T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U65" i="50"/>
  <c r="T65" i="50"/>
  <c r="R65" i="50"/>
  <c r="Q65" i="50"/>
  <c r="P65" i="50"/>
  <c r="O65" i="50"/>
  <c r="N65" i="50"/>
  <c r="L65" i="50"/>
  <c r="K65" i="50"/>
  <c r="J65" i="50"/>
  <c r="I65" i="50"/>
  <c r="H65" i="50"/>
  <c r="G65" i="50"/>
  <c r="F65" i="50"/>
  <c r="E65" i="50"/>
  <c r="M61" i="50"/>
  <c r="D5" i="56" s="1"/>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L9" i="50"/>
  <c r="L8" i="50"/>
  <c r="H8" i="50"/>
  <c r="L7" i="50"/>
  <c r="K7" i="50"/>
  <c r="J7" i="50"/>
  <c r="I7" i="50"/>
  <c r="H7" i="50"/>
  <c r="G7" i="50"/>
  <c r="F7" i="50"/>
  <c r="E7" i="50"/>
  <c r="M87" i="50"/>
  <c r="M7" i="50"/>
  <c r="M2" i="50"/>
  <c r="D14" i="56" s="1"/>
  <c r="D40" i="56" s="1"/>
  <c r="D46" i="56" s="1"/>
  <c r="O7" i="50"/>
  <c r="N2" i="50"/>
  <c r="E14" i="56" s="1"/>
  <c r="E40" i="56" s="1"/>
  <c r="E46" i="56" s="1"/>
  <c r="N7" i="50"/>
  <c r="O2" i="50"/>
  <c r="F14" i="56" s="1"/>
  <c r="F40" i="56" s="1"/>
  <c r="F46" i="56" s="1"/>
  <c r="H2" i="13"/>
  <c r="H4" i="13"/>
  <c r="G4" i="13"/>
  <c r="H3" i="13"/>
  <c r="G3" i="13"/>
  <c r="G2" i="13"/>
  <c r="G17" i="14"/>
  <c r="E17" i="14"/>
  <c r="D17" i="14"/>
  <c r="C17" i="14"/>
  <c r="G16" i="14"/>
  <c r="E16" i="14"/>
  <c r="D16" i="14"/>
  <c r="C16" i="14"/>
  <c r="G15" i="14"/>
  <c r="E15" i="14"/>
  <c r="D15" i="14"/>
  <c r="C15" i="14"/>
  <c r="G14" i="14"/>
  <c r="E14" i="14"/>
  <c r="D14" i="14"/>
  <c r="C14" i="14"/>
  <c r="G13" i="14"/>
  <c r="E13" i="14"/>
  <c r="D13" i="14"/>
  <c r="C13" i="14"/>
  <c r="G12" i="14"/>
  <c r="E12" i="14"/>
  <c r="D12" i="14"/>
  <c r="C12" i="14"/>
  <c r="H8" i="14"/>
  <c r="H17" i="14" s="1"/>
  <c r="F8" i="14"/>
  <c r="F17" i="14" s="1"/>
  <c r="H7" i="14"/>
  <c r="H16" i="14" s="1"/>
  <c r="F7" i="14"/>
  <c r="F16" i="14" s="1"/>
  <c r="H6" i="14"/>
  <c r="H15" i="14" s="1"/>
  <c r="F6" i="14"/>
  <c r="F15" i="14" s="1"/>
  <c r="H5" i="14"/>
  <c r="H14" i="14" s="1"/>
  <c r="F5" i="14"/>
  <c r="F14" i="14" s="1"/>
  <c r="H4" i="14"/>
  <c r="H13" i="14" s="1"/>
  <c r="F4" i="14"/>
  <c r="F13" i="14" s="1"/>
  <c r="H3" i="14"/>
  <c r="H12" i="14" s="1"/>
  <c r="F3" i="14"/>
  <c r="F12" i="14" s="1"/>
  <c r="J23" i="13"/>
  <c r="D18" i="13"/>
  <c r="C18" i="13"/>
  <c r="F2" i="13"/>
  <c r="P87" i="50"/>
  <c r="Q87" i="50"/>
  <c r="P2" i="50"/>
  <c r="G14" i="56" s="1"/>
  <c r="G40" i="56" s="1"/>
  <c r="G46" i="56" s="1"/>
  <c r="P7" i="50"/>
  <c r="Q7" i="50"/>
  <c r="Q2" i="50"/>
  <c r="H14" i="56" s="1"/>
  <c r="H40" i="56" s="1"/>
  <c r="H46" i="56" s="1"/>
  <c r="R7" i="50"/>
  <c r="R2" i="50"/>
  <c r="I14" i="56" s="1"/>
  <c r="I40" i="56" s="1"/>
  <c r="I46" i="56" s="1"/>
  <c r="S7" i="50"/>
  <c r="S2" i="50"/>
  <c r="J14" i="56" s="1"/>
  <c r="J40" i="56" s="1"/>
  <c r="J46" i="56" s="1"/>
  <c r="T7" i="50"/>
  <c r="T2" i="50"/>
  <c r="K14" i="56" s="1"/>
  <c r="K40" i="56" s="1"/>
  <c r="K46" i="56" s="1"/>
  <c r="T25" i="50"/>
  <c r="U7" i="50"/>
  <c r="U2" i="50"/>
  <c r="L14" i="56" s="1"/>
  <c r="L40" i="56" s="1"/>
  <c r="L46" i="56" s="1"/>
  <c r="U25" i="50"/>
  <c r="V2" i="50"/>
  <c r="M14" i="56" s="1"/>
  <c r="M40" i="56" s="1"/>
  <c r="M46" i="56" s="1"/>
  <c r="V25" i="50"/>
  <c r="W2" i="50"/>
  <c r="N14" i="56" s="1"/>
  <c r="N40" i="56" s="1"/>
  <c r="N46" i="56" s="1"/>
  <c r="X2" i="50"/>
  <c r="O14" i="56" s="1"/>
  <c r="O40" i="56" s="1"/>
  <c r="O46" i="56" s="1"/>
  <c r="V18" i="50"/>
  <c r="X18" i="50"/>
  <c r="W18" i="50"/>
  <c r="Y18" i="50"/>
  <c r="Y25" i="50"/>
  <c r="Y2" i="50"/>
  <c r="P14" i="56" s="1"/>
  <c r="P40" i="56" s="1"/>
  <c r="P46" i="56" s="1"/>
  <c r="AC19" i="50"/>
  <c r="Z7" i="50"/>
  <c r="Z2" i="50"/>
  <c r="Q14" i="56" s="1"/>
  <c r="Q40" i="56" s="1"/>
  <c r="Q46" i="56" s="1"/>
  <c r="AA2" i="50"/>
  <c r="R14" i="56" s="1"/>
  <c r="R40" i="56" s="1"/>
  <c r="R46" i="56" s="1"/>
  <c r="AA18" i="50"/>
  <c r="AA7" i="50"/>
  <c r="AB18" i="50"/>
  <c r="AB2" i="50"/>
  <c r="S14" i="56" s="1"/>
  <c r="S40" i="56" s="1"/>
  <c r="S46" i="56" s="1"/>
  <c r="AB7" i="50"/>
  <c r="AC2" i="50"/>
  <c r="T14" i="56" s="1"/>
  <c r="T40" i="56" s="1"/>
  <c r="T46" i="56" s="1"/>
  <c r="AC7" i="50"/>
  <c r="AC18" i="50"/>
  <c r="AX118" i="50" l="1"/>
  <c r="AN24" i="50"/>
  <c r="AO24" i="50" s="1"/>
  <c r="AP24" i="50" s="1"/>
  <c r="AQ24" i="50" s="1"/>
  <c r="AR24" i="50" s="1"/>
  <c r="AS24" i="50" s="1"/>
  <c r="AT24" i="50" s="1"/>
  <c r="AU24" i="50" s="1"/>
  <c r="AV24" i="50" s="1"/>
  <c r="AX123" i="50"/>
  <c r="AX137" i="50"/>
  <c r="Y198" i="50"/>
  <c r="AX173" i="50"/>
  <c r="Y69" i="50"/>
  <c r="Z75" i="50"/>
  <c r="AX62" i="50"/>
  <c r="Z187" i="50"/>
  <c r="AX127" i="50"/>
  <c r="AX174" i="50"/>
  <c r="Y196" i="50"/>
  <c r="AZ56" i="50"/>
  <c r="Y197" i="50"/>
  <c r="Z150" i="50"/>
  <c r="AX150" i="50" s="1"/>
  <c r="AX149" i="50"/>
  <c r="AD81" i="50"/>
  <c r="AD85" i="50" s="1"/>
  <c r="AD83" i="50"/>
  <c r="Z91" i="50"/>
  <c r="Z89" i="50"/>
  <c r="AC81" i="50"/>
  <c r="AC85" i="50" s="1"/>
  <c r="AC83" i="50"/>
  <c r="Y184" i="50"/>
  <c r="Y87" i="50"/>
  <c r="S6" i="56"/>
  <c r="S19" i="56" s="1"/>
  <c r="S18" i="56" s="1"/>
  <c r="AB87" i="50"/>
  <c r="AI78" i="50"/>
  <c r="AX115" i="50"/>
  <c r="CL7" i="111"/>
  <c r="AX120" i="50"/>
  <c r="AX119" i="50"/>
  <c r="AX112" i="50"/>
  <c r="Y109" i="50"/>
  <c r="AX111" i="50"/>
  <c r="T34" i="56"/>
  <c r="AX98" i="50"/>
  <c r="Y199" i="50"/>
  <c r="AA109" i="50"/>
  <c r="AA53" i="50" s="1"/>
  <c r="W109" i="50"/>
  <c r="W177" i="50" s="1"/>
  <c r="W176" i="50" s="1"/>
  <c r="N8" i="56" s="1"/>
  <c r="Z109" i="50"/>
  <c r="Z53" i="50" s="1"/>
  <c r="E8" i="131"/>
  <c r="AA29" i="56"/>
  <c r="AB29" i="56" s="1"/>
  <c r="AC29" i="56" s="1"/>
  <c r="AD29" i="56" s="1"/>
  <c r="AE29" i="56" s="1"/>
  <c r="AF29" i="56" s="1"/>
  <c r="AG29" i="56" s="1"/>
  <c r="AH29" i="56" s="1"/>
  <c r="AI29" i="56" s="1"/>
  <c r="AJ29" i="56" s="1"/>
  <c r="AK29" i="56" s="1"/>
  <c r="AL29" i="56" s="1"/>
  <c r="AM29" i="56" s="1"/>
  <c r="AH219" i="50"/>
  <c r="D8" i="131"/>
  <c r="BR15" i="111"/>
  <c r="BK20" i="111"/>
  <c r="CJ7" i="111"/>
  <c r="CK7" i="111" s="1"/>
  <c r="M16" i="111"/>
  <c r="AA30" i="111"/>
  <c r="AE30" i="111"/>
  <c r="AO196" i="50"/>
  <c r="AO179" i="50"/>
  <c r="AE185" i="50"/>
  <c r="AE186" i="50" s="1"/>
  <c r="AE201" i="50" s="1"/>
  <c r="AE179" i="50"/>
  <c r="AD179" i="50"/>
  <c r="AB181" i="50"/>
  <c r="S11" i="56" s="1"/>
  <c r="S22" i="56" s="1"/>
  <c r="S21" i="56" s="1"/>
  <c r="AD30" i="111"/>
  <c r="I25" i="129"/>
  <c r="AD37" i="50"/>
  <c r="AE37" i="50" s="1"/>
  <c r="AE38" i="50" s="1"/>
  <c r="L16" i="129"/>
  <c r="L19" i="129" s="1"/>
  <c r="L28" i="129" s="1"/>
  <c r="L37" i="129" s="1"/>
  <c r="L32" i="129" s="1"/>
  <c r="L35" i="129" s="1"/>
  <c r="L38" i="129"/>
  <c r="L33" i="129" s="1"/>
  <c r="L36" i="129" s="1"/>
  <c r="AK69" i="50"/>
  <c r="AJ69" i="50"/>
  <c r="AL69" i="50"/>
  <c r="AH69" i="50"/>
  <c r="AN69" i="50"/>
  <c r="AI69" i="50"/>
  <c r="AO69" i="50"/>
  <c r="AG69" i="50"/>
  <c r="AM69" i="50"/>
  <c r="AP69" i="50"/>
  <c r="R4" i="56"/>
  <c r="R3" i="56" s="1"/>
  <c r="AA96" i="50"/>
  <c r="AE196" i="50"/>
  <c r="N96" i="50"/>
  <c r="V19" i="50"/>
  <c r="AC95" i="50"/>
  <c r="AK196" i="50"/>
  <c r="AC96" i="50"/>
  <c r="BK17" i="111"/>
  <c r="BK16" i="111" s="1"/>
  <c r="AC181" i="50"/>
  <c r="T11" i="56" s="1"/>
  <c r="T22" i="56" s="1"/>
  <c r="T21" i="56" s="1"/>
  <c r="Z30" i="50"/>
  <c r="Z32" i="50" s="1"/>
  <c r="Z19" i="50"/>
  <c r="AD19" i="50"/>
  <c r="AA48" i="56"/>
  <c r="BA24" i="111"/>
  <c r="AE176" i="50"/>
  <c r="V8" i="56" s="1"/>
  <c r="K176" i="50"/>
  <c r="K47" i="56"/>
  <c r="BN2" i="111"/>
  <c r="J47" i="56"/>
  <c r="AA65" i="50"/>
  <c r="AB95" i="50"/>
  <c r="AM17" i="111"/>
  <c r="AM16" i="111" s="1"/>
  <c r="AB96" i="50"/>
  <c r="AA72" i="50"/>
  <c r="AA78" i="50" s="1"/>
  <c r="AA56" i="50"/>
  <c r="AA69" i="50" s="1"/>
  <c r="AA189" i="50"/>
  <c r="AJ196" i="50"/>
  <c r="BA20" i="111"/>
  <c r="AA19" i="50"/>
  <c r="M18" i="56"/>
  <c r="BK14" i="111"/>
  <c r="BK15" i="111" s="1"/>
  <c r="AC97" i="50"/>
  <c r="G3" i="56"/>
  <c r="F16" i="111"/>
  <c r="O16" i="111"/>
  <c r="AI16" i="111"/>
  <c r="S180" i="50"/>
  <c r="J10" i="56" s="1"/>
  <c r="AL196" i="50"/>
  <c r="AD196" i="50"/>
  <c r="AB19" i="50"/>
  <c r="V178" i="50"/>
  <c r="V176" i="50" s="1"/>
  <c r="M8" i="56" s="1"/>
  <c r="AD181" i="50"/>
  <c r="U11" i="56" s="1"/>
  <c r="U17" i="56" s="1"/>
  <c r="G47" i="56"/>
  <c r="I179" i="50"/>
  <c r="AD97" i="50"/>
  <c r="S72" i="50"/>
  <c r="S78" i="50" s="1"/>
  <c r="AD95" i="50"/>
  <c r="AR17" i="111"/>
  <c r="AR16" i="111" s="1"/>
  <c r="AD96" i="50"/>
  <c r="AA178" i="50"/>
  <c r="AB79" i="50"/>
  <c r="AB83" i="50" s="1"/>
  <c r="AF178" i="50"/>
  <c r="AB30" i="111"/>
  <c r="L96" i="50"/>
  <c r="AB97" i="50"/>
  <c r="Z16" i="50"/>
  <c r="Z18" i="50" s="1"/>
  <c r="R47" i="56"/>
  <c r="AB53" i="50"/>
  <c r="AB179" i="50"/>
  <c r="AF18" i="50"/>
  <c r="AC17" i="111"/>
  <c r="AC16" i="111" s="1"/>
  <c r="AF18" i="56"/>
  <c r="AH14" i="111"/>
  <c r="AH15" i="111" s="1"/>
  <c r="AP53" i="50"/>
  <c r="M47" i="56"/>
  <c r="J185" i="50"/>
  <c r="U183" i="50"/>
  <c r="Q18" i="56"/>
  <c r="AX8" i="50"/>
  <c r="W97" i="50"/>
  <c r="F176" i="50"/>
  <c r="BA16" i="111"/>
  <c r="BN15" i="111"/>
  <c r="AX16" i="111"/>
  <c r="AE96" i="50"/>
  <c r="P95" i="50"/>
  <c r="P47" i="56"/>
  <c r="N176" i="50"/>
  <c r="E8" i="56" s="1"/>
  <c r="W189" i="50"/>
  <c r="AF17" i="111"/>
  <c r="AF16" i="111" s="1"/>
  <c r="Q47" i="56"/>
  <c r="AZ14" i="111"/>
  <c r="AZ15" i="111" s="1"/>
  <c r="AA18" i="56"/>
  <c r="G19" i="129"/>
  <c r="BO17" i="111"/>
  <c r="BO16" i="111" s="1"/>
  <c r="BM17" i="111"/>
  <c r="BM16" i="111" s="1"/>
  <c r="BI17" i="111"/>
  <c r="BI16" i="111" s="1"/>
  <c r="G38" i="129"/>
  <c r="G33" i="129" s="1"/>
  <c r="G36" i="129" s="1"/>
  <c r="BP14" i="111"/>
  <c r="BP15" i="111" s="1"/>
  <c r="AC30" i="111"/>
  <c r="O53" i="50"/>
  <c r="H16" i="111"/>
  <c r="AA185" i="50"/>
  <c r="AA186" i="50" s="1"/>
  <c r="X19" i="50"/>
  <c r="K18" i="111"/>
  <c r="K16" i="111" s="1"/>
  <c r="D47" i="56"/>
  <c r="AO20" i="111"/>
  <c r="AC185" i="50"/>
  <c r="AC186" i="50" s="1"/>
  <c r="AC201" i="50" s="1"/>
  <c r="T18" i="56"/>
  <c r="S97" i="50"/>
  <c r="R97" i="50"/>
  <c r="BI21" i="111"/>
  <c r="BI14" i="111"/>
  <c r="BI15" i="111" s="1"/>
  <c r="AY14" i="111"/>
  <c r="AY15" i="111" s="1"/>
  <c r="D16" i="111"/>
  <c r="W16" i="111"/>
  <c r="V11" i="56"/>
  <c r="V17" i="56" s="1"/>
  <c r="U194" i="50"/>
  <c r="AB3" i="56"/>
  <c r="Q38" i="129"/>
  <c r="Q33" i="129" s="1"/>
  <c r="Q36" i="129" s="1"/>
  <c r="AE18" i="56"/>
  <c r="AB178" i="50"/>
  <c r="AB176" i="50" s="1"/>
  <c r="S8" i="56" s="1"/>
  <c r="AD53" i="50"/>
  <c r="AP199" i="50"/>
  <c r="U78" i="50"/>
  <c r="T185" i="50"/>
  <c r="T186" i="50" s="1"/>
  <c r="BN17" i="111"/>
  <c r="BN16" i="111" s="1"/>
  <c r="L181" i="50"/>
  <c r="Y178" i="50"/>
  <c r="D3" i="56"/>
  <c r="V65" i="50"/>
  <c r="X178" i="50"/>
  <c r="X176" i="50" s="1"/>
  <c r="O8" i="56" s="1"/>
  <c r="BN20" i="111"/>
  <c r="AE97" i="50"/>
  <c r="BJ17" i="111"/>
  <c r="BJ16" i="111" s="1"/>
  <c r="AC183" i="50"/>
  <c r="T97" i="50"/>
  <c r="V169" i="50"/>
  <c r="V197" i="50" s="1"/>
  <c r="N97" i="50"/>
  <c r="N95" i="50"/>
  <c r="Y183" i="50"/>
  <c r="Q176" i="50"/>
  <c r="H8" i="56" s="1"/>
  <c r="BD14" i="111"/>
  <c r="BD15" i="111" s="1"/>
  <c r="BG26" i="111"/>
  <c r="AN17" i="111"/>
  <c r="AN16" i="111" s="1"/>
  <c r="Y16" i="111"/>
  <c r="R96" i="50"/>
  <c r="AE95" i="50"/>
  <c r="BT14" i="111"/>
  <c r="AM196" i="50"/>
  <c r="H47" i="56"/>
  <c r="N87" i="50"/>
  <c r="AM14" i="111"/>
  <c r="AM15" i="111" s="1"/>
  <c r="BG14" i="111"/>
  <c r="BG15" i="111" s="1"/>
  <c r="Q18" i="111"/>
  <c r="Q16" i="111" s="1"/>
  <c r="W196" i="50"/>
  <c r="W184" i="50"/>
  <c r="AC177" i="50"/>
  <c r="AC176" i="50" s="1"/>
  <c r="AC175" i="50" s="1"/>
  <c r="L18" i="56"/>
  <c r="T95" i="50"/>
  <c r="BJ14" i="111"/>
  <c r="BJ15" i="111" s="1"/>
  <c r="BG17" i="111"/>
  <c r="BG16" i="111" s="1"/>
  <c r="AS17" i="111"/>
  <c r="AS16" i="111" s="1"/>
  <c r="BJ25" i="111"/>
  <c r="BK25" i="111" s="1"/>
  <c r="AX17" i="50"/>
  <c r="X181" i="50"/>
  <c r="O11" i="56" s="1"/>
  <c r="O22" i="56" s="1"/>
  <c r="O21" i="56" s="1"/>
  <c r="X185" i="50"/>
  <c r="X186" i="50" s="1"/>
  <c r="X201" i="50" s="1"/>
  <c r="X97" i="50"/>
  <c r="R95" i="50"/>
  <c r="I6" i="56"/>
  <c r="I19" i="56" s="1"/>
  <c r="I18" i="56" s="1"/>
  <c r="W95" i="50"/>
  <c r="AY24" i="111"/>
  <c r="BY17" i="111"/>
  <c r="BY16" i="111" s="1"/>
  <c r="R78" i="50"/>
  <c r="R199" i="50"/>
  <c r="H194" i="50"/>
  <c r="N21" i="56"/>
  <c r="J183" i="50"/>
  <c r="Z65" i="50"/>
  <c r="BD24" i="111"/>
  <c r="AG14" i="111"/>
  <c r="AG12" i="111" s="1"/>
  <c r="AG13" i="111" s="1"/>
  <c r="S16" i="111"/>
  <c r="V16" i="111"/>
  <c r="AP196" i="50"/>
  <c r="CB17" i="111"/>
  <c r="CB16" i="111" s="1"/>
  <c r="K185" i="50"/>
  <c r="N53" i="50"/>
  <c r="Y19" i="50"/>
  <c r="AZ24" i="111"/>
  <c r="AB17" i="111"/>
  <c r="AB16" i="111" s="1"/>
  <c r="AP19" i="50"/>
  <c r="I185" i="50"/>
  <c r="I47" i="56"/>
  <c r="U97" i="50"/>
  <c r="K95" i="50"/>
  <c r="T3" i="56"/>
  <c r="X53" i="50"/>
  <c r="Z14" i="111"/>
  <c r="Z15" i="111" s="1"/>
  <c r="E16" i="111"/>
  <c r="S194" i="50"/>
  <c r="I181" i="50"/>
  <c r="X95" i="50"/>
  <c r="Z177" i="50"/>
  <c r="Z176" i="50" s="1"/>
  <c r="Q8" i="56" s="1"/>
  <c r="AG176" i="50"/>
  <c r="G176" i="50"/>
  <c r="U95" i="50"/>
  <c r="BO14" i="111"/>
  <c r="BO15" i="111" s="1"/>
  <c r="K181" i="50"/>
  <c r="AG183" i="50"/>
  <c r="AL199" i="50"/>
  <c r="BM14" i="111"/>
  <c r="BM15" i="111" s="1"/>
  <c r="AG18" i="56"/>
  <c r="K199" i="50"/>
  <c r="H177" i="50"/>
  <c r="H176" i="50" s="1"/>
  <c r="AD185" i="50"/>
  <c r="AD186" i="50" s="1"/>
  <c r="AD201" i="50" s="1"/>
  <c r="BD17" i="111"/>
  <c r="BD16" i="111" s="1"/>
  <c r="AW17" i="111"/>
  <c r="AW16" i="111" s="1"/>
  <c r="BE20" i="111"/>
  <c r="G16" i="111"/>
  <c r="P16" i="111"/>
  <c r="AB185" i="50"/>
  <c r="AB186" i="50" s="1"/>
  <c r="AB201" i="50" s="1"/>
  <c r="AC103" i="50"/>
  <c r="BQ24" i="111"/>
  <c r="BR24" i="111" s="1"/>
  <c r="BS24" i="111" s="1"/>
  <c r="AA81" i="50"/>
  <c r="P38" i="129"/>
  <c r="P33" i="129" s="1"/>
  <c r="P36" i="129" s="1"/>
  <c r="AD18" i="56"/>
  <c r="BU17" i="111"/>
  <c r="BU16" i="111" s="1"/>
  <c r="K19" i="129"/>
  <c r="K28" i="129" s="1"/>
  <c r="K29" i="129" s="1"/>
  <c r="K18" i="129"/>
  <c r="N19" i="56"/>
  <c r="N18" i="56" s="1"/>
  <c r="N3" i="56"/>
  <c r="L16" i="111"/>
  <c r="AE197" i="50"/>
  <c r="Y96" i="50"/>
  <c r="AH176" i="50"/>
  <c r="BY14" i="111"/>
  <c r="BY15" i="111" s="1"/>
  <c r="E38" i="129"/>
  <c r="E33" i="129" s="1"/>
  <c r="E36" i="129" s="1"/>
  <c r="H28" i="129"/>
  <c r="H29" i="129" s="1"/>
  <c r="AP176" i="50"/>
  <c r="O3" i="56"/>
  <c r="X194" i="50"/>
  <c r="W96" i="50"/>
  <c r="BU14" i="111"/>
  <c r="BU15" i="111" s="1"/>
  <c r="AX193" i="50"/>
  <c r="Q97" i="50"/>
  <c r="Q95" i="50"/>
  <c r="G5" i="13"/>
  <c r="U179" i="50"/>
  <c r="U175" i="50" s="1"/>
  <c r="AM20" i="111"/>
  <c r="AY20" i="111"/>
  <c r="AF183" i="50"/>
  <c r="AH199" i="50"/>
  <c r="Q196" i="50"/>
  <c r="AA196" i="50"/>
  <c r="BT17" i="111"/>
  <c r="BT16" i="111" s="1"/>
  <c r="E28" i="129"/>
  <c r="E37" i="129" s="1"/>
  <c r="T38" i="129"/>
  <c r="T33" i="129" s="1"/>
  <c r="T36" i="129" s="1"/>
  <c r="H18" i="56"/>
  <c r="J179" i="50"/>
  <c r="O78" i="50"/>
  <c r="W78" i="50"/>
  <c r="K194" i="50"/>
  <c r="N189" i="50"/>
  <c r="G18" i="56"/>
  <c r="G16" i="56" s="1"/>
  <c r="Y179" i="50"/>
  <c r="U185" i="50"/>
  <c r="U186" i="50" s="1"/>
  <c r="AB183" i="50"/>
  <c r="AC179" i="50"/>
  <c r="P3" i="56"/>
  <c r="U18" i="56"/>
  <c r="AN20" i="111"/>
  <c r="AR14" i="111"/>
  <c r="AR15" i="111" s="1"/>
  <c r="AO14" i="111"/>
  <c r="AO15" i="111" s="1"/>
  <c r="N18" i="111"/>
  <c r="N16" i="111" s="1"/>
  <c r="AI183" i="50"/>
  <c r="BU20" i="111"/>
  <c r="Y3" i="56"/>
  <c r="AA180" i="50"/>
  <c r="R10" i="56" s="1"/>
  <c r="R9" i="56" s="1"/>
  <c r="AB18" i="56"/>
  <c r="Q16" i="129"/>
  <c r="Q18" i="129" s="1"/>
  <c r="Y97" i="50"/>
  <c r="Q53" i="50"/>
  <c r="P97" i="50"/>
  <c r="Y95" i="50"/>
  <c r="AD18" i="50"/>
  <c r="L47" i="56"/>
  <c r="J194" i="50"/>
  <c r="X78" i="50"/>
  <c r="M189" i="50"/>
  <c r="C18" i="56"/>
  <c r="C16" i="56" s="1"/>
  <c r="X179" i="50"/>
  <c r="V95" i="50"/>
  <c r="W87" i="50"/>
  <c r="Z17" i="111"/>
  <c r="Z16" i="111" s="1"/>
  <c r="AS14" i="111"/>
  <c r="AS15" i="111" s="1"/>
  <c r="AO16" i="111"/>
  <c r="AF78" i="50"/>
  <c r="AH196" i="50"/>
  <c r="AI196" i="50"/>
  <c r="AG196" i="50"/>
  <c r="D28" i="129"/>
  <c r="N9" i="56"/>
  <c r="S47" i="56"/>
  <c r="AF53" i="50"/>
  <c r="V97" i="50"/>
  <c r="R179" i="50"/>
  <c r="F47" i="56"/>
  <c r="L176" i="50"/>
  <c r="O176" i="50"/>
  <c r="F8" i="56" s="1"/>
  <c r="Y185" i="50"/>
  <c r="Y186" i="50" s="1"/>
  <c r="Y201" i="50" s="1"/>
  <c r="R177" i="50"/>
  <c r="R176" i="50" s="1"/>
  <c r="I8" i="56" s="1"/>
  <c r="P18" i="56"/>
  <c r="M176" i="50"/>
  <c r="D8" i="56" s="1"/>
  <c r="BG24" i="111"/>
  <c r="AW14" i="111"/>
  <c r="AW15" i="111" s="1"/>
  <c r="V18" i="56"/>
  <c r="X18" i="56"/>
  <c r="Q181" i="50"/>
  <c r="H11" i="56" s="1"/>
  <c r="H22" i="56" s="1"/>
  <c r="H21" i="56" s="1"/>
  <c r="Z18" i="56"/>
  <c r="L194" i="50"/>
  <c r="Y194" i="50"/>
  <c r="X189" i="50"/>
  <c r="BH24" i="111"/>
  <c r="C16" i="111"/>
  <c r="Y181" i="50"/>
  <c r="P11" i="56" s="1"/>
  <c r="P9" i="56" s="1"/>
  <c r="X3" i="56"/>
  <c r="W3" i="56"/>
  <c r="AE18" i="50"/>
  <c r="AB14" i="111"/>
  <c r="AB15" i="111" s="1"/>
  <c r="AU14" i="111"/>
  <c r="AU15" i="111" s="1"/>
  <c r="AU20" i="111"/>
  <c r="BB24" i="111"/>
  <c r="BB20" i="111"/>
  <c r="O96" i="50"/>
  <c r="O181" i="50"/>
  <c r="F11" i="56" s="1"/>
  <c r="F9" i="56" s="1"/>
  <c r="O196" i="50"/>
  <c r="AK199" i="50"/>
  <c r="AK183" i="50"/>
  <c r="CA21" i="111"/>
  <c r="CA17" i="111"/>
  <c r="CA16" i="111" s="1"/>
  <c r="L185" i="50"/>
  <c r="L179" i="50"/>
  <c r="L183" i="50"/>
  <c r="M53" i="50"/>
  <c r="M180" i="50"/>
  <c r="D10" i="56" s="1"/>
  <c r="M3" i="56"/>
  <c r="E3" i="56"/>
  <c r="AA183" i="50"/>
  <c r="AA14" i="111"/>
  <c r="AA15" i="111" s="1"/>
  <c r="AA20" i="111"/>
  <c r="AV17" i="111"/>
  <c r="AV16" i="111" s="1"/>
  <c r="AV20" i="111"/>
  <c r="BC24" i="111"/>
  <c r="BC14" i="111"/>
  <c r="BC15" i="111" s="1"/>
  <c r="V196" i="50"/>
  <c r="V181" i="50"/>
  <c r="M11" i="56" s="1"/>
  <c r="M22" i="56" s="1"/>
  <c r="M21" i="56" s="1"/>
  <c r="X197" i="50"/>
  <c r="X183" i="50"/>
  <c r="T194" i="50"/>
  <c r="AE198" i="50"/>
  <c r="AE183" i="50"/>
  <c r="W185" i="50"/>
  <c r="W186" i="50" s="1"/>
  <c r="W201" i="50" s="1"/>
  <c r="W183" i="50"/>
  <c r="AA179" i="50"/>
  <c r="AA95" i="50"/>
  <c r="H5" i="13"/>
  <c r="I177" i="50"/>
  <c r="I176" i="50" s="1"/>
  <c r="V53" i="50"/>
  <c r="U177" i="50"/>
  <c r="U176" i="50" s="1"/>
  <c r="U53" i="50"/>
  <c r="AE78" i="50"/>
  <c r="AD30" i="50"/>
  <c r="AE30" i="50" s="1"/>
  <c r="AF30" i="50" s="1"/>
  <c r="AD24" i="50"/>
  <c r="AD25" i="50" s="1"/>
  <c r="BZ20" i="111"/>
  <c r="BZ14" i="111"/>
  <c r="BZ15" i="111" s="1"/>
  <c r="BZ17" i="111"/>
  <c r="BZ16" i="111" s="1"/>
  <c r="R22" i="56"/>
  <c r="R21" i="56" s="1"/>
  <c r="AA97" i="50"/>
  <c r="E47" i="56"/>
  <c r="F194" i="50"/>
  <c r="K183" i="50"/>
  <c r="I194" i="50"/>
  <c r="I197" i="50"/>
  <c r="I183" i="50"/>
  <c r="E176" i="50"/>
  <c r="K18" i="56"/>
  <c r="Q197" i="50"/>
  <c r="Q194" i="50"/>
  <c r="J176" i="50"/>
  <c r="BL14" i="111"/>
  <c r="BL15" i="111" s="1"/>
  <c r="BC20" i="111"/>
  <c r="BE16" i="111"/>
  <c r="X20" i="111"/>
  <c r="X17" i="111"/>
  <c r="X16" i="111" s="1"/>
  <c r="X14" i="111"/>
  <c r="X15" i="111" s="1"/>
  <c r="AD17" i="111"/>
  <c r="AD16" i="111" s="1"/>
  <c r="AD14" i="111"/>
  <c r="AD15" i="111" s="1"/>
  <c r="S181" i="50"/>
  <c r="J11" i="56" s="1"/>
  <c r="S185" i="50"/>
  <c r="S186" i="50" s="1"/>
  <c r="S96" i="50"/>
  <c r="S196" i="50"/>
  <c r="S179" i="50"/>
  <c r="S95" i="50"/>
  <c r="J6" i="56"/>
  <c r="AJ183" i="50"/>
  <c r="O19" i="129"/>
  <c r="O28" i="129" s="1"/>
  <c r="O18" i="129"/>
  <c r="O47" i="56"/>
  <c r="G194" i="50"/>
  <c r="P78" i="50"/>
  <c r="T78" i="50"/>
  <c r="O97" i="50"/>
  <c r="R18" i="56"/>
  <c r="R16" i="56" s="1"/>
  <c r="BL17" i="111"/>
  <c r="BL16" i="111" s="1"/>
  <c r="BF24" i="111"/>
  <c r="BF21" i="111"/>
  <c r="N47" i="56"/>
  <c r="W179" i="50"/>
  <c r="BC17" i="111"/>
  <c r="BC16" i="111" s="1"/>
  <c r="AV14" i="111"/>
  <c r="AV15" i="111" s="1"/>
  <c r="S56" i="50"/>
  <c r="S69" i="50" s="1"/>
  <c r="S65" i="50"/>
  <c r="G78" i="50"/>
  <c r="J78" i="50"/>
  <c r="K197" i="50"/>
  <c r="K179" i="50"/>
  <c r="AA199" i="50"/>
  <c r="S197" i="50"/>
  <c r="S189" i="50"/>
  <c r="S183" i="50"/>
  <c r="BB17" i="111"/>
  <c r="BB16" i="111" s="1"/>
  <c r="BE14" i="111"/>
  <c r="BE15" i="111" s="1"/>
  <c r="BE24" i="111"/>
  <c r="Z151" i="50"/>
  <c r="Z37" i="50" s="1"/>
  <c r="Z38" i="50" s="1"/>
  <c r="Q5" i="56"/>
  <c r="Q3" i="56" s="1"/>
  <c r="Z74" i="50"/>
  <c r="AA194" i="50"/>
  <c r="AA177" i="50"/>
  <c r="I78" i="50"/>
  <c r="Q78" i="50"/>
  <c r="Y78" i="50"/>
  <c r="L78" i="50"/>
  <c r="H78" i="50"/>
  <c r="F78" i="50"/>
  <c r="N78" i="50"/>
  <c r="V78" i="50"/>
  <c r="E194" i="50"/>
  <c r="H3" i="56"/>
  <c r="W194" i="50"/>
  <c r="P194" i="50"/>
  <c r="O18" i="56"/>
  <c r="AD78" i="50"/>
  <c r="AQ17" i="111"/>
  <c r="AQ16" i="111" s="1"/>
  <c r="AX192" i="50"/>
  <c r="AX191" i="50"/>
  <c r="Z189" i="50"/>
  <c r="Z180" i="50"/>
  <c r="Q10" i="56" s="1"/>
  <c r="AN196" i="50"/>
  <c r="AF196" i="50"/>
  <c r="AP183" i="50"/>
  <c r="AP197" i="50"/>
  <c r="AD183" i="50"/>
  <c r="AA16" i="111"/>
  <c r="AY17" i="111"/>
  <c r="AY16" i="111" s="1"/>
  <c r="W18" i="56"/>
  <c r="BV14" i="111"/>
  <c r="BV15" i="111" s="1"/>
  <c r="BV17" i="111"/>
  <c r="BV16" i="111" s="1"/>
  <c r="BV21" i="111"/>
  <c r="BQ16" i="111"/>
  <c r="O95" i="50"/>
  <c r="E18" i="56"/>
  <c r="W19" i="50"/>
  <c r="AX187" i="50"/>
  <c r="AG16" i="111"/>
  <c r="C21" i="56"/>
  <c r="K3" i="56"/>
  <c r="L3" i="56"/>
  <c r="D18" i="56"/>
  <c r="F3" i="56"/>
  <c r="AC78" i="50"/>
  <c r="CJ8" i="111"/>
  <c r="CK8" i="111" s="1"/>
  <c r="BA14" i="111"/>
  <c r="BA15" i="111" s="1"/>
  <c r="AH16" i="111"/>
  <c r="J16" i="111"/>
  <c r="R16" i="111"/>
  <c r="AJ16" i="111"/>
  <c r="I16" i="111"/>
  <c r="U16" i="111"/>
  <c r="AY36" i="111"/>
  <c r="CA14" i="111"/>
  <c r="CA15" i="111" s="1"/>
  <c r="AA3" i="56"/>
  <c r="AP78" i="50"/>
  <c r="AK78" i="50"/>
  <c r="BW14" i="111"/>
  <c r="BW15" i="111" s="1"/>
  <c r="BR17" i="111"/>
  <c r="BR16" i="111" s="1"/>
  <c r="AF3" i="56"/>
  <c r="AE194" i="50"/>
  <c r="AC3" i="56"/>
  <c r="Z169" i="50"/>
  <c r="AX169" i="50" s="1"/>
  <c r="AE3" i="56"/>
  <c r="BW17" i="111"/>
  <c r="BW16" i="111" s="1"/>
  <c r="AD177" i="50"/>
  <c r="AD176" i="50" s="1"/>
  <c r="U8" i="56" s="1"/>
  <c r="CB14" i="111"/>
  <c r="CB15" i="111" s="1"/>
  <c r="AC18" i="56"/>
  <c r="AB55" i="129"/>
  <c r="R181" i="50"/>
  <c r="I11" i="56" s="1"/>
  <c r="AX190" i="50"/>
  <c r="Z3" i="56"/>
  <c r="AM183" i="50"/>
  <c r="AO78" i="50"/>
  <c r="H16" i="129"/>
  <c r="H18" i="129" s="1"/>
  <c r="O38" i="129"/>
  <c r="O33" i="129" s="1"/>
  <c r="O36" i="129" s="1"/>
  <c r="N38" i="129"/>
  <c r="N33" i="129" s="1"/>
  <c r="N36" i="129" s="1"/>
  <c r="J38" i="129"/>
  <c r="J33" i="129" s="1"/>
  <c r="J36" i="129" s="1"/>
  <c r="R19" i="129"/>
  <c r="R28" i="129" s="1"/>
  <c r="E36" i="132" s="1"/>
  <c r="E37" i="132" s="1"/>
  <c r="E38" i="132" s="1"/>
  <c r="E28" i="132" s="1"/>
  <c r="R18" i="129"/>
  <c r="T19" i="129"/>
  <c r="T28" i="129" s="1"/>
  <c r="G36" i="132" s="1"/>
  <c r="G37" i="132" s="1"/>
  <c r="G38" i="132" s="1"/>
  <c r="G28" i="132" s="1"/>
  <c r="T18" i="129"/>
  <c r="P16" i="129"/>
  <c r="S38" i="129"/>
  <c r="S33" i="129" s="1"/>
  <c r="S36" i="129" s="1"/>
  <c r="N16" i="129"/>
  <c r="N19" i="129" s="1"/>
  <c r="N28" i="129" s="1"/>
  <c r="K38" i="129"/>
  <c r="K33" i="129" s="1"/>
  <c r="R38" i="129"/>
  <c r="R33" i="129" s="1"/>
  <c r="R36" i="129" s="1"/>
  <c r="M19" i="129"/>
  <c r="M28" i="129" s="1"/>
  <c r="M38" i="129"/>
  <c r="M33" i="129" s="1"/>
  <c r="M36" i="129" s="1"/>
  <c r="U3" i="56"/>
  <c r="AD69" i="50"/>
  <c r="V3" i="56"/>
  <c r="AL78" i="50"/>
  <c r="AG78" i="50"/>
  <c r="N17" i="56"/>
  <c r="Q179" i="50"/>
  <c r="O185" i="50"/>
  <c r="O183" i="50"/>
  <c r="M65" i="50"/>
  <c r="E78" i="50"/>
  <c r="L87" i="50"/>
  <c r="L95" i="50"/>
  <c r="F19" i="56"/>
  <c r="F18" i="56" s="1"/>
  <c r="Q183" i="50"/>
  <c r="Q185" i="50"/>
  <c r="M74" i="50"/>
  <c r="M78" i="50" s="1"/>
  <c r="R185" i="50"/>
  <c r="R186" i="50" s="1"/>
  <c r="R183" i="50"/>
  <c r="R194" i="50"/>
  <c r="G22" i="56"/>
  <c r="G21" i="56" s="1"/>
  <c r="G9" i="56"/>
  <c r="M151" i="50"/>
  <c r="M196" i="50" s="1"/>
  <c r="O198" i="50"/>
  <c r="K78" i="50"/>
  <c r="O194" i="50"/>
  <c r="P53" i="50"/>
  <c r="P177" i="50"/>
  <c r="P176" i="50" s="1"/>
  <c r="G8" i="56" s="1"/>
  <c r="O179" i="50"/>
  <c r="N183" i="50"/>
  <c r="N198" i="50"/>
  <c r="N194" i="50"/>
  <c r="AB78" i="50"/>
  <c r="M183" i="50"/>
  <c r="T179" i="50"/>
  <c r="P179" i="50"/>
  <c r="AH198" i="50"/>
  <c r="AH183" i="50"/>
  <c r="F38" i="129"/>
  <c r="F33" i="129" s="1"/>
  <c r="F36" i="129" s="1"/>
  <c r="F16" i="129"/>
  <c r="M25" i="129"/>
  <c r="K57" i="129"/>
  <c r="AB50" i="129"/>
  <c r="AI19" i="50"/>
  <c r="AI178" i="50"/>
  <c r="AI176" i="50" s="1"/>
  <c r="N185" i="50"/>
  <c r="AT14" i="111"/>
  <c r="AT15" i="111" s="1"/>
  <c r="Z30" i="111"/>
  <c r="BF17" i="111"/>
  <c r="BF16" i="111" s="1"/>
  <c r="BF14" i="111"/>
  <c r="BF15" i="111" s="1"/>
  <c r="BF20" i="111"/>
  <c r="AO199" i="50"/>
  <c r="AL197" i="50"/>
  <c r="AL183" i="50"/>
  <c r="N179" i="50"/>
  <c r="N184" i="50"/>
  <c r="T183" i="50"/>
  <c r="AP14" i="111"/>
  <c r="AP15" i="111" s="1"/>
  <c r="AK20" i="111"/>
  <c r="AK17" i="111"/>
  <c r="AK16" i="111" s="1"/>
  <c r="AK14" i="111"/>
  <c r="AK15" i="111" s="1"/>
  <c r="AE16" i="111"/>
  <c r="AJ78" i="50"/>
  <c r="BX21" i="111"/>
  <c r="BX14" i="111"/>
  <c r="BX15" i="111" s="1"/>
  <c r="BX17" i="111"/>
  <c r="BX16" i="111" s="1"/>
  <c r="Z184" i="50"/>
  <c r="Z79" i="50"/>
  <c r="Z83" i="50" s="1"/>
  <c r="N181" i="50"/>
  <c r="E11" i="56" s="1"/>
  <c r="E9" i="56" s="1"/>
  <c r="P185" i="50"/>
  <c r="AT17" i="111"/>
  <c r="AT16" i="111" s="1"/>
  <c r="AL17" i="111"/>
  <c r="AL16" i="111" s="1"/>
  <c r="AL14" i="111"/>
  <c r="AL15" i="111" s="1"/>
  <c r="AL20" i="111"/>
  <c r="BH21" i="111"/>
  <c r="BH26" i="111" s="1"/>
  <c r="BH14" i="111"/>
  <c r="BH15" i="111" s="1"/>
  <c r="BH17" i="111"/>
  <c r="BH16" i="111" s="1"/>
  <c r="T18" i="111"/>
  <c r="T16" i="111" s="1"/>
  <c r="T14" i="111"/>
  <c r="T15" i="111" s="1"/>
  <c r="CL8" i="111"/>
  <c r="CM8" i="111" s="1"/>
  <c r="BP21" i="111"/>
  <c r="BP17" i="111"/>
  <c r="BP16" i="111" s="1"/>
  <c r="BS20" i="111"/>
  <c r="BS17" i="111"/>
  <c r="BS16" i="111" s="1"/>
  <c r="BS14" i="111"/>
  <c r="BS15" i="111" s="1"/>
  <c r="AE69" i="50"/>
  <c r="P183" i="50"/>
  <c r="T196" i="50"/>
  <c r="T181" i="50"/>
  <c r="K11" i="56" s="1"/>
  <c r="AP17" i="111"/>
  <c r="AP16" i="111" s="1"/>
  <c r="AZ20" i="111"/>
  <c r="AZ17" i="111"/>
  <c r="AZ16" i="111" s="1"/>
  <c r="AU17" i="111"/>
  <c r="AU16" i="111" s="1"/>
  <c r="AD194" i="50"/>
  <c r="AC197" i="50"/>
  <c r="AC194" i="50"/>
  <c r="X180" i="50"/>
  <c r="O10" i="56" s="1"/>
  <c r="X184" i="50"/>
  <c r="J18" i="129"/>
  <c r="J19" i="129"/>
  <c r="J28" i="129" s="1"/>
  <c r="J26" i="129" s="1"/>
  <c r="B3" i="131" s="1"/>
  <c r="R25" i="129"/>
  <c r="K196" i="50"/>
  <c r="J196" i="50"/>
  <c r="AJ197" i="50"/>
  <c r="AB197" i="50"/>
  <c r="AB194" i="50"/>
  <c r="J25" i="129"/>
  <c r="AE14" i="111"/>
  <c r="AE15" i="111" s="1"/>
  <c r="BB14" i="111"/>
  <c r="BB15" i="111" s="1"/>
  <c r="P96" i="50"/>
  <c r="P196" i="50"/>
  <c r="Y18" i="56"/>
  <c r="V184" i="50"/>
  <c r="V96" i="50"/>
  <c r="F25" i="129"/>
  <c r="F28" i="129"/>
  <c r="AH78" i="50"/>
  <c r="AI53" i="50"/>
  <c r="X96" i="50"/>
  <c r="X196" i="50"/>
  <c r="G28" i="129"/>
  <c r="G25" i="129"/>
  <c r="AQ14" i="111"/>
  <c r="AQ15" i="111" s="1"/>
  <c r="U96" i="50"/>
  <c r="U181" i="50"/>
  <c r="L11" i="56" s="1"/>
  <c r="AX188" i="50"/>
  <c r="AD3" i="56"/>
  <c r="O25" i="129"/>
  <c r="D38" i="129"/>
  <c r="D33" i="129" s="1"/>
  <c r="D36" i="129" s="1"/>
  <c r="I16" i="129"/>
  <c r="I38" i="129"/>
  <c r="L25" i="129"/>
  <c r="S28" i="129"/>
  <c r="AM197" i="50"/>
  <c r="AM78" i="50"/>
  <c r="E18" i="129"/>
  <c r="E19" i="129"/>
  <c r="AN183" i="50"/>
  <c r="AN197" i="50"/>
  <c r="Q25" i="129"/>
  <c r="AN78" i="50"/>
  <c r="AO183" i="50"/>
  <c r="AO198" i="50"/>
  <c r="S18" i="129"/>
  <c r="Z78" i="50" l="1"/>
  <c r="AX151" i="50"/>
  <c r="AX56" i="50"/>
  <c r="AD82" i="50"/>
  <c r="AD86" i="50" s="1"/>
  <c r="S3" i="56"/>
  <c r="AC82" i="50"/>
  <c r="AC86" i="50" s="1"/>
  <c r="AX87" i="50"/>
  <c r="Y89" i="50"/>
  <c r="Y91" i="50"/>
  <c r="Z93" i="50"/>
  <c r="Z90" i="50"/>
  <c r="Z94" i="50" s="1"/>
  <c r="AA85" i="50"/>
  <c r="AA82" i="50" s="1"/>
  <c r="AA86" i="50" s="1"/>
  <c r="AB89" i="50"/>
  <c r="AB91" i="50"/>
  <c r="T48" i="56"/>
  <c r="T47" i="56" s="1"/>
  <c r="CM7" i="111"/>
  <c r="G31" i="132"/>
  <c r="G32" i="132" s="1"/>
  <c r="G29" i="132"/>
  <c r="O44" i="129"/>
  <c r="P44" i="129" s="1"/>
  <c r="Q44" i="129" s="1"/>
  <c r="B36" i="132"/>
  <c r="B37" i="132" s="1"/>
  <c r="B38" i="132" s="1"/>
  <c r="B28" i="132" s="1"/>
  <c r="S37" i="129"/>
  <c r="S32" i="129" s="1"/>
  <c r="F36" i="132"/>
  <c r="F37" i="132" s="1"/>
  <c r="F38" i="132" s="1"/>
  <c r="F28" i="132" s="1"/>
  <c r="E29" i="132"/>
  <c r="E31" i="132"/>
  <c r="E32" i="132" s="1"/>
  <c r="AG8" i="56"/>
  <c r="BT15" i="111"/>
  <c r="Z8" i="56"/>
  <c r="E9" i="131"/>
  <c r="E10" i="131" s="1"/>
  <c r="Y8" i="56"/>
  <c r="D9" i="131"/>
  <c r="D10" i="131" s="1"/>
  <c r="X8" i="56"/>
  <c r="C9" i="131"/>
  <c r="C10" i="131" s="1"/>
  <c r="AF176" i="50"/>
  <c r="B9" i="131" s="1"/>
  <c r="B10" i="131" s="1"/>
  <c r="I33" i="129"/>
  <c r="I36" i="129" s="1"/>
  <c r="S17" i="56"/>
  <c r="S16" i="56" s="1"/>
  <c r="S9" i="56"/>
  <c r="S7" i="56" s="1"/>
  <c r="AD38" i="50"/>
  <c r="L18" i="129"/>
  <c r="H37" i="129"/>
  <c r="H32" i="129" s="1"/>
  <c r="H35" i="129" s="1"/>
  <c r="K45" i="129"/>
  <c r="AD2" i="50"/>
  <c r="U14" i="56" s="1"/>
  <c r="U40" i="56" s="1"/>
  <c r="U46" i="56" s="1"/>
  <c r="U47" i="56" s="1"/>
  <c r="AI18" i="50"/>
  <c r="T17" i="56"/>
  <c r="T16" i="56" s="1"/>
  <c r="T9" i="56"/>
  <c r="AE195" i="50"/>
  <c r="U9" i="56"/>
  <c r="U7" i="56" s="1"/>
  <c r="U22" i="56"/>
  <c r="U21" i="56" s="1"/>
  <c r="J9" i="56"/>
  <c r="AG15" i="111"/>
  <c r="V22" i="56"/>
  <c r="V21" i="56" s="1"/>
  <c r="V9" i="56"/>
  <c r="V7" i="56" s="1"/>
  <c r="E7" i="56"/>
  <c r="N195" i="50"/>
  <c r="AX189" i="50"/>
  <c r="N18" i="129"/>
  <c r="R195" i="50"/>
  <c r="V16" i="56"/>
  <c r="BP13" i="111"/>
  <c r="O17" i="56"/>
  <c r="O16" i="56" s="1"/>
  <c r="O9" i="56"/>
  <c r="O7" i="56" s="1"/>
  <c r="I3" i="56"/>
  <c r="H9" i="56"/>
  <c r="H7" i="56" s="1"/>
  <c r="H17" i="56"/>
  <c r="H16" i="56" s="1"/>
  <c r="U16" i="56"/>
  <c r="X195" i="50"/>
  <c r="W195" i="50"/>
  <c r="AA176" i="50"/>
  <c r="R8" i="56" s="1"/>
  <c r="R7" i="56" s="1"/>
  <c r="W53" i="50"/>
  <c r="AB81" i="50"/>
  <c r="N7" i="56"/>
  <c r="O195" i="50"/>
  <c r="H26" i="129"/>
  <c r="H27" i="129" s="1"/>
  <c r="F7" i="56"/>
  <c r="AC195" i="50"/>
  <c r="Q195" i="50"/>
  <c r="V179" i="50"/>
  <c r="V185" i="50"/>
  <c r="V186" i="50" s="1"/>
  <c r="V201" i="50" s="1"/>
  <c r="V183" i="50"/>
  <c r="T8" i="56"/>
  <c r="V194" i="50"/>
  <c r="V195" i="50" s="1"/>
  <c r="H19" i="129"/>
  <c r="Z181" i="50"/>
  <c r="Q11" i="56" s="1"/>
  <c r="Q17" i="56" s="1"/>
  <c r="Q16" i="56" s="1"/>
  <c r="Z96" i="50"/>
  <c r="Z194" i="50"/>
  <c r="Z195" i="50" s="1"/>
  <c r="AB195" i="50"/>
  <c r="E29" i="129"/>
  <c r="E26" i="129"/>
  <c r="E27" i="129" s="1"/>
  <c r="Z196" i="50"/>
  <c r="D29" i="129"/>
  <c r="D26" i="129"/>
  <c r="D27" i="129" s="1"/>
  <c r="S177" i="50"/>
  <c r="S176" i="50" s="1"/>
  <c r="S53" i="50"/>
  <c r="P17" i="56"/>
  <c r="P16" i="56" s="1"/>
  <c r="P22" i="56"/>
  <c r="P21" i="56" s="1"/>
  <c r="D37" i="129"/>
  <c r="D32" i="129" s="1"/>
  <c r="D35" i="129" s="1"/>
  <c r="G7" i="56"/>
  <c r="Q19" i="129"/>
  <c r="Q28" i="129" s="1"/>
  <c r="AD7" i="50"/>
  <c r="AF32" i="50"/>
  <c r="AE32" i="50"/>
  <c r="K26" i="129"/>
  <c r="K37" i="129"/>
  <c r="K32" i="129" s="1"/>
  <c r="Z197" i="50"/>
  <c r="Z183" i="50"/>
  <c r="Y177" i="50"/>
  <c r="Y176" i="50" s="1"/>
  <c r="Y53" i="50"/>
  <c r="P195" i="50"/>
  <c r="J17" i="56"/>
  <c r="J22" i="56"/>
  <c r="J21" i="56" s="1"/>
  <c r="Z185" i="50"/>
  <c r="Z186" i="50" s="1"/>
  <c r="Z201" i="50" s="1"/>
  <c r="Z97" i="50"/>
  <c r="Z95" i="50"/>
  <c r="Z179" i="50"/>
  <c r="AE24" i="50"/>
  <c r="AE25" i="50" s="1"/>
  <c r="Z24" i="50"/>
  <c r="Z25" i="50" s="1"/>
  <c r="BF26" i="111"/>
  <c r="M17" i="56"/>
  <c r="M16" i="56" s="1"/>
  <c r="T53" i="50"/>
  <c r="T177" i="50"/>
  <c r="T176" i="50" s="1"/>
  <c r="I17" i="56"/>
  <c r="I16" i="56" s="1"/>
  <c r="I22" i="56"/>
  <c r="I21" i="56" s="1"/>
  <c r="AD195" i="50"/>
  <c r="J3" i="56"/>
  <c r="J19" i="56"/>
  <c r="J18" i="56" s="1"/>
  <c r="U195" i="50"/>
  <c r="L8" i="56"/>
  <c r="AD32" i="50"/>
  <c r="M9" i="56"/>
  <c r="M7" i="56" s="1"/>
  <c r="I9" i="56"/>
  <c r="I7" i="56" s="1"/>
  <c r="F17" i="56"/>
  <c r="F16" i="56" s="1"/>
  <c r="F22" i="56"/>
  <c r="F21" i="56" s="1"/>
  <c r="T26" i="129"/>
  <c r="T27" i="129" s="1"/>
  <c r="T29" i="129"/>
  <c r="T37" i="129"/>
  <c r="P18" i="129"/>
  <c r="P19" i="129"/>
  <c r="P28" i="129" s="1"/>
  <c r="I19" i="129"/>
  <c r="I28" i="129" s="1"/>
  <c r="I18" i="129"/>
  <c r="N26" i="129"/>
  <c r="N29" i="129"/>
  <c r="N37" i="129"/>
  <c r="F26" i="129"/>
  <c r="F27" i="129" s="1"/>
  <c r="F29" i="129"/>
  <c r="L17" i="56"/>
  <c r="L16" i="56" s="1"/>
  <c r="L22" i="56"/>
  <c r="L21" i="56" s="1"/>
  <c r="L9" i="56"/>
  <c r="K22" i="56"/>
  <c r="K21" i="56" s="1"/>
  <c r="K17" i="56"/>
  <c r="K16" i="56" s="1"/>
  <c r="K9" i="56"/>
  <c r="E22" i="56"/>
  <c r="E21" i="56" s="1"/>
  <c r="E17" i="56"/>
  <c r="E16" i="56" s="1"/>
  <c r="E32" i="129"/>
  <c r="E39" i="129"/>
  <c r="G26" i="129"/>
  <c r="G27" i="129" s="1"/>
  <c r="G37" i="129"/>
  <c r="G29" i="129"/>
  <c r="L29" i="129"/>
  <c r="L26" i="129"/>
  <c r="J27" i="129"/>
  <c r="J37" i="129"/>
  <c r="J29" i="129"/>
  <c r="M29" i="129"/>
  <c r="M26" i="129"/>
  <c r="M37" i="129"/>
  <c r="R29" i="129"/>
  <c r="R26" i="129"/>
  <c r="R27" i="129" s="1"/>
  <c r="R37" i="129"/>
  <c r="F18" i="129"/>
  <c r="F19" i="129"/>
  <c r="F37" i="129"/>
  <c r="AA201" i="50"/>
  <c r="M179" i="50"/>
  <c r="M185" i="50"/>
  <c r="M96" i="50"/>
  <c r="M97" i="50"/>
  <c r="M181" i="50"/>
  <c r="D11" i="56" s="1"/>
  <c r="M194" i="50"/>
  <c r="M195" i="50" s="1"/>
  <c r="M95" i="50"/>
  <c r="AG32" i="50"/>
  <c r="S26" i="129"/>
  <c r="S27" i="129" s="1"/>
  <c r="S29" i="129"/>
  <c r="O29" i="129"/>
  <c r="O37" i="129"/>
  <c r="O26" i="129"/>
  <c r="Z81" i="50"/>
  <c r="Z85" i="50" s="1"/>
  <c r="N16" i="56"/>
  <c r="O27" i="129" l="1"/>
  <c r="AX91" i="50"/>
  <c r="Y90" i="50"/>
  <c r="AX89" i="50"/>
  <c r="Y93" i="50"/>
  <c r="AB85" i="50"/>
  <c r="AB82" i="50" s="1"/>
  <c r="AB86" i="50" s="1"/>
  <c r="AB90" i="50"/>
  <c r="AB94" i="50" s="1"/>
  <c r="AB93" i="50"/>
  <c r="N27" i="129"/>
  <c r="F3" i="131"/>
  <c r="S39" i="129"/>
  <c r="B31" i="132"/>
  <c r="B29" i="132"/>
  <c r="P26" i="129"/>
  <c r="P27" i="129" s="1"/>
  <c r="C36" i="132"/>
  <c r="C37" i="132" s="1"/>
  <c r="C38" i="132" s="1"/>
  <c r="C28" i="132" s="1"/>
  <c r="F31" i="132"/>
  <c r="F32" i="132" s="1"/>
  <c r="F29" i="132"/>
  <c r="Q37" i="129"/>
  <c r="Q32" i="129" s="1"/>
  <c r="D36" i="132"/>
  <c r="D37" i="132" s="1"/>
  <c r="D38" i="132" s="1"/>
  <c r="D28" i="132" s="1"/>
  <c r="M27" i="129"/>
  <c r="E3" i="131"/>
  <c r="L27" i="129"/>
  <c r="D3" i="131"/>
  <c r="K27" i="129"/>
  <c r="C3" i="131"/>
  <c r="W8" i="56"/>
  <c r="AE2" i="50"/>
  <c r="V14" i="56" s="1"/>
  <c r="V40" i="56" s="1"/>
  <c r="V46" i="56" s="1"/>
  <c r="V47" i="56" s="1"/>
  <c r="H34" i="129"/>
  <c r="AH18" i="50"/>
  <c r="H39" i="129"/>
  <c r="H41" i="129"/>
  <c r="AE7" i="50"/>
  <c r="K36" i="129"/>
  <c r="AG18" i="50"/>
  <c r="T7" i="56"/>
  <c r="Q29" i="129"/>
  <c r="Q26" i="129"/>
  <c r="Q27" i="129" s="1"/>
  <c r="H42" i="129"/>
  <c r="AA195" i="50"/>
  <c r="Q9" i="56"/>
  <c r="Q7" i="56" s="1"/>
  <c r="Q22" i="56"/>
  <c r="Q21" i="56" s="1"/>
  <c r="D41" i="129"/>
  <c r="D39" i="129"/>
  <c r="P29" i="129"/>
  <c r="L7" i="56"/>
  <c r="J8" i="56"/>
  <c r="J7" i="56" s="1"/>
  <c r="S195" i="50"/>
  <c r="P8" i="56"/>
  <c r="P7" i="56" s="1"/>
  <c r="Y195" i="50"/>
  <c r="J16" i="56"/>
  <c r="K39" i="129"/>
  <c r="P37" i="129"/>
  <c r="P39" i="129" s="1"/>
  <c r="K8" i="56"/>
  <c r="K7" i="56" s="1"/>
  <c r="T195" i="50"/>
  <c r="T39" i="129"/>
  <c r="T32" i="129"/>
  <c r="E35" i="129"/>
  <c r="E41" i="129" s="1"/>
  <c r="E34" i="129"/>
  <c r="Z82" i="50"/>
  <c r="Z86" i="50" s="1"/>
  <c r="R32" i="129"/>
  <c r="R39" i="129"/>
  <c r="AH32" i="50"/>
  <c r="N39" i="129"/>
  <c r="N32" i="129"/>
  <c r="L39" i="129"/>
  <c r="F39" i="129"/>
  <c r="F32" i="129"/>
  <c r="J39" i="129"/>
  <c r="J32" i="129"/>
  <c r="G39" i="129"/>
  <c r="G32" i="129"/>
  <c r="S34" i="129"/>
  <c r="S35" i="129"/>
  <c r="S41" i="129" s="1"/>
  <c r="D22" i="56"/>
  <c r="D21" i="56" s="1"/>
  <c r="D17" i="56"/>
  <c r="D16" i="56" s="1"/>
  <c r="D9" i="56"/>
  <c r="D7" i="56" s="1"/>
  <c r="O32" i="129"/>
  <c r="O39" i="129"/>
  <c r="M39" i="129"/>
  <c r="M32" i="129"/>
  <c r="I26" i="129"/>
  <c r="I27" i="129" s="1"/>
  <c r="I37" i="129"/>
  <c r="I29" i="129"/>
  <c r="AC26" i="129" l="1"/>
  <c r="AX93" i="50"/>
  <c r="Y94" i="50"/>
  <c r="AX94" i="50" s="1"/>
  <c r="AX90" i="50"/>
  <c r="O28" i="132"/>
  <c r="Q39" i="129"/>
  <c r="D29" i="132"/>
  <c r="D31" i="132"/>
  <c r="D32" i="132" s="1"/>
  <c r="C31" i="132"/>
  <c r="C32" i="132" s="1"/>
  <c r="C29" i="132"/>
  <c r="B32" i="132"/>
  <c r="N28" i="132"/>
  <c r="BR13" i="111"/>
  <c r="I32" i="129"/>
  <c r="I34" i="129" s="1"/>
  <c r="BQ13" i="111"/>
  <c r="P32" i="129"/>
  <c r="P35" i="129" s="1"/>
  <c r="K35" i="129"/>
  <c r="K34" i="129"/>
  <c r="T35" i="129"/>
  <c r="T34" i="129"/>
  <c r="M35" i="129"/>
  <c r="M43" i="129" s="1"/>
  <c r="M34" i="129"/>
  <c r="F34" i="129"/>
  <c r="F35" i="129"/>
  <c r="N35" i="129"/>
  <c r="N43" i="129" s="1"/>
  <c r="N34" i="129"/>
  <c r="F4" i="131" s="1"/>
  <c r="R35" i="129"/>
  <c r="R34" i="129"/>
  <c r="L34" i="129"/>
  <c r="G34" i="129"/>
  <c r="G35" i="129"/>
  <c r="AI32" i="50"/>
  <c r="Q34" i="129"/>
  <c r="Q35" i="129"/>
  <c r="AB26" i="129"/>
  <c r="I39" i="129"/>
  <c r="S42" i="129"/>
  <c r="O35" i="129"/>
  <c r="O34" i="129"/>
  <c r="J34" i="129"/>
  <c r="J35" i="129"/>
  <c r="E42" i="129"/>
  <c r="O31" i="132" l="1"/>
  <c r="N31" i="132"/>
  <c r="E4" i="131"/>
  <c r="L61" i="129"/>
  <c r="D4" i="131"/>
  <c r="K61" i="129"/>
  <c r="C4" i="131"/>
  <c r="J61" i="129"/>
  <c r="B4" i="131"/>
  <c r="P34" i="129"/>
  <c r="K41" i="129"/>
  <c r="K42" i="129"/>
  <c r="T42" i="129"/>
  <c r="T41" i="129"/>
  <c r="O41" i="129"/>
  <c r="O42" i="129"/>
  <c r="AJ32" i="50"/>
  <c r="R41" i="129"/>
  <c r="R42" i="129"/>
  <c r="M41" i="129"/>
  <c r="M42" i="129"/>
  <c r="I35" i="129"/>
  <c r="G41" i="129"/>
  <c r="G42" i="129"/>
  <c r="N41" i="129"/>
  <c r="N42" i="129"/>
  <c r="Q41" i="129"/>
  <c r="Q42" i="129"/>
  <c r="J41" i="129"/>
  <c r="J42" i="129"/>
  <c r="F41" i="129"/>
  <c r="F42" i="129"/>
  <c r="L41" i="129"/>
  <c r="L42" i="129"/>
  <c r="P41" i="129"/>
  <c r="P42" i="129"/>
  <c r="BT13" i="111" l="1"/>
  <c r="BS13" i="111"/>
  <c r="BU13" i="111"/>
  <c r="BV12" i="111"/>
  <c r="AK32" i="50"/>
  <c r="I41" i="129"/>
  <c r="I42" i="129"/>
  <c r="BV13" i="111" l="1"/>
  <c r="BW12" i="111"/>
  <c r="AL32" i="50"/>
  <c r="BX12" i="111" l="1"/>
  <c r="BW13" i="111"/>
  <c r="AM32" i="50"/>
  <c r="AN32" i="50" l="1"/>
  <c r="BX13" i="111"/>
  <c r="BY12" i="111"/>
  <c r="BY13" i="111" l="1"/>
  <c r="BZ12" i="111"/>
  <c r="BZ13" i="111" l="1"/>
  <c r="CA12" i="111"/>
  <c r="CB12" i="111" s="1"/>
  <c r="CA13" i="111" l="1"/>
  <c r="CB13" i="111" l="1"/>
  <c r="CC12" i="111"/>
  <c r="CC13" i="111" l="1"/>
  <c r="CD12" i="111"/>
  <c r="CD13" i="111" l="1"/>
  <c r="CE12" i="111"/>
  <c r="AF95" i="50"/>
  <c r="AF96" i="50"/>
  <c r="AF97" i="50"/>
  <c r="AP184" i="50"/>
  <c r="AP200" i="50" s="1"/>
  <c r="AP97" i="50"/>
  <c r="AP96" i="50"/>
  <c r="AP95" i="50"/>
  <c r="AO96" i="50"/>
  <c r="AO184" i="50"/>
  <c r="AO95" i="50"/>
  <c r="AN95" i="50"/>
  <c r="AN184" i="50"/>
  <c r="AN96" i="50"/>
  <c r="AN97" i="50"/>
  <c r="AH184" i="50"/>
  <c r="AH96" i="50"/>
  <c r="AH97" i="50"/>
  <c r="AH95" i="50"/>
  <c r="AM96" i="50"/>
  <c r="AM184" i="50"/>
  <c r="AM95" i="50"/>
  <c r="AM97" i="50"/>
  <c r="AJ95" i="50"/>
  <c r="AJ184" i="50"/>
  <c r="AJ97" i="50"/>
  <c r="AJ96" i="50"/>
  <c r="AK96" i="50"/>
  <c r="AK95" i="50"/>
  <c r="AK97" i="50"/>
  <c r="AL97" i="50"/>
  <c r="AL184" i="50"/>
  <c r="AL96" i="50"/>
  <c r="AL95" i="50"/>
  <c r="AI184" i="50"/>
  <c r="AI95" i="50"/>
  <c r="AI97" i="50"/>
  <c r="AI96" i="50"/>
  <c r="AP185" i="50"/>
  <c r="AP186" i="50" s="1"/>
  <c r="AN185" i="50"/>
  <c r="AN186" i="50" s="1"/>
  <c r="AJ185" i="50"/>
  <c r="AJ186" i="50" s="1"/>
  <c r="AL185" i="50"/>
  <c r="AL186" i="50" s="1"/>
  <c r="AI185" i="50"/>
  <c r="AI186" i="50" s="1"/>
  <c r="AH186" i="50"/>
  <c r="AK185" i="50"/>
  <c r="AK186" i="50" s="1"/>
  <c r="AM181" i="50"/>
  <c r="AH195" i="50"/>
  <c r="AF194" i="50"/>
  <c r="AF195" i="50" s="1"/>
  <c r="AO85" i="50"/>
  <c r="AO185" i="50"/>
  <c r="AO186" i="50" s="1"/>
  <c r="AM185" i="50"/>
  <c r="AM186" i="50" s="1"/>
  <c r="AH181" i="50"/>
  <c r="Y11" i="56" s="1"/>
  <c r="AO87" i="50"/>
  <c r="AO181" i="50"/>
  <c r="AF181" i="50"/>
  <c r="W11" i="56" s="1"/>
  <c r="AP83" i="50"/>
  <c r="AI181" i="50"/>
  <c r="Z11" i="56" s="1"/>
  <c r="AG79" i="50"/>
  <c r="AP181" i="50"/>
  <c r="AN181" i="50"/>
  <c r="AI195" i="50"/>
  <c r="AL181" i="50"/>
  <c r="AK181" i="50"/>
  <c r="AF37" i="50"/>
  <c r="AF38" i="50" s="1"/>
  <c r="AJ181" i="50"/>
  <c r="AA11" i="56" s="1"/>
  <c r="AP87" i="50"/>
  <c r="AP91" i="50" s="1"/>
  <c r="AP194" i="50"/>
  <c r="AP195" i="50" s="1"/>
  <c r="AH79" i="50"/>
  <c r="AF79" i="50"/>
  <c r="AF83" i="50" s="1"/>
  <c r="AF184" i="50"/>
  <c r="AO89" i="50" l="1"/>
  <c r="AZ87" i="50"/>
  <c r="AH81" i="50"/>
  <c r="AH85" i="50" s="1"/>
  <c r="AH83" i="50"/>
  <c r="AG81" i="50"/>
  <c r="AG85" i="50" s="1"/>
  <c r="AG83" i="50"/>
  <c r="AZ181" i="50"/>
  <c r="AC11" i="56"/>
  <c r="AC22" i="56" s="1"/>
  <c r="AC21" i="56" s="1"/>
  <c r="AL209" i="50"/>
  <c r="AB11" i="56"/>
  <c r="AB17" i="56" s="1"/>
  <c r="AB16" i="56" s="1"/>
  <c r="AK209" i="50"/>
  <c r="AG11" i="56"/>
  <c r="AG9" i="56" s="1"/>
  <c r="AG7" i="56" s="1"/>
  <c r="AP209" i="50"/>
  <c r="AD11" i="56"/>
  <c r="AD22" i="56" s="1"/>
  <c r="AD21" i="56" s="1"/>
  <c r="AM209" i="50"/>
  <c r="AE11" i="56"/>
  <c r="AE17" i="56" s="1"/>
  <c r="AE16" i="56" s="1"/>
  <c r="AN209" i="50"/>
  <c r="AF11" i="56"/>
  <c r="AF17" i="56" s="1"/>
  <c r="AF16" i="56" s="1"/>
  <c r="AO209" i="50"/>
  <c r="AW184" i="50"/>
  <c r="CE13" i="111"/>
  <c r="CF12" i="111"/>
  <c r="AO201" i="50"/>
  <c r="AH201" i="50"/>
  <c r="AP201" i="50"/>
  <c r="AI201" i="50"/>
  <c r="AL201" i="50"/>
  <c r="AJ201" i="50"/>
  <c r="AM201" i="50"/>
  <c r="AK201" i="50"/>
  <c r="AN201" i="50"/>
  <c r="AP85" i="50"/>
  <c r="AP82" i="50" s="1"/>
  <c r="AP80" i="50" s="1"/>
  <c r="AF81" i="50"/>
  <c r="AA9" i="56"/>
  <c r="AA17" i="56"/>
  <c r="AA16" i="56" s="1"/>
  <c r="AA22" i="56"/>
  <c r="AA21" i="56" s="1"/>
  <c r="Z22" i="56"/>
  <c r="Z21" i="56" s="1"/>
  <c r="Z17" i="56"/>
  <c r="Z16" i="56" s="1"/>
  <c r="Z9" i="56"/>
  <c r="Z7" i="56" s="1"/>
  <c r="Y22" i="56"/>
  <c r="Y21" i="56" s="1"/>
  <c r="Y9" i="56"/>
  <c r="Y7" i="56" s="1"/>
  <c r="Y17" i="56"/>
  <c r="Y16" i="56" s="1"/>
  <c r="W9" i="56"/>
  <c r="W7" i="56" s="1"/>
  <c r="W17" i="56"/>
  <c r="W16" i="56" s="1"/>
  <c r="W22" i="56"/>
  <c r="W21" i="56" s="1"/>
  <c r="AO93" i="50"/>
  <c r="AO90" i="50"/>
  <c r="AO91" i="50"/>
  <c r="AZ91" i="50" s="1"/>
  <c r="AO83" i="50"/>
  <c r="AO82" i="50" s="1"/>
  <c r="AO80" i="50" s="1"/>
  <c r="AF2" i="50"/>
  <c r="W14" i="56" s="1"/>
  <c r="AP89" i="50"/>
  <c r="AF25" i="50"/>
  <c r="AH82" i="50" l="1"/>
  <c r="AH86" i="50" s="1"/>
  <c r="AX83" i="50"/>
  <c r="AG82" i="50"/>
  <c r="AG86" i="50" s="1"/>
  <c r="AZ85" i="50"/>
  <c r="AC9" i="56"/>
  <c r="AC17" i="56"/>
  <c r="AC16" i="56" s="1"/>
  <c r="AO94" i="50"/>
  <c r="AF85" i="50"/>
  <c r="AX85" i="50" s="1"/>
  <c r="AO86" i="50"/>
  <c r="AZ83" i="50"/>
  <c r="AG22" i="56"/>
  <c r="AG21" i="56" s="1"/>
  <c r="AZ89" i="50"/>
  <c r="AB9" i="56"/>
  <c r="AB22" i="56"/>
  <c r="AB21" i="56" s="1"/>
  <c r="AP86" i="50"/>
  <c r="AP84" i="50"/>
  <c r="AP88" i="50" s="1"/>
  <c r="AP92" i="50" s="1"/>
  <c r="AD9" i="56"/>
  <c r="AE9" i="56"/>
  <c r="AE22" i="56"/>
  <c r="AE21" i="56" s="1"/>
  <c r="AG17" i="56"/>
  <c r="AG16" i="56" s="1"/>
  <c r="AF22" i="56"/>
  <c r="AF21" i="56" s="1"/>
  <c r="AF9" i="56"/>
  <c r="AD17" i="56"/>
  <c r="AD16" i="56" s="1"/>
  <c r="CF13" i="111"/>
  <c r="CG12" i="111"/>
  <c r="AF201" i="50"/>
  <c r="AP93" i="50"/>
  <c r="AZ93" i="50" s="1"/>
  <c r="AP90" i="50"/>
  <c r="AP94" i="50" s="1"/>
  <c r="AO84" i="50" l="1"/>
  <c r="AO88" i="50" s="1"/>
  <c r="AF82" i="50"/>
  <c r="AF86" i="50" s="1"/>
  <c r="AX86" i="50" s="1"/>
  <c r="AZ86" i="50"/>
  <c r="AZ90" i="50"/>
  <c r="AZ94" i="50"/>
  <c r="CG13" i="111"/>
  <c r="CH12" i="111"/>
  <c r="AG219" i="50"/>
  <c r="AG181" i="50"/>
  <c r="X11" i="56" s="1"/>
  <c r="AG95" i="50"/>
  <c r="AG184" i="50"/>
  <c r="AG194" i="50"/>
  <c r="AG195" i="50" s="1"/>
  <c r="AG185" i="50"/>
  <c r="AG96" i="50"/>
  <c r="AG97" i="50"/>
  <c r="AZ84" i="50" l="1"/>
  <c r="AO92" i="50"/>
  <c r="AZ92" i="50" s="1"/>
  <c r="AZ88" i="50"/>
  <c r="CH13" i="111"/>
  <c r="AX184" i="50"/>
  <c r="AG25" i="50"/>
  <c r="AG186" i="50"/>
  <c r="AX185" i="50"/>
  <c r="AG38" i="50"/>
  <c r="AH2" i="50"/>
  <c r="Y14" i="56" s="1"/>
  <c r="AG2" i="50"/>
  <c r="X14" i="56" s="1"/>
  <c r="X40" i="56" s="1"/>
  <c r="X46" i="56" s="1"/>
  <c r="AG7" i="50"/>
  <c r="X22" i="56"/>
  <c r="X21" i="56" s="1"/>
  <c r="X17" i="56"/>
  <c r="X16" i="56" s="1"/>
  <c r="X9" i="56"/>
  <c r="X7" i="56" s="1"/>
  <c r="AH7" i="50" l="1"/>
  <c r="AH38" i="50"/>
  <c r="AG201" i="50"/>
  <c r="AX186" i="50"/>
  <c r="AH25" i="50"/>
  <c r="AI25" i="50" l="1"/>
  <c r="AI38" i="50"/>
  <c r="AJ37" i="50"/>
  <c r="AI7" i="50"/>
  <c r="AI2" i="50"/>
  <c r="Z14" i="56" s="1"/>
  <c r="AJ25" i="50" l="1"/>
  <c r="AJ38" i="50"/>
  <c r="AK37" i="50"/>
  <c r="AK25" i="50" l="1"/>
  <c r="AL37" i="50"/>
  <c r="AK38" i="50"/>
  <c r="AM37" i="50" l="1"/>
  <c r="AL38" i="50"/>
  <c r="AL25" i="50"/>
  <c r="AM25" i="50" l="1"/>
  <c r="AM38" i="50"/>
  <c r="AN37" i="50"/>
  <c r="AN25" i="50" l="1"/>
  <c r="AN38" i="50"/>
  <c r="AO37" i="50"/>
  <c r="AO38" i="50" l="1"/>
  <c r="AP37" i="50"/>
  <c r="AQ37" i="50" l="1"/>
  <c r="AP38" i="50"/>
  <c r="AE48" i="56"/>
  <c r="AQ38" i="50" l="1"/>
  <c r="AR37" i="50"/>
  <c r="AR38" i="50" l="1"/>
  <c r="AS37" i="50"/>
  <c r="AS38" i="50" l="1"/>
  <c r="AT37" i="50"/>
  <c r="AT38" i="50" l="1"/>
  <c r="AU37" i="50"/>
  <c r="AF103" i="50"/>
  <c r="W34" i="56"/>
  <c r="AU38" i="50" l="1"/>
  <c r="AV37" i="50"/>
  <c r="AV38" i="50" s="1"/>
  <c r="W48" i="56"/>
  <c r="W40" i="56" l="1"/>
  <c r="W46" i="56" s="1"/>
  <c r="W47" i="56" s="1"/>
  <c r="Y40" i="56"/>
  <c r="X47" i="56"/>
  <c r="Y46" i="56" l="1"/>
  <c r="Y47" i="56" s="1"/>
  <c r="Z40" i="56" l="1"/>
  <c r="Z46" i="56" s="1"/>
  <c r="Z47" i="56" s="1"/>
  <c r="AA32" i="56"/>
  <c r="AB32" i="56" s="1"/>
  <c r="AC32" i="56" l="1"/>
  <c r="AD32" i="56" l="1"/>
  <c r="AE32" i="56" s="1"/>
  <c r="AF32" i="56" l="1"/>
  <c r="AG32" i="56" l="1"/>
  <c r="AH32" i="56" l="1"/>
  <c r="AI32" i="56" l="1"/>
  <c r="AJ32" i="56" l="1"/>
  <c r="AK32" i="56" s="1"/>
  <c r="AL32" i="56" s="1"/>
  <c r="AM32" i="56" l="1"/>
  <c r="AM19" i="50"/>
  <c r="AM53" i="50"/>
  <c r="AM103" i="50"/>
  <c r="AL19" i="50"/>
  <c r="AL53" i="50"/>
  <c r="AN53" i="50"/>
  <c r="AN19" i="50"/>
  <c r="AN103" i="50"/>
  <c r="AN194" i="50"/>
  <c r="AR53" i="50"/>
  <c r="AR19" i="50"/>
  <c r="AR194" i="50"/>
  <c r="AL176" i="50"/>
  <c r="AL200" i="50" s="1"/>
  <c r="AR176" i="50"/>
  <c r="AR200" i="50" s="1"/>
  <c r="AL194" i="50"/>
  <c r="AN176" i="50"/>
  <c r="AM194" i="50"/>
  <c r="AM176" i="50"/>
  <c r="AM200" i="50" s="1"/>
  <c r="AE8" i="56" l="1"/>
  <c r="AE7" i="56" s="1"/>
  <c r="AN200" i="50"/>
  <c r="AM195" i="50"/>
  <c r="AN195" i="50"/>
  <c r="AD8" i="56"/>
  <c r="AD7" i="56" s="1"/>
  <c r="AC8" i="56"/>
  <c r="AC7" i="56" s="1"/>
  <c r="AL195" i="50"/>
  <c r="AR195" i="50"/>
  <c r="AI8" i="56"/>
  <c r="AI7" i="56" s="1"/>
  <c r="AK19" i="50"/>
  <c r="AK53" i="50"/>
  <c r="AK103" i="50"/>
  <c r="AB8" i="56"/>
  <c r="AB7" i="56" s="1"/>
  <c r="AK194" i="50"/>
  <c r="AK195" i="50" l="1"/>
  <c r="AO53" i="50" l="1"/>
  <c r="AP32" i="50"/>
  <c r="AP25" i="50"/>
  <c r="AO19" i="50"/>
  <c r="AO32" i="50"/>
  <c r="AO176" i="50"/>
  <c r="AO25" i="50"/>
  <c r="AF8" i="56" l="1"/>
  <c r="AF7" i="56" s="1"/>
  <c r="AO200" i="50"/>
  <c r="AW200" i="50" s="1"/>
  <c r="AW201" i="50"/>
  <c r="AQ25" i="50"/>
  <c r="AO195" i="50"/>
  <c r="AQ32" i="50"/>
  <c r="AR25" i="50" l="1"/>
  <c r="AR32" i="50"/>
  <c r="AS32" i="50" l="1"/>
  <c r="AS25" i="50"/>
  <c r="AX113" i="50"/>
  <c r="AJ53" i="50"/>
  <c r="AJ103" i="50"/>
  <c r="AJ194" i="50"/>
  <c r="AJ16" i="50"/>
  <c r="AJ18" i="50" s="1"/>
  <c r="AJ177" i="50"/>
  <c r="AJ176" i="50" s="1"/>
  <c r="F9" i="131" s="1"/>
  <c r="F10" i="131" s="1"/>
  <c r="AJ19" i="50"/>
  <c r="AJ7" i="50"/>
  <c r="AT25" i="50" l="1"/>
  <c r="AT32" i="50"/>
  <c r="AJ195" i="50"/>
  <c r="AA8" i="56"/>
  <c r="AA7" i="56" s="1"/>
  <c r="AJ2" i="50"/>
  <c r="AA14" i="56" s="1"/>
  <c r="AA40" i="56" s="1"/>
  <c r="AA46" i="56" s="1"/>
  <c r="AA47" i="56" s="1"/>
  <c r="AK16" i="50"/>
  <c r="AL16" i="50" s="1"/>
  <c r="AM16" i="50" s="1"/>
  <c r="AN16" i="50" s="1"/>
  <c r="AO16" i="50" s="1"/>
  <c r="AP16" i="50" s="1"/>
  <c r="AU32" i="50" l="1"/>
  <c r="AV32" i="50"/>
  <c r="AU25" i="50"/>
  <c r="AV25" i="50"/>
  <c r="AK18" i="50"/>
  <c r="AK2" i="50"/>
  <c r="AB14" i="56" s="1"/>
  <c r="AB40" i="56" s="1"/>
  <c r="AK7" i="50"/>
  <c r="AB46" i="56" l="1"/>
  <c r="AB47" i="56" s="1"/>
  <c r="AL2" i="50"/>
  <c r="AC14" i="56" s="1"/>
  <c r="AC40" i="56" s="1"/>
  <c r="AL7" i="50"/>
  <c r="AL18" i="50"/>
  <c r="AC46" i="56" l="1"/>
  <c r="AC47" i="56" s="1"/>
  <c r="AM18" i="50"/>
  <c r="AM7" i="50"/>
  <c r="AM2" i="50"/>
  <c r="AD14" i="56" s="1"/>
  <c r="AD40" i="56" s="1"/>
  <c r="AD46" i="56" l="1"/>
  <c r="AD47" i="56" s="1"/>
  <c r="AN2" i="50"/>
  <c r="AE14" i="56" s="1"/>
  <c r="AN7" i="50"/>
  <c r="AN18" i="50"/>
  <c r="AE40" i="56" l="1"/>
  <c r="AO18" i="50"/>
  <c r="AO7" i="50"/>
  <c r="AO2" i="50"/>
  <c r="AF14" i="56" s="1"/>
  <c r="AF40" i="56" s="1"/>
  <c r="AF46" i="56" l="1"/>
  <c r="AF47" i="56" s="1"/>
  <c r="AE46" i="56"/>
  <c r="AE47" i="56" s="1"/>
  <c r="AP2" i="50"/>
  <c r="AG14" i="56" s="1"/>
  <c r="AG40" i="56" s="1"/>
  <c r="AP7" i="50"/>
  <c r="AP18" i="50"/>
  <c r="AQ16" i="50"/>
  <c r="AG46" i="56" l="1"/>
  <c r="AG47" i="56" s="1"/>
  <c r="AQ2" i="50"/>
  <c r="AH14" i="56" s="1"/>
  <c r="AH40" i="56" s="1"/>
  <c r="AQ7" i="50"/>
  <c r="AR16" i="50"/>
  <c r="AQ18" i="50"/>
  <c r="AH46" i="56" l="1"/>
  <c r="AH47" i="56" s="1"/>
  <c r="AR18" i="50"/>
  <c r="AS16" i="50"/>
  <c r="AR7" i="50"/>
  <c r="AR2" i="50"/>
  <c r="AI14" i="56" s="1"/>
  <c r="AI40" i="56" s="1"/>
  <c r="AI46" i="56" l="1"/>
  <c r="AI47" i="56" s="1"/>
  <c r="AS7" i="50"/>
  <c r="AS2" i="50"/>
  <c r="AT16" i="50"/>
  <c r="AS18" i="50"/>
  <c r="AJ14" i="56" l="1"/>
  <c r="AJ40" i="56" s="1"/>
  <c r="AV7" i="50"/>
  <c r="AV2" i="50"/>
  <c r="AM14" i="56" s="1"/>
  <c r="AM40" i="56" s="1"/>
  <c r="AU2" i="50"/>
  <c r="AL14" i="56" s="1"/>
  <c r="AL40" i="56" s="1"/>
  <c r="AU7" i="50"/>
  <c r="AT18" i="50"/>
  <c r="AU16" i="50"/>
  <c r="AT2" i="50"/>
  <c r="AT7" i="50"/>
  <c r="AJ46" i="56" l="1"/>
  <c r="AJ47" i="56" s="1"/>
  <c r="AL46" i="56"/>
  <c r="AL47" i="56" s="1"/>
  <c r="AM46" i="56"/>
  <c r="AM47" i="56" s="1"/>
  <c r="AK14" i="56"/>
  <c r="AK40" i="56" s="1"/>
  <c r="AU18" i="50"/>
  <c r="AV16" i="50"/>
  <c r="AV18" i="50" s="1"/>
  <c r="AK46" i="56" l="1"/>
  <c r="AK47"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H24" authorId="0" shapeId="0" xr:uid="{00000000-0006-0000-0100-000001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100-000002000000}">
      <text>
        <r>
          <rPr>
            <b/>
            <sz val="9"/>
            <color indexed="81"/>
            <rFont val="Tahoma"/>
            <family val="2"/>
          </rPr>
          <t xml:space="preserve">Windows User:
</t>
        </r>
        <r>
          <rPr>
            <sz val="9"/>
            <color indexed="81"/>
            <rFont val="Tahoma"/>
            <family val="2"/>
          </rPr>
          <t>rev0 = 13.55 KT (10,080 Ton)
rev1 = 15 KT</t>
        </r>
      </text>
    </comment>
    <comment ref="L32" authorId="1" shapeId="0" xr:uid="{00000000-0006-0000-0100-000003000000}">
      <text>
        <r>
          <rPr>
            <b/>
            <sz val="9"/>
            <color indexed="81"/>
            <rFont val="Tahoma"/>
            <family val="2"/>
          </rPr>
          <t>Quantumuser:</t>
        </r>
        <r>
          <rPr>
            <sz val="9"/>
            <color indexed="81"/>
            <rFont val="Tahoma"/>
            <family val="2"/>
          </rPr>
          <t xml:space="preserve">
Oleflex: TA 10 Oct’21 - 15 Nov’21</t>
        </r>
      </text>
    </comment>
    <comment ref="S32" authorId="1" shapeId="0" xr:uid="{00000000-0006-0000-0100-000004000000}">
      <text>
        <r>
          <rPr>
            <b/>
            <sz val="9"/>
            <color indexed="81"/>
            <rFont val="Tahoma"/>
            <family val="2"/>
          </rPr>
          <t>Quantumuser:</t>
        </r>
        <r>
          <rPr>
            <sz val="9"/>
            <color indexed="81"/>
            <rFont val="Tahoma"/>
            <family val="2"/>
          </rPr>
          <t xml:space="preserve">
OLE3 TA 3 May’22 - 10 Jun’22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H24" authorId="0" shapeId="0" xr:uid="{00000000-0006-0000-0200-000001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200-000002000000}">
      <text>
        <r>
          <rPr>
            <b/>
            <sz val="9"/>
            <color indexed="81"/>
            <rFont val="Tahoma"/>
            <family val="2"/>
          </rPr>
          <t xml:space="preserve">Windows User:
</t>
        </r>
        <r>
          <rPr>
            <sz val="9"/>
            <color indexed="81"/>
            <rFont val="Tahoma"/>
            <family val="2"/>
          </rPr>
          <t>rev0 = 13.55 KT (10,080 Ton)
rev1 = 15 KT</t>
        </r>
      </text>
    </comment>
    <comment ref="L32" authorId="1" shapeId="0" xr:uid="{00000000-0006-0000-0200-000003000000}">
      <text>
        <r>
          <rPr>
            <b/>
            <sz val="9"/>
            <color indexed="81"/>
            <rFont val="Tahoma"/>
            <family val="2"/>
          </rPr>
          <t>Quantumuser:</t>
        </r>
        <r>
          <rPr>
            <sz val="9"/>
            <color indexed="81"/>
            <rFont val="Tahoma"/>
            <family val="2"/>
          </rPr>
          <t xml:space="preserve">
Oleflex: TA 10 Oct’21 - 15 Nov’21</t>
        </r>
      </text>
    </comment>
    <comment ref="S33" authorId="0" shapeId="0" xr:uid="{00000000-0006-0000-0200-000004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200-000005000000}">
      <text>
        <r>
          <rPr>
            <b/>
            <sz val="9"/>
            <color indexed="81"/>
            <rFont val="Tahoma"/>
            <family val="2"/>
          </rPr>
          <t>Windows User:</t>
        </r>
        <r>
          <rPr>
            <sz val="9"/>
            <color indexed="81"/>
            <rFont val="Tahoma"/>
            <family val="2"/>
          </rPr>
          <t xml:space="preserve">
OLE3 มีแผน TA : 3 May'22-10 Jun'22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V24" authorId="0" shapeId="0" xr:uid="{00000000-0006-0000-0300-000001000000}">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0" shapeId="0" xr:uid="{00000000-0006-0000-0300-000002000000}">
      <text>
        <r>
          <rPr>
            <b/>
            <sz val="9"/>
            <color indexed="81"/>
            <rFont val="Tahoma"/>
            <family val="2"/>
          </rPr>
          <t>Quantumuser:</t>
        </r>
        <r>
          <rPr>
            <sz val="9"/>
            <color indexed="81"/>
            <rFont val="Tahoma"/>
            <family val="2"/>
          </rPr>
          <t xml:space="preserve">
rev0 = 1.5
Rev1 = 5 cambodia demand increase (รอ confirm 26 jul)</t>
        </r>
      </text>
    </comment>
    <comment ref="X24" authorId="0" shapeId="0" xr:uid="{00000000-0006-0000-0300-000003000000}">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0" shapeId="0" xr:uid="{00000000-0006-0000-0300-000004000000}">
      <text>
        <r>
          <rPr>
            <b/>
            <sz val="9"/>
            <color indexed="81"/>
            <rFont val="Tahoma"/>
            <family val="2"/>
          </rPr>
          <t>Quantumuser:
Rev0 =4
Rev1 =3.3
rev 2 4</t>
        </r>
      </text>
    </comment>
    <comment ref="Z24" authorId="0" shapeId="0" xr:uid="{00000000-0006-0000-0300-000005000000}">
      <text>
        <r>
          <rPr>
            <b/>
            <sz val="9"/>
            <color indexed="81"/>
            <rFont val="Tahoma"/>
            <family val="2"/>
          </rPr>
          <t>Quantumuser:</t>
        </r>
        <r>
          <rPr>
            <sz val="9"/>
            <color indexed="81"/>
            <rFont val="Tahoma"/>
            <family val="2"/>
          </rPr>
          <t xml:space="preserve">
rev0 =1.5
Rev1 = 4
Rev2 =5</t>
        </r>
      </text>
    </comment>
    <comment ref="AA24" authorId="0" shapeId="0" xr:uid="{00000000-0006-0000-0300-000006000000}">
      <text>
        <r>
          <rPr>
            <b/>
            <sz val="9"/>
            <color indexed="81"/>
            <rFont val="Tahoma"/>
            <family val="2"/>
          </rPr>
          <t>Quantumuser:</t>
        </r>
        <r>
          <rPr>
            <sz val="9"/>
            <color indexed="81"/>
            <rFont val="Tahoma"/>
            <family val="2"/>
          </rPr>
          <t xml:space="preserve">
rev0 1.5
rev2 5
Rev3 6</t>
        </r>
      </text>
    </comment>
    <comment ref="U26" authorId="0" shapeId="0" xr:uid="{00000000-0006-0000-0300-000007000000}">
      <text>
        <r>
          <rPr>
            <b/>
            <sz val="9"/>
            <color indexed="81"/>
            <rFont val="Tahoma"/>
            <family val="2"/>
          </rPr>
          <t>Quantumuser:</t>
        </r>
        <r>
          <rPr>
            <sz val="9"/>
            <color indexed="81"/>
            <rFont val="Tahoma"/>
            <family val="2"/>
          </rPr>
          <t xml:space="preserve">
rev0 = 0.6KT
rev1 = 1KT Demand increase
rev2 = 1.5KT demand increase</t>
        </r>
      </text>
    </comment>
    <comment ref="V26" authorId="0" shapeId="0" xr:uid="{00000000-0006-0000-0300-000008000000}">
      <text>
        <r>
          <rPr>
            <b/>
            <sz val="9"/>
            <color indexed="81"/>
            <rFont val="Tahoma"/>
            <family val="2"/>
          </rPr>
          <t>Quantumuser:
rev0 = 0.7
rev1 = 1 or demand increase</t>
        </r>
      </text>
    </comment>
    <comment ref="W26" authorId="0" shapeId="0" xr:uid="{00000000-0006-0000-0300-000009000000}">
      <text>
        <r>
          <rPr>
            <b/>
            <sz val="9"/>
            <color indexed="81"/>
            <rFont val="Tahoma"/>
            <family val="2"/>
          </rPr>
          <t>Quantumuser:</t>
        </r>
        <r>
          <rPr>
            <sz val="9"/>
            <color indexed="81"/>
            <rFont val="Tahoma"/>
            <family val="2"/>
          </rPr>
          <t xml:space="preserve">
rev0 = 1.050
Rev1 =1.4 demand increase</t>
        </r>
      </text>
    </comment>
    <comment ref="X26" authorId="0" shapeId="0" xr:uid="{00000000-0006-0000-0300-00000A000000}">
      <text>
        <r>
          <rPr>
            <b/>
            <sz val="9"/>
            <color indexed="81"/>
            <rFont val="Tahoma"/>
            <family val="2"/>
          </rPr>
          <t>Quantumuser:</t>
        </r>
        <r>
          <rPr>
            <sz val="9"/>
            <color indexed="81"/>
            <rFont val="Tahoma"/>
            <family val="2"/>
          </rPr>
          <t xml:space="preserve">
Rev0 =1.05
Rev1 = 1.65 Or requestd เพิ่ม</t>
        </r>
      </text>
    </comment>
    <comment ref="Y26" authorId="0" shapeId="0" xr:uid="{00000000-0006-0000-0300-00000B000000}">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40" authorId="0" shapeId="0" xr:uid="{00000000-0006-0000-0300-00000C000000}">
      <text>
        <r>
          <rPr>
            <b/>
            <sz val="9"/>
            <color indexed="81"/>
            <rFont val="Tahoma"/>
            <family val="2"/>
          </rPr>
          <t>Quantumuser:</t>
        </r>
        <r>
          <rPr>
            <sz val="9"/>
            <color indexed="81"/>
            <rFont val="Tahoma"/>
            <family val="2"/>
          </rPr>
          <t xml:space="preserve">
แต่ละจุดห้ามต่ำกว่า GSP 6 KT, MT 7 KT, BRP 1 KT = 14 KT
ประมาณ 50 จะไม่เกิด dem 
ถึง 30 มิ.ย. 64 : min กม. 19 KT/ internal LR 36 KT
ตั้งแต่ 1 ก.ค. 64 : min กม. 22.03 KT/ internal LR 39.03 KT
</t>
        </r>
        <r>
          <rPr>
            <strike/>
            <sz val="9"/>
            <color indexed="81"/>
            <rFont val="Tahoma"/>
            <family val="2"/>
          </rPr>
          <t>ตั้งแต่ 1 มค 65 min 37.6KT / inter 54.6</t>
        </r>
        <r>
          <rPr>
            <sz val="9"/>
            <color indexed="81"/>
            <rFont val="Tahoma"/>
            <family val="2"/>
          </rPr>
          <t xml:space="preserve">
ตั้งแต่ 1 มค 65 min 33.2KT / inter 50.2</t>
        </r>
      </text>
    </comment>
    <comment ref="V40" authorId="0" shapeId="0" xr:uid="{00000000-0006-0000-0300-00000D000000}">
      <text>
        <r>
          <rPr>
            <b/>
            <sz val="9"/>
            <color indexed="81"/>
            <rFont val="Tahoma"/>
            <family val="2"/>
          </rPr>
          <t>Quantumuser:</t>
        </r>
        <r>
          <rPr>
            <sz val="9"/>
            <color indexed="81"/>
            <rFont val="Tahoma"/>
            <family val="2"/>
          </rPr>
          <t xml:space="preserve">
GSP เพิ่งปรับ LR</t>
        </r>
      </text>
    </comment>
    <comment ref="AE48" authorId="0" shapeId="0" xr:uid="{00000000-0006-0000-0300-00000E000000}">
      <text>
        <r>
          <rPr>
            <b/>
            <sz val="9"/>
            <color indexed="81"/>
            <rFont val="Tahoma"/>
            <family val="2"/>
          </rPr>
          <t>Quantumuser:</t>
        </r>
        <r>
          <rPr>
            <sz val="9"/>
            <color indexed="81"/>
            <rFont val="Tahoma"/>
            <family val="2"/>
          </rPr>
          <t xml:space="preserve">
C3 revserd pipeline to SCG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AF3" authorId="0" shapeId="0" xr:uid="{00000000-0006-0000-0400-000001000000}">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0" shapeId="0" xr:uid="{00000000-0006-0000-0400-000002000000}">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H7" authorId="0" shapeId="0" xr:uid="{00000000-0006-0000-0400-000003000000}">
      <text>
        <r>
          <rPr>
            <b/>
            <sz val="9"/>
            <color indexed="81"/>
            <rFont val="Tahoma"/>
            <family val="2"/>
          </rPr>
          <t>Quantumuser:</t>
        </r>
        <r>
          <rPr>
            <sz val="9"/>
            <color indexed="81"/>
            <rFont val="Tahoma"/>
            <family val="2"/>
          </rPr>
          <t xml:space="preserve">
 25.10 กผ ต้องปิดเดือน 35%</t>
        </r>
      </text>
    </comment>
    <comment ref="AJ7" authorId="1" shapeId="0" xr:uid="{00000000-0006-0000-0400-000004000000}">
      <text>
        <r>
          <rPr>
            <b/>
            <sz val="9"/>
            <color indexed="81"/>
            <rFont val="Tahoma"/>
            <family val="2"/>
          </rPr>
          <t>Windows User:</t>
        </r>
        <r>
          <rPr>
            <sz val="9"/>
            <color indexed="81"/>
            <rFont val="Tahoma"/>
            <family val="2"/>
          </rPr>
          <t xml:space="preserve">
ต้องปิดขั้นต่ำ 50% เตรียมรับ LR 2% ในเดือน Jan'22</t>
        </r>
      </text>
    </comment>
    <comment ref="AK7" authorId="0" shapeId="0" xr:uid="{00000000-0006-0000-0400-000005000000}">
      <text>
        <r>
          <rPr>
            <b/>
            <sz val="9"/>
            <color indexed="81"/>
            <rFont val="Tahoma"/>
            <family val="2"/>
          </rPr>
          <t>Quantumuser:</t>
        </r>
        <r>
          <rPr>
            <sz val="9"/>
            <color indexed="81"/>
            <rFont val="Tahoma"/>
            <family val="2"/>
          </rPr>
          <t xml:space="preserve">
ต้องปิดขั้นต่ำ 50%
LR จาก 1% เป็น 2% เริ่ม 1 Jan'22</t>
        </r>
      </text>
    </comment>
    <comment ref="J8" authorId="0" shapeId="0" xr:uid="{00000000-0006-0000-0400-000006000000}">
      <text>
        <r>
          <rPr>
            <b/>
            <sz val="9"/>
            <color indexed="81"/>
            <rFont val="Tahoma"/>
            <family val="2"/>
          </rPr>
          <t>Quantumuser:</t>
        </r>
        <r>
          <rPr>
            <sz val="9"/>
            <color indexed="81"/>
            <rFont val="Tahoma"/>
            <family val="2"/>
          </rPr>
          <t xml:space="preserve">
rev0 = 26 KT
rev1 = 33 KT
</t>
        </r>
      </text>
    </comment>
    <comment ref="K8" authorId="0" shapeId="0" xr:uid="{00000000-0006-0000-0400-000007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0000000-0006-0000-0400-000008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00000000-0006-0000-0400-000009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00000000-0006-0000-0400-00000A000000}">
      <text>
        <r>
          <rPr>
            <b/>
            <sz val="9"/>
            <color indexed="81"/>
            <rFont val="Tahoma"/>
            <family val="2"/>
          </rPr>
          <t>Windows User:</t>
        </r>
        <r>
          <rPr>
            <sz val="9"/>
            <color indexed="81"/>
            <rFont val="Tahoma"/>
            <family val="2"/>
          </rPr>
          <t xml:space="preserve">
ดึง import ได้ max 3 KT</t>
        </r>
      </text>
    </comment>
    <comment ref="S8" authorId="1" shapeId="0" xr:uid="{00000000-0006-0000-0400-00000B000000}">
      <text>
        <r>
          <rPr>
            <b/>
            <sz val="9"/>
            <color indexed="81"/>
            <rFont val="Tahoma"/>
            <family val="2"/>
          </rPr>
          <t>Windows User:</t>
        </r>
        <r>
          <rPr>
            <sz val="9"/>
            <color indexed="81"/>
            <rFont val="Tahoma"/>
            <family val="2"/>
          </rPr>
          <t xml:space="preserve">
import ที่สามารถดึงได้ 13 KT
</t>
        </r>
      </text>
    </comment>
    <comment ref="U8" authorId="1" shapeId="0" xr:uid="{00000000-0006-0000-0400-00000C000000}">
      <text>
        <r>
          <rPr>
            <b/>
            <sz val="9"/>
            <color indexed="81"/>
            <rFont val="Tahoma"/>
            <family val="2"/>
          </rPr>
          <t>Windows User:</t>
        </r>
        <r>
          <rPr>
            <sz val="9"/>
            <color indexed="81"/>
            <rFont val="Tahoma"/>
            <family val="2"/>
          </rPr>
          <t xml:space="preserve">
GC 6 
PTTOR 4</t>
        </r>
      </text>
    </comment>
    <comment ref="Z8" authorId="1" shapeId="0" xr:uid="{00000000-0006-0000-0400-00000D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xr:uid="{00000000-0006-0000-0400-00000E000000}">
      <text>
        <r>
          <rPr>
            <b/>
            <sz val="9"/>
            <color indexed="81"/>
            <rFont val="Tahoma"/>
            <family val="2"/>
          </rPr>
          <t>Windows User:</t>
        </r>
        <r>
          <rPr>
            <sz val="9"/>
            <color indexed="81"/>
            <rFont val="Tahoma"/>
            <family val="2"/>
          </rPr>
          <t xml:space="preserve">
import เมย์จะดึง 34.5 KT</t>
        </r>
      </text>
    </comment>
    <comment ref="AC8" authorId="1" shapeId="0" xr:uid="{00000000-0006-0000-0400-00000F000000}">
      <text>
        <r>
          <rPr>
            <b/>
            <sz val="9"/>
            <color indexed="81"/>
            <rFont val="Tahoma"/>
            <family val="2"/>
          </rPr>
          <t>Windows User:</t>
        </r>
        <r>
          <rPr>
            <sz val="9"/>
            <color indexed="81"/>
            <rFont val="Tahoma"/>
            <family val="2"/>
          </rPr>
          <t xml:space="preserve">
rev0 = 36
rev1 = 30 เนื่องจาก OR demand drop 2-7.5 KT</t>
        </r>
      </text>
    </comment>
    <comment ref="AD8" authorId="0" shapeId="0" xr:uid="{00000000-0006-0000-0400-000010000000}">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0" shapeId="0" xr:uid="{00000000-0006-0000-0400-000011000000}">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0" shapeId="0" xr:uid="{00000000-0006-0000-0400-000012000000}">
      <text>
        <r>
          <rPr>
            <b/>
            <sz val="9"/>
            <color indexed="81"/>
            <rFont val="Tahoma"/>
            <family val="2"/>
          </rPr>
          <t>Quantumuser:</t>
        </r>
        <r>
          <rPr>
            <sz val="9"/>
            <color indexed="81"/>
            <rFont val="Tahoma"/>
            <family val="2"/>
          </rPr>
          <t xml:space="preserve">
Rev0 =31
rev1 =26 Dom demand drop แต่ต้องดึง 26 เพื่อไม่เกิด dem
rev2 = 23 inventory เพิ่ม + demand export increase 1.5 --&gt; 6.1
rev2 </t>
        </r>
      </text>
    </comment>
    <comment ref="AG8" authorId="0" shapeId="0" xr:uid="{00000000-0006-0000-0400-000013000000}">
      <text>
        <r>
          <rPr>
            <b/>
            <sz val="9"/>
            <color indexed="81"/>
            <rFont val="Tahoma"/>
            <family val="2"/>
          </rPr>
          <t>Quantumuser:</t>
        </r>
        <r>
          <rPr>
            <sz val="9"/>
            <color indexed="81"/>
            <rFont val="Tahoma"/>
            <family val="2"/>
          </rPr>
          <t xml:space="preserve">
เมย์ได้อีก 4.5</t>
        </r>
      </text>
    </comment>
    <comment ref="AH8" authorId="0" shapeId="0" xr:uid="{00000000-0006-0000-0400-000014000000}">
      <text>
        <r>
          <rPr>
            <b/>
            <sz val="9"/>
            <color indexed="81"/>
            <rFont val="Tahoma"/>
            <family val="2"/>
          </rPr>
          <t>Quantumuser:</t>
        </r>
        <r>
          <rPr>
            <sz val="9"/>
            <color indexed="81"/>
            <rFont val="Tahoma"/>
            <family val="2"/>
          </rPr>
          <t xml:space="preserve">
มีของแค่ 38KT
Rev1 = 39KT MT ขอดึงเพิ่ม
Rev2 = 39.6 ขอดึงเพิ่ม Run pig
Rev3 = 42 GSP runpig ท่อไป MT ทำให้ มีของ Tax ส่งไปจ่ายลูกค้าไม่พอต้องเอา untax จ่าย
</t>
        </r>
      </text>
    </comment>
    <comment ref="AI8" authorId="0" shapeId="0" xr:uid="{00000000-0006-0000-0400-000015000000}">
      <text>
        <r>
          <rPr>
            <b/>
            <sz val="9"/>
            <color indexed="81"/>
            <rFont val="Tahoma"/>
            <family val="2"/>
          </rPr>
          <t>Quantumuser:</t>
        </r>
        <r>
          <rPr>
            <sz val="9"/>
            <color indexed="81"/>
            <rFont val="Tahoma"/>
            <family val="2"/>
          </rPr>
          <t xml:space="preserve">
กผ ขอดึง 29KT</t>
        </r>
      </text>
    </comment>
    <comment ref="U9" authorId="1" shapeId="0" xr:uid="{00000000-0006-0000-0400-000016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1" shapeId="0" xr:uid="{00000000-0006-0000-0400-000017000000}">
      <text>
        <r>
          <rPr>
            <b/>
            <sz val="9"/>
            <color indexed="81"/>
            <rFont val="Tahoma"/>
            <family val="2"/>
          </rPr>
          <t>Windows User:</t>
        </r>
        <r>
          <rPr>
            <sz val="9"/>
            <color indexed="81"/>
            <rFont val="Tahoma"/>
            <family val="2"/>
          </rPr>
          <t xml:space="preserve">
GSP ลดกำลังการผลิต -4 KT
SGP - 3.2 KT
PTT TANK -2 KT
</t>
        </r>
      </text>
    </comment>
    <comment ref="AF9" authorId="0" shapeId="0" xr:uid="{00000000-0006-0000-0400-000018000000}">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I9" authorId="1" shapeId="0" xr:uid="{00000000-0006-0000-0400-000019000000}">
      <text>
        <r>
          <rPr>
            <b/>
            <sz val="9"/>
            <color indexed="81"/>
            <rFont val="Tahoma"/>
            <family val="2"/>
          </rPr>
          <t xml:space="preserve">Windows User:
</t>
        </r>
        <r>
          <rPr>
            <sz val="9"/>
            <color indexed="81"/>
            <rFont val="Tahoma"/>
            <family val="2"/>
          </rPr>
          <t>Balance ถัง ส่งไป BRP 0.5 KT
HMC รับเกิน 0.6 KT</t>
        </r>
      </text>
    </comment>
    <comment ref="AC17" authorId="0" shapeId="0" xr:uid="{00000000-0006-0000-0400-00001A000000}">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0" shapeId="0" xr:uid="{00000000-0006-0000-0400-00001B000000}">
      <text>
        <r>
          <rPr>
            <b/>
            <sz val="9"/>
            <color indexed="81"/>
            <rFont val="Tahoma"/>
            <family val="2"/>
          </rPr>
          <t>Quantumuser:</t>
        </r>
        <r>
          <rPr>
            <sz val="9"/>
            <color indexed="81"/>
            <rFont val="Tahoma"/>
            <family val="2"/>
          </rPr>
          <t xml:space="preserve">
rev0 =3KT
rev1 = 3.9KT KT cross ไปช่วยรายวัน LPG petro ต่ำ</t>
        </r>
      </text>
    </comment>
    <comment ref="AI18" authorId="0" shapeId="0" xr:uid="{00000000-0006-0000-0400-00001C000000}">
      <text>
        <r>
          <rPr>
            <b/>
            <sz val="9"/>
            <color indexed="81"/>
            <rFont val="Tahoma"/>
            <family val="2"/>
          </rPr>
          <t>Quantumuser:</t>
        </r>
        <r>
          <rPr>
            <sz val="9"/>
            <color indexed="81"/>
            <rFont val="Tahoma"/>
            <family val="2"/>
          </rPr>
          <t xml:space="preserve">
ต้อง cross 6.3 เนื่องจาก invent ต่ำก่อนเรือเข้า</t>
        </r>
      </text>
    </comment>
    <comment ref="AC31" authorId="0" shapeId="0" xr:uid="{00000000-0006-0000-0400-00001D000000}">
      <text>
        <r>
          <rPr>
            <b/>
            <sz val="9"/>
            <color indexed="81"/>
            <rFont val="Tahoma"/>
            <family val="2"/>
          </rPr>
          <t>Quantumuser:</t>
        </r>
        <r>
          <rPr>
            <sz val="9"/>
            <color indexed="81"/>
            <rFont val="Tahoma"/>
            <family val="2"/>
          </rPr>
          <t xml:space="preserve">
+/- หลักการเดี่ยวกับข้างบน
ถามบ๋อม</t>
        </r>
      </text>
    </comment>
    <comment ref="AC36" authorId="0" shapeId="0" xr:uid="{00000000-0006-0000-0400-00001E000000}">
      <text>
        <r>
          <rPr>
            <b/>
            <sz val="9"/>
            <color indexed="81"/>
            <rFont val="Tahoma"/>
            <family val="2"/>
          </rPr>
          <t>Quantumuser:</t>
        </r>
        <r>
          <rPr>
            <sz val="9"/>
            <color indexed="81"/>
            <rFont val="Tahoma"/>
            <family val="2"/>
          </rPr>
          <t xml:space="preserve">
สีแดง = tank cap</t>
        </r>
      </text>
    </comment>
    <comment ref="M46" authorId="0" shapeId="0" xr:uid="{00000000-0006-0000-0400-00001F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00000000-0006-0000-0400-000020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xr:uid="{00000000-0006-0000-0400-000021000000}">
      <text>
        <r>
          <rPr>
            <b/>
            <sz val="9"/>
            <color indexed="81"/>
            <rFont val="Tahoma"/>
            <family val="2"/>
          </rPr>
          <t>Windows User:
ability row 50</t>
        </r>
        <r>
          <rPr>
            <b/>
            <sz val="9"/>
            <color indexed="81"/>
            <rFont val="Tahoma"/>
            <family val="2"/>
          </rPr>
          <t xml:space="preserve">
</t>
        </r>
      </text>
    </comment>
    <comment ref="AE55" authorId="0" shapeId="0" xr:uid="{00000000-0006-0000-0400-000022000000}">
      <text>
        <r>
          <rPr>
            <b/>
            <sz val="9"/>
            <color indexed="81"/>
            <rFont val="Tahoma"/>
            <family val="2"/>
          </rPr>
          <t>Quantumuser:</t>
        </r>
        <r>
          <rPr>
            <sz val="9"/>
            <color indexed="81"/>
            <rFont val="Tahoma"/>
            <family val="2"/>
          </rPr>
          <t xml:space="preserve">
rev0 =50.1794210852837
rev1 =48.061</t>
        </r>
      </text>
    </comment>
    <comment ref="A57" authorId="1" shapeId="0" xr:uid="{00000000-0006-0000-0400-000023000000}">
      <text>
        <r>
          <rPr>
            <b/>
            <sz val="9"/>
            <color indexed="81"/>
            <rFont val="Tahoma"/>
            <family val="2"/>
          </rPr>
          <t>Windows User:</t>
        </r>
        <r>
          <rPr>
            <sz val="9"/>
            <color indexed="81"/>
            <rFont val="Tahoma"/>
            <family val="2"/>
          </rPr>
          <t xml:space="preserve">
ability row 58</t>
        </r>
      </text>
    </comment>
    <comment ref="A58" authorId="1" shapeId="0" xr:uid="{00000000-0006-0000-0400-000024000000}">
      <text>
        <r>
          <rPr>
            <b/>
            <sz val="9"/>
            <color indexed="81"/>
            <rFont val="Tahoma"/>
            <family val="2"/>
          </rPr>
          <t>Windows User:</t>
        </r>
        <r>
          <rPr>
            <sz val="9"/>
            <color indexed="81"/>
            <rFont val="Tahoma"/>
            <family val="2"/>
          </rPr>
          <t xml:space="preserve">
ability row 59
</t>
        </r>
      </text>
    </comment>
    <comment ref="A59" authorId="1" shapeId="0" xr:uid="{00000000-0006-0000-0400-000025000000}">
      <text>
        <r>
          <rPr>
            <b/>
            <sz val="9"/>
            <color indexed="81"/>
            <rFont val="Tahoma"/>
            <family val="2"/>
          </rPr>
          <t>Windows User:</t>
        </r>
        <r>
          <rPr>
            <sz val="9"/>
            <color indexed="81"/>
            <rFont val="Tahoma"/>
            <family val="2"/>
          </rPr>
          <t xml:space="preserve">
ability row 66</t>
        </r>
      </text>
    </comment>
    <comment ref="G59" authorId="0" shapeId="0" xr:uid="{00000000-0006-0000-0400-000026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0000000-0006-0000-0400-000027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00000000-0006-0000-0400-000028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00000000-0006-0000-0400-000029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00000000-0006-0000-0400-00002A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0000000-0006-0000-0400-00002B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00000000-0006-0000-0400-00002C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00000000-0006-0000-0400-00002D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00000000-0006-0000-0400-00002E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00000000-0006-0000-0400-00002F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00000000-0006-0000-0400-000030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00000000-0006-0000-0400-000031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00000000-0006-0000-0400-000032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00000000-0006-0000-0400-000033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0" shapeId="0" xr:uid="{00000000-0006-0000-0400-000034000000}">
      <text>
        <r>
          <rPr>
            <b/>
            <sz val="9"/>
            <color indexed="81"/>
            <rFont val="Tahoma"/>
            <family val="2"/>
          </rPr>
          <t>Quantumuser:</t>
        </r>
        <r>
          <rPr>
            <sz val="9"/>
            <color indexed="81"/>
            <rFont val="Tahoma"/>
            <family val="2"/>
          </rPr>
          <t xml:space="preserve">
Rev0 =214.002628530209
rev1 =212</t>
        </r>
      </text>
    </comment>
    <comment ref="AF59" authorId="0" shapeId="0" xr:uid="{00000000-0006-0000-0400-000035000000}">
      <text>
        <r>
          <rPr>
            <b/>
            <sz val="9"/>
            <color indexed="81"/>
            <rFont val="Tahoma"/>
            <family val="2"/>
          </rPr>
          <t>Quantumuser:</t>
        </r>
        <r>
          <rPr>
            <sz val="9"/>
            <color indexed="81"/>
            <rFont val="Tahoma"/>
            <family val="2"/>
          </rPr>
          <t xml:space="preserve">
283.116459825357
rev 1= 279</t>
        </r>
      </text>
    </comment>
    <comment ref="AX59" authorId="0" shapeId="0" xr:uid="{00000000-0006-0000-0400-000036000000}">
      <text>
        <r>
          <rPr>
            <b/>
            <sz val="9"/>
            <color indexed="81"/>
            <rFont val="Tahoma"/>
            <family val="2"/>
          </rPr>
          <t>Quantumuser:</t>
        </r>
        <r>
          <rPr>
            <sz val="9"/>
            <color indexed="81"/>
            <rFont val="Tahoma"/>
            <family val="2"/>
          </rPr>
          <t xml:space="preserve">
รวม ขนอม</t>
        </r>
      </text>
    </comment>
    <comment ref="R60" authorId="1" shapeId="0" xr:uid="{00000000-0006-0000-0400-000037000000}">
      <text>
        <r>
          <rPr>
            <b/>
            <sz val="9"/>
            <color indexed="81"/>
            <rFont val="Tahoma"/>
            <family val="2"/>
          </rPr>
          <t>Windows User:</t>
        </r>
        <r>
          <rPr>
            <sz val="9"/>
            <color indexed="81"/>
            <rFont val="Tahoma"/>
            <family val="2"/>
          </rPr>
          <t xml:space="preserve">
rev0= 0.6 KT
rev1 = 0 KT IRPC ESD
</t>
        </r>
      </text>
    </comment>
    <comment ref="V60" authorId="1" shapeId="0" xr:uid="{00000000-0006-0000-0400-000038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00000000-0006-0000-0400-000039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00000000-0006-0000-0400-00003A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0000000-0006-0000-0400-00003B000000}">
      <text>
        <r>
          <rPr>
            <b/>
            <sz val="9"/>
            <color indexed="81"/>
            <rFont val="Tahoma"/>
            <family val="2"/>
          </rPr>
          <t>Quantumuser:</t>
        </r>
        <r>
          <rPr>
            <sz val="9"/>
            <color indexed="81"/>
            <rFont val="Tahoma"/>
            <family val="2"/>
          </rPr>
          <t xml:space="preserve">
rev0 = 21
rev1= 23
</t>
        </r>
      </text>
    </comment>
    <comment ref="N61" authorId="0" shapeId="0" xr:uid="{00000000-0006-0000-0400-00003C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00000000-0006-0000-0400-00003D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00000000-0006-0000-0400-00003E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00000000-0006-0000-0400-00003F000000}">
      <text>
        <r>
          <rPr>
            <b/>
            <sz val="9"/>
            <color indexed="81"/>
            <rFont val="Tahoma"/>
            <family val="2"/>
          </rPr>
          <t>Windows User:</t>
        </r>
        <r>
          <rPr>
            <sz val="9"/>
            <color indexed="81"/>
            <rFont val="Tahoma"/>
            <family val="2"/>
          </rPr>
          <t xml:space="preserve">
rev0 = 0
rev1 = 1.8
rev2 = 1.2</t>
        </r>
      </text>
    </comment>
    <comment ref="W61" authorId="0" shapeId="0" xr:uid="{00000000-0006-0000-0400-000040000000}">
      <text>
        <r>
          <rPr>
            <b/>
            <sz val="9"/>
            <color indexed="81"/>
            <rFont val="Tahoma"/>
            <family val="2"/>
          </rPr>
          <t>Quantumuser:</t>
        </r>
        <r>
          <rPr>
            <sz val="9"/>
            <color indexed="81"/>
            <rFont val="Tahoma"/>
            <family val="2"/>
          </rPr>
          <t xml:space="preserve">
rev0 = 11
rev1 = 13 GC ขอปรับเพิ่ม</t>
        </r>
      </text>
    </comment>
    <comment ref="X61" authorId="1" shapeId="0" xr:uid="{00000000-0006-0000-0400-000041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0000000-0006-0000-0400-000042000000}">
      <text>
        <r>
          <rPr>
            <b/>
            <sz val="9"/>
            <color indexed="81"/>
            <rFont val="Tahoma"/>
            <family val="2"/>
          </rPr>
          <t>Windows User:</t>
        </r>
        <r>
          <rPr>
            <sz val="9"/>
            <color indexed="81"/>
            <rFont val="Tahoma"/>
            <family val="2"/>
          </rPr>
          <t xml:space="preserve">
rev0 = 10
rev1 = 2.5 KT เหตุ GSP5 เลื่อน TD50% ถึง 21 Jan'21
</t>
        </r>
      </text>
    </comment>
    <comment ref="AI61" authorId="1" shapeId="0" xr:uid="{00000000-0006-0000-0400-000043000000}">
      <text>
        <r>
          <rPr>
            <b/>
            <sz val="9"/>
            <color indexed="81"/>
            <rFont val="Tahoma"/>
            <family val="2"/>
          </rPr>
          <t>Windows User:</t>
        </r>
        <r>
          <rPr>
            <sz val="9"/>
            <color indexed="81"/>
            <rFont val="Tahoma"/>
            <family val="2"/>
          </rPr>
          <t xml:space="preserve">
Rev0 = 0
Rev1 = 2.5 KT GC ขอส่งเพิ่ม
rev2 = 4 KT GC แจ้งส่งเพิ่ม ประกอบกับ GSP Daily low ก่อนเรือเข้า วันที่ 10 Nov</t>
        </r>
      </text>
    </comment>
    <comment ref="P62" authorId="1" shapeId="0" xr:uid="{00000000-0006-0000-0400-000044000000}">
      <text>
        <r>
          <rPr>
            <b/>
            <sz val="9"/>
            <color indexed="81"/>
            <rFont val="Tahoma"/>
            <family val="2"/>
          </rPr>
          <t>Windows User:</t>
        </r>
        <r>
          <rPr>
            <sz val="9"/>
            <color indexed="81"/>
            <rFont val="Tahoma"/>
            <family val="2"/>
          </rPr>
          <t xml:space="preserve">
rev0 = 6.3
rev1 = 5.1
rev2 = 4.3
</t>
        </r>
      </text>
    </comment>
    <comment ref="Q62" authorId="1" shapeId="0" xr:uid="{00000000-0006-0000-0400-000045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00000000-0006-0000-0400-000046000000}">
      <text>
        <r>
          <rPr>
            <b/>
            <sz val="9"/>
            <color indexed="81"/>
            <rFont val="Tahoma"/>
            <family val="2"/>
          </rPr>
          <t>Windows User:</t>
        </r>
        <r>
          <rPr>
            <sz val="9"/>
            <color indexed="81"/>
            <rFont val="Tahoma"/>
            <family val="2"/>
          </rPr>
          <t xml:space="preserve">
rev0 = 3.6
rev1 = 3.0 เนื่องจาก WP under </t>
        </r>
      </text>
    </comment>
    <comment ref="V62" authorId="1" shapeId="0" xr:uid="{00000000-0006-0000-0400-000047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00000000-0006-0000-0400-000048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0" shapeId="0" xr:uid="{00000000-0006-0000-0400-000049000000}">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0" shapeId="0" xr:uid="{00000000-0006-0000-0400-00004A000000}">
      <text>
        <r>
          <rPr>
            <b/>
            <sz val="9"/>
            <color indexed="81"/>
            <rFont val="Tahoma"/>
            <family val="2"/>
          </rPr>
          <t>Quantumuser:</t>
        </r>
        <r>
          <rPr>
            <sz val="9"/>
            <color indexed="81"/>
            <rFont val="Tahoma"/>
            <family val="2"/>
          </rPr>
          <t xml:space="preserve">
rev0 =6.12
rev1 = 5.40 SPRC ปรับ production</t>
        </r>
      </text>
    </comment>
    <comment ref="AH62" authorId="0" shapeId="0" xr:uid="{00000000-0006-0000-0400-00004B000000}">
      <text>
        <r>
          <rPr>
            <b/>
            <sz val="9"/>
            <color indexed="81"/>
            <rFont val="Tahoma"/>
            <family val="2"/>
          </rPr>
          <t>Quantumuser:</t>
        </r>
        <r>
          <rPr>
            <sz val="9"/>
            <color indexed="81"/>
            <rFont val="Tahoma"/>
            <family val="2"/>
          </rPr>
          <t xml:space="preserve">
Rev0 = 5.4
Rev1 =4.5 SPRC มีปัญหา Plant</t>
        </r>
      </text>
    </comment>
    <comment ref="AI62" authorId="1" shapeId="0" xr:uid="{00000000-0006-0000-0400-00004C000000}">
      <text>
        <r>
          <rPr>
            <b/>
            <sz val="9"/>
            <color indexed="81"/>
            <rFont val="Tahoma"/>
            <family val="2"/>
          </rPr>
          <t>Windows User:</t>
        </r>
        <r>
          <rPr>
            <sz val="9"/>
            <color indexed="81"/>
            <rFont val="Tahoma"/>
            <family val="2"/>
          </rPr>
          <t xml:space="preserve">
rev0 = 7.4
rev1 = 5.4 SPRC ลด supply</t>
        </r>
      </text>
    </comment>
    <comment ref="F63" authorId="0" shapeId="0" xr:uid="{00000000-0006-0000-0400-00004D000000}">
      <text>
        <r>
          <rPr>
            <b/>
            <sz val="9"/>
            <color indexed="81"/>
            <rFont val="Tahoma"/>
            <family val="2"/>
          </rPr>
          <t>Quantumuser:</t>
        </r>
        <r>
          <rPr>
            <sz val="9"/>
            <color indexed="81"/>
            <rFont val="Tahoma"/>
            <family val="2"/>
          </rPr>
          <t xml:space="preserve">
rrev0 = 5.7
rrev1 = 6.22</t>
        </r>
      </text>
    </comment>
    <comment ref="K63" authorId="0" shapeId="0" xr:uid="{00000000-0006-0000-0400-00004E000000}">
      <text>
        <r>
          <rPr>
            <b/>
            <sz val="9"/>
            <color indexed="81"/>
            <rFont val="Tahoma"/>
            <family val="2"/>
          </rPr>
          <t>Quantumuser:</t>
        </r>
        <r>
          <rPr>
            <sz val="9"/>
            <color indexed="81"/>
            <rFont val="Tahoma"/>
            <family val="2"/>
          </rPr>
          <t xml:space="preserve">
rev0 = 5.85
rev1 = 6.63
</t>
        </r>
      </text>
    </comment>
    <comment ref="R63" authorId="1" shapeId="0" xr:uid="{00000000-0006-0000-0400-00004F000000}">
      <text>
        <r>
          <rPr>
            <b/>
            <sz val="9"/>
            <color indexed="81"/>
            <rFont val="Tahoma"/>
            <family val="2"/>
          </rPr>
          <t>Windows User:</t>
        </r>
        <r>
          <rPr>
            <sz val="9"/>
            <color indexed="81"/>
            <rFont val="Tahoma"/>
            <family val="2"/>
          </rPr>
          <t xml:space="preserve">
rev0 = 5.4
rev 1= 5.7 PTTOR ขอรับเพิ่ม 0.3 KT
</t>
        </r>
      </text>
    </comment>
    <comment ref="V63" authorId="0" shapeId="0" xr:uid="{00000000-0006-0000-0400-000050000000}">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0" shapeId="0" xr:uid="{00000000-0006-0000-0400-000051000000}">
      <text>
        <r>
          <rPr>
            <b/>
            <sz val="9"/>
            <color indexed="81"/>
            <rFont val="Tahoma"/>
            <family val="2"/>
          </rPr>
          <t>Quantumuser:</t>
        </r>
        <r>
          <rPr>
            <sz val="9"/>
            <color indexed="81"/>
            <rFont val="Tahoma"/>
            <family val="2"/>
          </rPr>
          <t xml:space="preserve">
rev0 = 5.55
rev1 = 5.99 PTTEP production increase</t>
        </r>
      </text>
    </comment>
    <comment ref="AH63" authorId="0" shapeId="0" xr:uid="{00000000-0006-0000-0400-000052000000}">
      <text>
        <r>
          <rPr>
            <b/>
            <sz val="9"/>
            <color indexed="81"/>
            <rFont val="Tahoma"/>
            <family val="2"/>
          </rPr>
          <t>Quantumuser:</t>
        </r>
        <r>
          <rPr>
            <sz val="9"/>
            <color indexed="81"/>
            <rFont val="Tahoma"/>
            <family val="2"/>
          </rPr>
          <t xml:space="preserve">
</t>
        </r>
      </text>
    </comment>
    <comment ref="K64" authorId="0" shapeId="0" xr:uid="{00000000-0006-0000-0400-000053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00000000-0006-0000-0400-000054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00000000-0006-0000-0400-000055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0000000-0006-0000-0400-000056000000}">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0000000-0006-0000-0400-000057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xr:uid="{00000000-0006-0000-0400-000058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0" shapeId="0" xr:uid="{00000000-0006-0000-0400-000059000000}">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0" shapeId="0" xr:uid="{00000000-0006-0000-0400-00005A000000}">
      <text>
        <r>
          <rPr>
            <b/>
            <sz val="9"/>
            <color indexed="81"/>
            <rFont val="Tahoma"/>
            <family val="2"/>
          </rPr>
          <t>Quantumuser:</t>
        </r>
        <r>
          <rPr>
            <sz val="9"/>
            <color indexed="81"/>
            <rFont val="Tahoma"/>
            <family val="2"/>
          </rPr>
          <t xml:space="preserve">
rev0 =8.37
rev1 = 9 or demand increase และ KHM มีของ</t>
        </r>
      </text>
    </comment>
    <comment ref="D98" authorId="1" shapeId="0" xr:uid="{00000000-0006-0000-0400-00005B000000}">
      <text>
        <r>
          <rPr>
            <b/>
            <sz val="9"/>
            <color indexed="81"/>
            <rFont val="Tahoma"/>
            <family val="2"/>
          </rPr>
          <t>Windows User:</t>
        </r>
        <r>
          <rPr>
            <sz val="9"/>
            <color indexed="81"/>
            <rFont val="Tahoma"/>
            <family val="2"/>
          </rPr>
          <t xml:space="preserve">
Port chart 4-6 $/Ton (split 22 KT)</t>
        </r>
      </text>
    </comment>
    <comment ref="AB98" authorId="1" shapeId="0" xr:uid="{00000000-0006-0000-0400-00005C000000}">
      <text>
        <r>
          <rPr>
            <b/>
            <sz val="9"/>
            <color indexed="81"/>
            <rFont val="Tahoma"/>
            <family val="2"/>
          </rPr>
          <t>Windows User:</t>
        </r>
        <r>
          <rPr>
            <sz val="9"/>
            <color indexed="81"/>
            <rFont val="Tahoma"/>
            <family val="2"/>
          </rPr>
          <t xml:space="preserve">
MOC ทางเรือ</t>
        </r>
      </text>
    </comment>
    <comment ref="AD98" authorId="1" shapeId="0" xr:uid="{00000000-0006-0000-0400-00005D000000}">
      <text>
        <r>
          <rPr>
            <b/>
            <sz val="9"/>
            <color indexed="81"/>
            <rFont val="Tahoma"/>
            <family val="2"/>
          </rPr>
          <t>Windows User:</t>
        </r>
        <r>
          <rPr>
            <sz val="9"/>
            <color indexed="81"/>
            <rFont val="Tahoma"/>
            <family val="2"/>
          </rPr>
          <t xml:space="preserve">
SCG request 23 Jun - 2Jul</t>
        </r>
      </text>
    </comment>
    <comment ref="AK98" authorId="0" shapeId="0" xr:uid="{00000000-0006-0000-0400-00005E000000}">
      <text>
        <r>
          <rPr>
            <b/>
            <sz val="9"/>
            <color indexed="81"/>
            <rFont val="Tahoma"/>
            <family val="2"/>
          </rPr>
          <t>Quantumuser:</t>
        </r>
        <r>
          <rPr>
            <sz val="9"/>
            <color indexed="81"/>
            <rFont val="Tahoma"/>
            <family val="2"/>
          </rPr>
          <t xml:space="preserve">
as of 26.10
Diff cp Jan feb ดีกว่า feb mar
ของเก่าทิ้ง
Demand Jan = 13.481 KT (ท่อ 8.481 + Import 5 KT)
Demand Feb = 12.177 KT (ท่อ 4 + Import 8.18 KT)</t>
        </r>
      </text>
    </comment>
    <comment ref="AL98" authorId="1" shapeId="0" xr:uid="{00000000-0006-0000-0400-00005F000000}">
      <text>
        <r>
          <rPr>
            <b/>
            <sz val="9"/>
            <color indexed="81"/>
            <rFont val="Tahoma"/>
            <family val="2"/>
          </rPr>
          <t>Windows User:</t>
        </r>
        <r>
          <rPr>
            <sz val="9"/>
            <color indexed="81"/>
            <rFont val="Tahoma"/>
            <family val="2"/>
          </rPr>
          <t xml:space="preserve">
รวบ 34.5 KT
Jan'22 = 7 
Feb'22 = 13.5
Mar'22 = 14</t>
        </r>
      </text>
    </comment>
    <comment ref="D99" authorId="1" shapeId="0" xr:uid="{00000000-0006-0000-0400-000060000000}">
      <text>
        <r>
          <rPr>
            <b/>
            <sz val="9"/>
            <color indexed="81"/>
            <rFont val="Tahoma"/>
            <family val="2"/>
          </rPr>
          <t>Windows User:</t>
        </r>
        <r>
          <rPr>
            <sz val="9"/>
            <color indexed="81"/>
            <rFont val="Tahoma"/>
            <family val="2"/>
          </rPr>
          <t xml:space="preserve">
Port chart 4-6 $/Ton (split 22 KT)</t>
        </r>
      </text>
    </comment>
    <comment ref="D100" authorId="1" shapeId="0" xr:uid="{00000000-0006-0000-0400-000061000000}">
      <text>
        <r>
          <rPr>
            <b/>
            <sz val="9"/>
            <color indexed="81"/>
            <rFont val="Tahoma"/>
            <family val="2"/>
          </rPr>
          <t>Windows User:</t>
        </r>
        <r>
          <rPr>
            <sz val="9"/>
            <color indexed="81"/>
            <rFont val="Tahoma"/>
            <family val="2"/>
          </rPr>
          <t xml:space="preserve">
Port chart 4-6 $/Ton (split 22 KT)</t>
        </r>
      </text>
    </comment>
    <comment ref="D101" authorId="1" shapeId="0" xr:uid="{00000000-0006-0000-0400-000062000000}">
      <text>
        <r>
          <rPr>
            <b/>
            <sz val="9"/>
            <color indexed="81"/>
            <rFont val="Tahoma"/>
            <family val="2"/>
          </rPr>
          <t>Windows User:</t>
        </r>
        <r>
          <rPr>
            <sz val="9"/>
            <color indexed="81"/>
            <rFont val="Tahoma"/>
            <family val="2"/>
          </rPr>
          <t xml:space="preserve">
Port chart 4-6 $/Ton (split 22 KT)</t>
        </r>
      </text>
    </comment>
    <comment ref="D102" authorId="1" shapeId="0" xr:uid="{00000000-0006-0000-0400-000063000000}">
      <text>
        <r>
          <rPr>
            <b/>
            <sz val="9"/>
            <color indexed="81"/>
            <rFont val="Tahoma"/>
            <family val="2"/>
          </rPr>
          <t>Windows User:</t>
        </r>
        <r>
          <rPr>
            <sz val="9"/>
            <color indexed="81"/>
            <rFont val="Tahoma"/>
            <family val="2"/>
          </rPr>
          <t xml:space="preserve">
Port chart 4-6 $/Ton (split 22 KT)</t>
        </r>
      </text>
    </comment>
    <comment ref="E109" authorId="0" shapeId="0" xr:uid="{00000000-0006-0000-0400-000064000000}">
      <text>
        <r>
          <rPr>
            <b/>
            <sz val="9"/>
            <color indexed="81"/>
            <rFont val="Tahoma"/>
            <family val="2"/>
          </rPr>
          <t>Quantumuser:</t>
        </r>
        <r>
          <rPr>
            <sz val="9"/>
            <color indexed="81"/>
            <rFont val="Tahoma"/>
            <family val="2"/>
          </rPr>
          <t xml:space="preserve">
rev0 = 90.5 (import 14.5 KT)
rev1 = 95 KT</t>
        </r>
      </text>
    </comment>
    <comment ref="G109" authorId="1" shapeId="0" xr:uid="{00000000-0006-0000-0400-000065000000}">
      <text>
        <r>
          <rPr>
            <b/>
            <sz val="9"/>
            <color indexed="81"/>
            <rFont val="Tahoma"/>
            <family val="2"/>
          </rPr>
          <t>Windows User:</t>
        </r>
        <r>
          <rPr>
            <sz val="9"/>
            <color indexed="81"/>
            <rFont val="Tahoma"/>
            <family val="2"/>
          </rPr>
          <t xml:space="preserve">
rev0 =74 
rev1= 72 KT cause GSP3 trip</t>
        </r>
      </text>
    </comment>
    <comment ref="H109" authorId="1" shapeId="0" xr:uid="{00000000-0006-0000-0400-000066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9" authorId="0" shapeId="0" xr:uid="{00000000-0006-0000-0400-000067000000}">
      <text>
        <r>
          <rPr>
            <b/>
            <sz val="9"/>
            <color indexed="81"/>
            <rFont val="Tahoma"/>
            <family val="2"/>
          </rPr>
          <t>Quantumuser:</t>
        </r>
        <r>
          <rPr>
            <sz val="9"/>
            <color indexed="81"/>
            <rFont val="Tahoma"/>
            <family val="2"/>
          </rPr>
          <t xml:space="preserve">
rev0 = 61.5
rev1 = 62 KT เนื่องจาก carry over C3 from Aug 0.5 KT</t>
        </r>
      </text>
    </comment>
    <comment ref="J109" authorId="1" shapeId="0" xr:uid="{00000000-0006-0000-0400-000068000000}">
      <text>
        <r>
          <rPr>
            <b/>
            <sz val="9"/>
            <color indexed="81"/>
            <rFont val="Tahoma"/>
            <family val="2"/>
          </rPr>
          <t>Windows User:
rev0 = 62
rev1 = 65.6
rev2 = 66 KT
rev3 = 67 KT
rev4 = 63 KT (โยกไปพย 4 KT)</t>
        </r>
      </text>
    </comment>
    <comment ref="K109" authorId="0" shapeId="0" xr:uid="{00000000-0006-0000-0400-000069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9" authorId="0" shapeId="0" xr:uid="{00000000-0006-0000-0400-00006A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9" authorId="0" shapeId="0" xr:uid="{00000000-0006-0000-0400-00006B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9" authorId="0" shapeId="0" xr:uid="{00000000-0006-0000-0400-00006C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9" authorId="0" shapeId="0" xr:uid="{00000000-0006-0000-0400-00006D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9" authorId="0" shapeId="0" xr:uid="{00000000-0006-0000-0400-00006E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9" authorId="1" shapeId="0" xr:uid="{00000000-0006-0000-0400-00006F000000}">
      <text>
        <r>
          <rPr>
            <b/>
            <sz val="9"/>
            <color indexed="81"/>
            <rFont val="Tahoma"/>
            <family val="2"/>
          </rPr>
          <t xml:space="preserve">Windows User:
Feb </t>
        </r>
        <r>
          <rPr>
            <sz val="9"/>
            <color indexed="81"/>
            <rFont val="Tahoma"/>
            <family val="2"/>
          </rPr>
          <t>57.488
Mar 36.591</t>
        </r>
      </text>
    </comment>
    <comment ref="R109" authorId="0" shapeId="0" xr:uid="{00000000-0006-0000-0400-000070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9" authorId="1" shapeId="0" xr:uid="{00000000-0006-0000-0400-000071000000}">
      <text>
        <r>
          <rPr>
            <b/>
            <sz val="9"/>
            <color indexed="81"/>
            <rFont val="Tahoma"/>
            <family val="2"/>
          </rPr>
          <t>Windows User:</t>
        </r>
        <r>
          <rPr>
            <sz val="9"/>
            <color indexed="81"/>
            <rFont val="Tahoma"/>
            <family val="2"/>
          </rPr>
          <t xml:space="preserve">
Feb 61.541
Mar 25.252</t>
        </r>
      </text>
    </comment>
    <comment ref="Q111" authorId="1" shapeId="0" xr:uid="{00000000-0006-0000-0400-000072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11" authorId="1" shapeId="0" xr:uid="{00000000-0006-0000-0400-000073000000}">
      <text>
        <r>
          <rPr>
            <b/>
            <sz val="9"/>
            <color indexed="81"/>
            <rFont val="Tahoma"/>
            <family val="2"/>
          </rPr>
          <t>Windows User:</t>
        </r>
        <r>
          <rPr>
            <sz val="9"/>
            <color indexed="81"/>
            <rFont val="Tahoma"/>
            <family val="2"/>
          </rPr>
          <t xml:space="preserve">
ก่อนเกิดเหต GSP5 = 23 KT
</t>
        </r>
      </text>
    </comment>
    <comment ref="X111" authorId="1" shapeId="0" xr:uid="{00000000-0006-0000-0400-000074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111" authorId="1" shapeId="0" xr:uid="{00000000-0006-0000-0400-000075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11" authorId="1" shapeId="0" xr:uid="{00000000-0006-0000-0400-000076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11" authorId="1" shapeId="0" xr:uid="{00000000-0006-0000-0400-000077000000}">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11" authorId="1" shapeId="0" xr:uid="{00000000-0006-0000-0400-000078000000}">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11" authorId="0" shapeId="0" xr:uid="{00000000-0006-0000-0400-000079000000}">
      <text>
        <r>
          <rPr>
            <b/>
            <sz val="9"/>
            <color indexed="81"/>
            <rFont val="Tahoma"/>
            <family val="2"/>
          </rPr>
          <t>Quantumuser:</t>
        </r>
        <r>
          <rPr>
            <sz val="9"/>
            <color indexed="81"/>
            <rFont val="Tahoma"/>
            <family val="2"/>
          </rPr>
          <t xml:space="preserve">
Oleflex SD Aug'20 -Sep'20</t>
        </r>
      </text>
    </comment>
    <comment ref="AG111" authorId="0" shapeId="0" xr:uid="{00000000-0006-0000-0400-00007A000000}">
      <text>
        <r>
          <rPr>
            <b/>
            <sz val="9"/>
            <color indexed="81"/>
            <rFont val="Tahoma"/>
            <family val="2"/>
          </rPr>
          <t>Quantumuser:</t>
        </r>
        <r>
          <rPr>
            <sz val="9"/>
            <color indexed="81"/>
            <rFont val="Tahoma"/>
            <family val="2"/>
          </rPr>
          <t xml:space="preserve">
Oleflex SD Aug'20 -Sep'20
BZ 20.7259301179628 KT
Rev0 = 21.6 KT</t>
        </r>
      </text>
    </comment>
    <comment ref="AH111" authorId="0" shapeId="0" xr:uid="{00000000-0006-0000-0400-00007B000000}">
      <text>
        <r>
          <rPr>
            <b/>
            <sz val="9"/>
            <color indexed="81"/>
            <rFont val="Tahoma"/>
            <family val="2"/>
          </rPr>
          <t>Quantumuser:</t>
        </r>
        <r>
          <rPr>
            <sz val="9"/>
            <color indexed="81"/>
            <rFont val="Tahoma"/>
            <family val="2"/>
          </rPr>
          <t xml:space="preserve">
Rev0 = 22.32
rev1 =17.11 Gc ให้ AC</t>
        </r>
      </text>
    </comment>
    <comment ref="AI111" authorId="0" shapeId="0" xr:uid="{00000000-0006-0000-0400-00007C000000}">
      <text>
        <r>
          <rPr>
            <b/>
            <sz val="9"/>
            <color indexed="81"/>
            <rFont val="Tahoma"/>
            <family val="2"/>
          </rPr>
          <t>Quantumuser:</t>
        </r>
        <r>
          <rPr>
            <sz val="9"/>
            <color indexed="81"/>
            <rFont val="Tahoma"/>
            <family val="2"/>
          </rPr>
          <t xml:space="preserve">
Rev0 =21.6
Rev1 = 18.00 GSP prd drop
Oleflex unit มีแผนหยุดซ่อมบำรุง พย. 64 - ธค. 64</t>
        </r>
      </text>
    </comment>
    <comment ref="AJ111" authorId="0" shapeId="0" xr:uid="{00000000-0006-0000-0400-00007D000000}">
      <text>
        <r>
          <rPr>
            <b/>
            <sz val="9"/>
            <color indexed="81"/>
            <rFont val="Tahoma"/>
            <family val="2"/>
          </rPr>
          <t xml:space="preserve">Quantumuser:
</t>
        </r>
        <r>
          <rPr>
            <sz val="9"/>
            <color indexed="81"/>
            <rFont val="Tahoma"/>
            <family val="2"/>
          </rPr>
          <t xml:space="preserve"> 22.32 -&gt; 13 
Oleflex unit มีแผนหยุดซ่อมบำรุง พย. 64 - ธค. 64</t>
        </r>
      </text>
    </comment>
    <comment ref="AO111" authorId="1" shapeId="0" xr:uid="{00000000-0006-0000-0400-00007E000000}">
      <text>
        <r>
          <rPr>
            <b/>
            <sz val="9"/>
            <color indexed="81"/>
            <rFont val="Tahoma"/>
            <family val="2"/>
          </rPr>
          <t>Windows User:</t>
        </r>
        <r>
          <rPr>
            <sz val="9"/>
            <color indexed="81"/>
            <rFont val="Tahoma"/>
            <family val="2"/>
          </rPr>
          <t xml:space="preserve">
GC demand 22.32 KT</t>
        </r>
      </text>
    </comment>
    <comment ref="BB111" authorId="0" shapeId="0" xr:uid="{00000000-0006-0000-0400-00007F000000}">
      <text>
        <r>
          <rPr>
            <b/>
            <sz val="9"/>
            <color indexed="81"/>
            <rFont val="Tahoma"/>
            <family val="2"/>
          </rPr>
          <t>Quantumuser:</t>
        </r>
        <r>
          <rPr>
            <sz val="9"/>
            <color indexed="81"/>
            <rFont val="Tahoma"/>
            <family val="2"/>
          </rPr>
          <t xml:space="preserve">
Est. OIP run portion</t>
        </r>
      </text>
    </comment>
    <comment ref="R112" authorId="1" shapeId="0" xr:uid="{00000000-0006-0000-0400-000080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12" authorId="1" shapeId="0" xr:uid="{00000000-0006-0000-0400-000081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12" authorId="0" shapeId="0" xr:uid="{00000000-0006-0000-0400-000082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12" authorId="1" shapeId="0" xr:uid="{00000000-0006-0000-0400-000083000000}">
      <text>
        <r>
          <rPr>
            <b/>
            <sz val="9"/>
            <color indexed="81"/>
            <rFont val="Tahoma"/>
            <family val="2"/>
          </rPr>
          <t>Windows User:</t>
        </r>
        <r>
          <rPr>
            <sz val="9"/>
            <color indexed="81"/>
            <rFont val="Tahoma"/>
            <family val="2"/>
          </rPr>
          <t xml:space="preserve">
25
</t>
        </r>
      </text>
    </comment>
    <comment ref="W112" authorId="1" shapeId="0" xr:uid="{00000000-0006-0000-0400-000084000000}">
      <text>
        <r>
          <rPr>
            <b/>
            <sz val="9"/>
            <color indexed="81"/>
            <rFont val="Tahoma"/>
            <family val="2"/>
          </rPr>
          <t>Windows User:</t>
        </r>
        <r>
          <rPr>
            <sz val="9"/>
            <color indexed="81"/>
            <rFont val="Tahoma"/>
            <family val="2"/>
          </rPr>
          <t xml:space="preserve">
ก่อนเกิดเหต GSP5 = 18.5 KT
 </t>
        </r>
      </text>
    </comment>
    <comment ref="X112" authorId="1" shapeId="0" xr:uid="{00000000-0006-0000-0400-000085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12" authorId="1" shapeId="0" xr:uid="{00000000-0006-0000-0400-000086000000}">
      <text>
        <r>
          <rPr>
            <b/>
            <sz val="9"/>
            <color indexed="81"/>
            <rFont val="Tahoma"/>
            <family val="2"/>
          </rPr>
          <t>Windows User:</t>
        </r>
        <r>
          <rPr>
            <sz val="9"/>
            <color indexed="81"/>
            <rFont val="Tahoma"/>
            <family val="2"/>
          </rPr>
          <t xml:space="preserve">
rev0 = 34.1
rev1 = 33.1 GC แจ้ง drop -1 KT โดยยังอยู่ใน 3%</t>
        </r>
      </text>
    </comment>
    <comment ref="Z112" authorId="1" shapeId="0" xr:uid="{00000000-0006-0000-0400-000087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12" authorId="1" shapeId="0" xr:uid="{00000000-0006-0000-0400-000088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12" authorId="1" shapeId="0" xr:uid="{00000000-0006-0000-0400-000089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12" authorId="1" shapeId="0" xr:uid="{00000000-0006-0000-0400-00008A000000}">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12" authorId="1" shapeId="0" xr:uid="{00000000-0006-0000-0400-00008B000000}">
      <text>
        <r>
          <rPr>
            <b/>
            <sz val="9"/>
            <color indexed="81"/>
            <rFont val="Tahoma"/>
            <family val="2"/>
          </rPr>
          <t>Windows User:</t>
        </r>
        <r>
          <rPr>
            <sz val="9"/>
            <color indexed="81"/>
            <rFont val="Tahoma"/>
            <family val="2"/>
          </rPr>
          <t xml:space="preserve">
rev0 = 38.032
rev1 = 41.279 GSP ต้องการขายเพิ่ม ลด inven</t>
        </r>
      </text>
    </comment>
    <comment ref="AE112" authorId="1" shapeId="0" xr:uid="{00000000-0006-0000-0400-00008C000000}">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12" authorId="0" shapeId="0" xr:uid="{00000000-0006-0000-0400-00008D000000}">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12" authorId="0" shapeId="0" xr:uid="{00000000-0006-0000-0400-00008E000000}">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12" authorId="0" shapeId="0" xr:uid="{00000000-0006-0000-0400-00008F000000}">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12" authorId="0" shapeId="0" xr:uid="{00000000-0006-0000-0400-000090000000}">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12" authorId="0" shapeId="0" xr:uid="{00000000-0006-0000-0400-000091000000}">
      <text>
        <r>
          <rPr>
            <b/>
            <sz val="9"/>
            <color indexed="81"/>
            <rFont val="Tahoma"/>
            <family val="2"/>
          </rPr>
          <t>Quantumuser:</t>
        </r>
        <r>
          <rPr>
            <sz val="9"/>
            <color indexed="81"/>
            <rFont val="Tahoma"/>
            <family val="2"/>
          </rPr>
          <t xml:space="preserve">
rev0 = 20 KT
rev1 = 21.6 KT GC แจ้งรับเพิ่ม</t>
        </r>
      </text>
    </comment>
    <comment ref="AK112" authorId="1" shapeId="0" xr:uid="{00000000-0006-0000-0400-000092000000}">
      <text>
        <r>
          <rPr>
            <b/>
            <sz val="9"/>
            <color indexed="81"/>
            <rFont val="Tahoma"/>
            <family val="2"/>
          </rPr>
          <t>Windows User:</t>
        </r>
        <r>
          <rPr>
            <sz val="9"/>
            <color indexed="81"/>
            <rFont val="Tahoma"/>
            <family val="2"/>
          </rPr>
          <t xml:space="preserve">
rev 0 = 27.094 KT (BZ)
</t>
        </r>
      </text>
    </comment>
    <comment ref="AL112" authorId="1" shapeId="0" xr:uid="{00000000-0006-0000-0400-000093000000}">
      <text>
        <r>
          <rPr>
            <b/>
            <sz val="9"/>
            <color indexed="81"/>
            <rFont val="Tahoma"/>
            <family val="2"/>
          </rPr>
          <t>Windows User:</t>
        </r>
        <r>
          <rPr>
            <sz val="9"/>
            <color indexed="81"/>
            <rFont val="Tahoma"/>
            <family val="2"/>
          </rPr>
          <t xml:space="preserve">
rev0 = 44.3762 KT (BZ)</t>
        </r>
      </text>
    </comment>
    <comment ref="C113" authorId="0" shapeId="0" xr:uid="{00000000-0006-0000-0400-000094000000}">
      <text>
        <r>
          <rPr>
            <b/>
            <sz val="9"/>
            <color indexed="81"/>
            <rFont val="Tahoma"/>
            <family val="2"/>
          </rPr>
          <t>Quantumuser:
ต้องรับ 14-15 T/hr</t>
        </r>
      </text>
    </comment>
    <comment ref="Z113" authorId="1" shapeId="0" xr:uid="{00000000-0006-0000-0400-000095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13" authorId="1" shapeId="0" xr:uid="{00000000-0006-0000-0400-000096000000}">
      <text>
        <r>
          <rPr>
            <b/>
            <sz val="9"/>
            <color indexed="81"/>
            <rFont val="Tahoma"/>
            <family val="2"/>
          </rPr>
          <t>Windows User:</t>
        </r>
        <r>
          <rPr>
            <sz val="9"/>
            <color indexed="81"/>
            <rFont val="Tahoma"/>
            <family val="2"/>
          </rPr>
          <t xml:space="preserve">
MOC ทางท่อ</t>
        </r>
      </text>
    </comment>
    <comment ref="AC113" authorId="1" shapeId="0" xr:uid="{00000000-0006-0000-0400-00009700000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13" authorId="0" shapeId="0" xr:uid="{00000000-0006-0000-0400-000098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13" authorId="0" shapeId="0" xr:uid="{00000000-0006-0000-0400-000099000000}">
      <text>
        <r>
          <rPr>
            <b/>
            <sz val="9"/>
            <color indexed="81"/>
            <rFont val="Tahoma"/>
            <family val="2"/>
          </rPr>
          <t>Quantumuser:</t>
        </r>
        <r>
          <rPr>
            <sz val="9"/>
            <color indexed="81"/>
            <rFont val="Tahoma"/>
            <family val="2"/>
          </rPr>
          <t xml:space="preserve">
Rev0 =6.029
Rev1 = 4.991 ROC nom</t>
        </r>
      </text>
    </comment>
    <comment ref="AH113" authorId="0" shapeId="0" xr:uid="{00000000-0006-0000-0400-00009A000000}">
      <text>
        <r>
          <rPr>
            <b/>
            <sz val="9"/>
            <color indexed="81"/>
            <rFont val="Tahoma"/>
            <family val="2"/>
          </rPr>
          <t>Quantumuser:</t>
        </r>
        <r>
          <rPr>
            <sz val="9"/>
            <color indexed="81"/>
            <rFont val="Tahoma"/>
            <family val="2"/>
          </rPr>
          <t xml:space="preserve">
Rev0 =10.229
Rev1 = 6.7
 ROC nom</t>
        </r>
      </text>
    </comment>
    <comment ref="AI113" authorId="0" shapeId="0" xr:uid="{00000000-0006-0000-0400-00009B000000}">
      <text>
        <r>
          <rPr>
            <b/>
            <sz val="9"/>
            <color indexed="81"/>
            <rFont val="Tahoma"/>
            <family val="2"/>
          </rPr>
          <t>Quantumuser:</t>
        </r>
        <r>
          <rPr>
            <sz val="9"/>
            <color indexed="81"/>
            <rFont val="Tahoma"/>
            <family val="2"/>
          </rPr>
          <t xml:space="preserve">
Rev0 =9.4
rev1 = 8.55 ROC ปรับลด</t>
        </r>
      </text>
    </comment>
    <comment ref="AK113" authorId="1" shapeId="0" xr:uid="{00000000-0006-0000-0400-00009C000000}">
      <text>
        <r>
          <rPr>
            <b/>
            <sz val="9"/>
            <color indexed="81"/>
            <rFont val="Tahoma"/>
            <family val="2"/>
          </rPr>
          <t>Windows User:</t>
        </r>
        <r>
          <rPr>
            <sz val="9"/>
            <color indexed="81"/>
            <rFont val="Tahoma"/>
            <family val="2"/>
          </rPr>
          <t xml:space="preserve">
rev0 = 12.204 KT (SCG requirement)</t>
        </r>
      </text>
    </comment>
    <comment ref="AL113" authorId="1" shapeId="0" xr:uid="{00000000-0006-0000-0400-00009D000000}">
      <text>
        <r>
          <rPr>
            <b/>
            <sz val="9"/>
            <color indexed="81"/>
            <rFont val="Tahoma"/>
            <family val="2"/>
          </rPr>
          <t>Windows User:</t>
        </r>
        <r>
          <rPr>
            <sz val="9"/>
            <color indexed="81"/>
            <rFont val="Tahoma"/>
            <family val="2"/>
          </rPr>
          <t xml:space="preserve">
rev0 = 12.177 KT (SCG LT)</t>
        </r>
      </text>
    </comment>
    <comment ref="AM113" authorId="1" shapeId="0" xr:uid="{00000000-0006-0000-0400-00009E000000}">
      <text>
        <r>
          <rPr>
            <b/>
            <sz val="9"/>
            <color indexed="81"/>
            <rFont val="Tahoma"/>
            <family val="2"/>
          </rPr>
          <t>Windows User:</t>
        </r>
        <r>
          <rPr>
            <sz val="9"/>
            <color indexed="81"/>
            <rFont val="Tahoma"/>
            <family val="2"/>
          </rPr>
          <t xml:space="preserve">
rev0 = 13.481 KT (SCG LT)</t>
        </r>
      </text>
    </comment>
    <comment ref="AH114" authorId="0" shapeId="0" xr:uid="{00000000-0006-0000-0400-00009F000000}">
      <text>
        <r>
          <rPr>
            <b/>
            <sz val="9"/>
            <color indexed="81"/>
            <rFont val="Tahoma"/>
            <family val="2"/>
          </rPr>
          <t>Quantumuser:</t>
        </r>
        <r>
          <rPr>
            <sz val="9"/>
            <color indexed="81"/>
            <rFont val="Tahoma"/>
            <family val="2"/>
          </rPr>
          <t xml:space="preserve">
6.831
</t>
        </r>
      </text>
    </comment>
    <comment ref="AI114" authorId="0" shapeId="0" xr:uid="{00000000-0006-0000-0400-0000A0000000}">
      <text>
        <r>
          <rPr>
            <b/>
            <sz val="9"/>
            <color indexed="81"/>
            <rFont val="Tahoma"/>
            <family val="2"/>
          </rPr>
          <t>Quantumuser:</t>
        </r>
        <r>
          <rPr>
            <sz val="9"/>
            <color indexed="81"/>
            <rFont val="Tahoma"/>
            <family val="2"/>
          </rPr>
          <t xml:space="preserve">
Rev0 =2.5
Rev1 = 2.25 SCG demand drop
</t>
        </r>
      </text>
    </comment>
    <comment ref="AJ114" authorId="0" shapeId="0" xr:uid="{00000000-0006-0000-0400-0000A1000000}">
      <text>
        <r>
          <rPr>
            <b/>
            <sz val="9"/>
            <color indexed="81"/>
            <rFont val="Tahoma"/>
            <family val="2"/>
          </rPr>
          <t>Quantumuser:</t>
        </r>
        <r>
          <rPr>
            <sz val="9"/>
            <color indexed="81"/>
            <rFont val="Tahoma"/>
            <family val="2"/>
          </rPr>
          <t xml:space="preserve">
Rev0=13.784
Rev1 = 10.8 SCG demand drop</t>
        </r>
      </text>
    </comment>
    <comment ref="E115" authorId="0" shapeId="0" xr:uid="{00000000-0006-0000-0400-0000A2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15" authorId="0" shapeId="0" xr:uid="{00000000-0006-0000-0400-0000A3000000}">
      <text>
        <r>
          <rPr>
            <b/>
            <sz val="9"/>
            <color indexed="81"/>
            <rFont val="Tahoma"/>
            <family val="2"/>
          </rPr>
          <t>Quantumuser:</t>
        </r>
        <r>
          <rPr>
            <sz val="9"/>
            <color indexed="81"/>
            <rFont val="Tahoma"/>
            <family val="2"/>
          </rPr>
          <t xml:space="preserve">
rev0 = 35
rev1 = 32 โยกไปรับเดือน พค. ก่อน 3 KT
</t>
        </r>
      </text>
    </comment>
    <comment ref="G115" authorId="1" shapeId="0" xr:uid="{00000000-0006-0000-0400-0000A4000000}">
      <text>
        <r>
          <rPr>
            <b/>
            <sz val="9"/>
            <color indexed="81"/>
            <rFont val="Tahoma"/>
            <family val="2"/>
          </rPr>
          <t>Windows User:</t>
        </r>
        <r>
          <rPr>
            <sz val="9"/>
            <color indexed="81"/>
            <rFont val="Tahoma"/>
            <family val="2"/>
          </rPr>
          <t xml:space="preserve">
rev0 = 19 
rev1= 15 KT cause GSP3 trip</t>
        </r>
      </text>
    </comment>
    <comment ref="L115" authorId="0" shapeId="0" xr:uid="{00000000-0006-0000-0400-0000A5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15" authorId="0" shapeId="0" xr:uid="{00000000-0006-0000-0400-0000A6000000}">
      <text>
        <r>
          <rPr>
            <b/>
            <sz val="9"/>
            <color indexed="81"/>
            <rFont val="Tahoma"/>
            <family val="2"/>
          </rPr>
          <t>Quantumuser:</t>
        </r>
        <r>
          <rPr>
            <sz val="9"/>
            <color indexed="81"/>
            <rFont val="Tahoma"/>
            <family val="2"/>
          </rPr>
          <t xml:space="preserve">
roc base 12 kt
roc spot 9 kt (MOP’J -80)</t>
        </r>
      </text>
    </comment>
    <comment ref="Q115" authorId="0" shapeId="0" xr:uid="{00000000-0006-0000-0400-0000A7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15" authorId="0" shapeId="0" xr:uid="{00000000-0006-0000-0400-0000A8000000}">
      <text>
        <r>
          <rPr>
            <b/>
            <sz val="9"/>
            <color indexed="81"/>
            <rFont val="Tahoma"/>
            <family val="2"/>
          </rPr>
          <t>Quantumuser:</t>
        </r>
        <r>
          <rPr>
            <sz val="9"/>
            <color indexed="81"/>
            <rFont val="Tahoma"/>
            <family val="2"/>
          </rPr>
          <t xml:space="preserve">
MOC TA May- Jun'20
</t>
        </r>
      </text>
    </comment>
    <comment ref="V115" authorId="1" shapeId="0" xr:uid="{00000000-0006-0000-0400-0000A9000000}">
      <text>
        <r>
          <rPr>
            <b/>
            <sz val="9"/>
            <color indexed="81"/>
            <rFont val="Tahoma"/>
            <family val="2"/>
          </rPr>
          <t>Windows User:</t>
        </r>
        <r>
          <rPr>
            <sz val="9"/>
            <color indexed="81"/>
            <rFont val="Tahoma"/>
            <family val="2"/>
          </rPr>
          <t xml:space="preserve">
rev0 = 33.4 
rev1 = 39.4 KT โยกมาจากเดือน May +6 KT
MOC TA</t>
        </r>
      </text>
    </comment>
    <comment ref="W115" authorId="1" shapeId="0" xr:uid="{00000000-0006-0000-0400-0000AA000000}">
      <text>
        <r>
          <rPr>
            <b/>
            <sz val="9"/>
            <color indexed="81"/>
            <rFont val="Tahoma"/>
            <family val="2"/>
          </rPr>
          <t>Windows User:</t>
        </r>
        <r>
          <rPr>
            <sz val="9"/>
            <color indexed="81"/>
            <rFont val="Tahoma"/>
            <family val="2"/>
          </rPr>
          <t xml:space="preserve">
MOC TA</t>
        </r>
      </text>
    </comment>
    <comment ref="Z115" authorId="1" shapeId="0" xr:uid="{00000000-0006-0000-0400-0000AB000000}">
      <text>
        <r>
          <rPr>
            <b/>
            <sz val="9"/>
            <color indexed="81"/>
            <rFont val="Tahoma"/>
            <family val="2"/>
          </rPr>
          <t>Windows User:</t>
        </r>
        <r>
          <rPr>
            <sz val="9"/>
            <color indexed="81"/>
            <rFont val="Tahoma"/>
            <family val="2"/>
          </rPr>
          <t xml:space="preserve">
17.6 KT เป็น Spot price : MOP'J-70</t>
        </r>
      </text>
    </comment>
    <comment ref="AB115" authorId="1" shapeId="0" xr:uid="{00000000-0006-0000-0400-0000AC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15" authorId="1" shapeId="0" xr:uid="{00000000-0006-0000-0400-0000AD00000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15" authorId="1" shapeId="0" xr:uid="{00000000-0006-0000-0400-0000AE000000}">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15" authorId="0" shapeId="0" xr:uid="{00000000-0006-0000-0400-0000AF000000}">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15" authorId="0" shapeId="0" xr:uid="{00000000-0006-0000-0400-0000B0000000}">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15" authorId="0" shapeId="0" xr:uid="{00000000-0006-0000-0400-0000B1000000}">
      <text>
        <r>
          <rPr>
            <b/>
            <sz val="9"/>
            <color indexed="81"/>
            <rFont val="Tahoma"/>
            <family val="2"/>
          </rPr>
          <t>Quantumuser:</t>
        </r>
        <r>
          <rPr>
            <sz val="9"/>
            <color indexed="81"/>
            <rFont val="Tahoma"/>
            <family val="2"/>
          </rPr>
          <t xml:space="preserve">
update 19/07: Max 20KT</t>
        </r>
      </text>
    </comment>
    <comment ref="AI115" authorId="0" shapeId="0" xr:uid="{00000000-0006-0000-0400-0000B2000000}">
      <text>
        <r>
          <rPr>
            <b/>
            <sz val="9"/>
            <color indexed="81"/>
            <rFont val="Tahoma"/>
            <family val="2"/>
          </rPr>
          <t>Quantumuser:</t>
        </r>
        <r>
          <rPr>
            <sz val="9"/>
            <color indexed="81"/>
            <rFont val="Tahoma"/>
            <family val="2"/>
          </rPr>
          <t xml:space="preserve">
Quantumuser:
Rev0 =16.7
</t>
        </r>
      </text>
    </comment>
    <comment ref="C118" authorId="0" shapeId="0" xr:uid="{00000000-0006-0000-0400-0000B3000000}">
      <text>
        <r>
          <rPr>
            <b/>
            <sz val="9"/>
            <color indexed="81"/>
            <rFont val="Tahoma"/>
            <family val="2"/>
          </rPr>
          <t>Quantumuser:</t>
        </r>
        <r>
          <rPr>
            <sz val="9"/>
            <color indexed="81"/>
            <rFont val="Tahoma"/>
            <family val="2"/>
          </rPr>
          <t xml:space="preserve">
980 per day -&gt; run 95%</t>
        </r>
      </text>
    </comment>
    <comment ref="G118" authorId="0" shapeId="0" xr:uid="{00000000-0006-0000-0400-0000B4000000}">
      <text>
        <r>
          <rPr>
            <b/>
            <sz val="9"/>
            <color indexed="81"/>
            <rFont val="Tahoma"/>
            <family val="2"/>
          </rPr>
          <t xml:space="preserve">Quantumuser:
rev0  =27.8
rev1 = 24.5   HMC delay start up
</t>
        </r>
      </text>
    </comment>
    <comment ref="H118" authorId="0" shapeId="0" xr:uid="{00000000-0006-0000-0400-0000B5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18" authorId="0" shapeId="0" xr:uid="{00000000-0006-0000-0400-0000B6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18" authorId="0" shapeId="0" xr:uid="{00000000-0006-0000-0400-0000B7000000}">
      <text>
        <r>
          <rPr>
            <b/>
            <sz val="9"/>
            <color indexed="81"/>
            <rFont val="Tahoma"/>
            <family val="2"/>
          </rPr>
          <t>Quantumuser:</t>
        </r>
        <r>
          <rPr>
            <sz val="9"/>
            <color indexed="81"/>
            <rFont val="Tahoma"/>
            <family val="2"/>
          </rPr>
          <t xml:space="preserve">
rev0 = 32.55 KT
rev1 = 33.48 KT HMC run 100% @1,080 Ton/day</t>
        </r>
      </text>
    </comment>
    <comment ref="K118" authorId="0" shapeId="0" xr:uid="{00000000-0006-0000-0400-0000B8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18" authorId="0" shapeId="0" xr:uid="{00000000-0006-0000-0400-0000B9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18" authorId="0" shapeId="0" xr:uid="{00000000-0006-0000-0400-0000BA000000}">
      <text>
        <r>
          <rPr>
            <b/>
            <sz val="9"/>
            <color indexed="81"/>
            <rFont val="Tahoma"/>
            <family val="2"/>
          </rPr>
          <t>Quantumuser
HMC has planned to receive Propane at 1,060 Ton/day (98%) เพื่อรักษา catalyst ใน reactor</t>
        </r>
      </text>
    </comment>
    <comment ref="N118" authorId="0" shapeId="0" xr:uid="{00000000-0006-0000-0400-0000BB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18" authorId="0" shapeId="0" xr:uid="{00000000-0006-0000-0400-0000BC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18" authorId="0" shapeId="0" xr:uid="{00000000-0006-0000-0400-0000BD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18" authorId="0" shapeId="0" xr:uid="{00000000-0006-0000-0400-0000BE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18" authorId="0" shapeId="0" xr:uid="{00000000-0006-0000-0400-0000BF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18" authorId="0" shapeId="0" xr:uid="{00000000-0006-0000-0400-0000C0000000}">
      <text>
        <r>
          <rPr>
            <b/>
            <sz val="9"/>
            <color indexed="81"/>
            <rFont val="Tahoma"/>
            <family val="2"/>
          </rPr>
          <t xml:space="preserve">Quantumuser
rev0 =27
rev1 = 25.8
</t>
        </r>
      </text>
    </comment>
    <comment ref="U118" authorId="0" shapeId="0" xr:uid="{00000000-0006-0000-0400-0000C1000000}">
      <text>
        <r>
          <rPr>
            <b/>
            <sz val="9"/>
            <color indexed="81"/>
            <rFont val="Tahoma"/>
            <family val="2"/>
          </rPr>
          <t xml:space="preserve">rev0 = 31.8
rev1 = 30.3 </t>
        </r>
      </text>
    </comment>
    <comment ref="V118" authorId="0" shapeId="0" xr:uid="{00000000-0006-0000-0400-0000C2000000}">
      <text>
        <r>
          <rPr>
            <b/>
            <sz val="9"/>
            <color indexed="81"/>
            <rFont val="Tahoma"/>
            <family val="2"/>
          </rPr>
          <t>HMC รับลดลงเหลือ 1000 - 1040 จากแผน 1060 เนื่องจากReactor no3 has high different pressure.</t>
        </r>
      </text>
    </comment>
    <comment ref="W118" authorId="0" shapeId="0" xr:uid="{00000000-0006-0000-0400-0000C3000000}">
      <text>
        <r>
          <rPr>
            <b/>
            <sz val="9"/>
            <color indexed="81"/>
            <rFont val="Tahoma"/>
            <family val="2"/>
          </rPr>
          <t xml:space="preserve">Quantumuser
HMC has planned to receive Propane at 1,080 Ton/day (100%) เนื่องจากเปลี่ยน catalyst ใน reactor ใหม่แล้ว
</t>
        </r>
      </text>
    </comment>
    <comment ref="X118" authorId="0" shapeId="0" xr:uid="{00000000-0006-0000-0400-0000C4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18" authorId="1" shapeId="0" xr:uid="{00000000-0006-0000-0400-0000C5000000}">
      <text>
        <r>
          <rPr>
            <b/>
            <sz val="9"/>
            <color indexed="81"/>
            <rFont val="Tahoma"/>
            <family val="2"/>
          </rPr>
          <t>Windows User:</t>
        </r>
        <r>
          <rPr>
            <sz val="9"/>
            <color indexed="81"/>
            <rFont val="Tahoma"/>
            <family val="2"/>
          </rPr>
          <t xml:space="preserve">
HMC รับ 1,040 Ton/hr.</t>
        </r>
      </text>
    </comment>
    <comment ref="Z118" authorId="1" shapeId="0" xr:uid="{00000000-0006-0000-0400-0000C6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18" authorId="1" shapeId="0" xr:uid="{00000000-0006-0000-0400-0000C7000000}">
      <text>
        <r>
          <rPr>
            <b/>
            <sz val="9"/>
            <color indexed="81"/>
            <rFont val="Tahoma"/>
            <family val="2"/>
          </rPr>
          <t>Windows User:</t>
        </r>
        <r>
          <rPr>
            <sz val="9"/>
            <color indexed="81"/>
            <rFont val="Tahoma"/>
            <family val="2"/>
          </rPr>
          <t xml:space="preserve">
HMC รับ 1,040 Ton/day</t>
        </r>
      </text>
    </comment>
    <comment ref="AB118" authorId="1" shapeId="0" xr:uid="{00000000-0006-0000-0400-0000C8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18" authorId="1" shapeId="0" xr:uid="{00000000-0006-0000-0400-0000C9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18" authorId="1" shapeId="0" xr:uid="{00000000-0006-0000-0400-0000CA000000}">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18" authorId="0" shapeId="0" xr:uid="{00000000-0006-0000-0400-0000CB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18" authorId="0" shapeId="0" xr:uid="{00000000-0006-0000-0400-0000CC000000}">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18" authorId="1" shapeId="0" xr:uid="{00000000-0006-0000-0400-0000CD000000}">
      <text>
        <r>
          <rPr>
            <b/>
            <sz val="9"/>
            <color indexed="81"/>
            <rFont val="Tahoma"/>
            <family val="2"/>
          </rPr>
          <t>Windows User:</t>
        </r>
        <r>
          <rPr>
            <sz val="9"/>
            <color indexed="81"/>
            <rFont val="Tahoma"/>
            <family val="2"/>
          </rPr>
          <t xml:space="preserve">
HMC SD 10 days 22.7
rev0 = 21.84 PDH TA (22 Sep – 31 Oct 2021)
rev1 = 23.1  hmc dispatching plan</t>
        </r>
      </text>
    </comment>
    <comment ref="AH118" authorId="0" shapeId="0" xr:uid="{00000000-0006-0000-0400-0000CE000000}">
      <text>
        <r>
          <rPr>
            <b/>
            <sz val="9"/>
            <color indexed="81"/>
            <rFont val="Tahoma"/>
            <family val="2"/>
          </rPr>
          <t>Quantumuser:</t>
        </r>
        <r>
          <rPr>
            <sz val="9"/>
            <color indexed="81"/>
            <rFont val="Tahoma"/>
            <family val="2"/>
          </rPr>
          <t xml:space="preserve">
HMC SD 30 days 0
rev0 = 3KT PDH TA (22 Sep – 31 Oct 2021)
rev 1 = 0 HMC TA
rev2 =0.3 hmc start เร็วขึ้น 16 Oct
rev3 = 1.45 hmc start ช้า
Rev4 = 1.02 hmc start ช้า</t>
        </r>
      </text>
    </comment>
    <comment ref="AI118" authorId="0" shapeId="0" xr:uid="{00000000-0006-0000-0400-0000CF000000}">
      <text>
        <r>
          <rPr>
            <b/>
            <sz val="9"/>
            <color indexed="81"/>
            <rFont val="Tahoma"/>
            <family val="2"/>
          </rPr>
          <t>Quantumuser:</t>
        </r>
        <r>
          <rPr>
            <sz val="9"/>
            <color indexed="81"/>
            <rFont val="Tahoma"/>
            <family val="2"/>
          </rPr>
          <t xml:space="preserve">
Rev0 31.28
rev1 = 26.7 hmc พบปัญหา start-up
rev2 = 24.3  hmc พบปัญหา start-up
rev3 = 20.851 hmc ขอลดจาก Economics
rev4 = 20.95 hmc ปรับเพิ่ม
rev5 = 21.667 HMC ปรับเพิ่ม Supplier Propylene เจ้าอื่น ส่งของให้ไม่พอ เลยต้องขอ C3 เราเพิ่มเติมเพื่อเดิน PDH Plant
rev6 = 21.297 HMC update rate ลดลง</t>
        </r>
      </text>
    </comment>
    <comment ref="AJ118" authorId="0" shapeId="0" xr:uid="{00000000-0006-0000-0400-0000D0000000}">
      <text>
        <r>
          <rPr>
            <b/>
            <sz val="9"/>
            <color indexed="81"/>
            <rFont val="Tahoma"/>
            <family val="2"/>
          </rPr>
          <t>Quantumuser:</t>
        </r>
        <r>
          <rPr>
            <sz val="9"/>
            <color indexed="81"/>
            <rFont val="Tahoma"/>
            <family val="2"/>
          </rPr>
          <t xml:space="preserve">
rev0 32.55
rev1 31.05 HMC พบปัญหา start-up
Rev2 =29.45 Hmc ปรับลดพบปัญหา
rev3 = 26.97 hmc ขอลดจาก Economics
rev4 = 31 hmc รับเพิ่ม เป็น 1,000 Ton/day
**กัน vol max 32.55 (1,050 Ton/day)
rev5 = 26.97 KT (HMC 15/11/2021)</t>
        </r>
      </text>
    </comment>
    <comment ref="AK118" authorId="1" shapeId="0" xr:uid="{00000000-0006-0000-0400-0000D1000000}">
      <text>
        <r>
          <rPr>
            <b/>
            <sz val="9"/>
            <color indexed="81"/>
            <rFont val="Tahoma"/>
            <family val="2"/>
          </rPr>
          <t>Windows User:</t>
        </r>
        <r>
          <rPr>
            <sz val="9"/>
            <color indexed="81"/>
            <rFont val="Tahoma"/>
            <family val="2"/>
          </rPr>
          <t xml:space="preserve">
rev0 = 32.55 KT 
rev1 = 26.97 KT HMC ขอลดเพราะ economics</t>
        </r>
      </text>
    </comment>
    <comment ref="AR118" authorId="0" shapeId="0" xr:uid="{00000000-0006-0000-0400-0000D2000000}">
      <text>
        <r>
          <rPr>
            <b/>
            <sz val="9"/>
            <color indexed="81"/>
            <rFont val="Tahoma"/>
            <family val="2"/>
          </rPr>
          <t>Quantumuser:</t>
        </r>
        <r>
          <rPr>
            <sz val="9"/>
            <color indexed="81"/>
            <rFont val="Tahoma"/>
            <family val="2"/>
          </rPr>
          <t xml:space="preserve">
S/D 18 Days</t>
        </r>
      </text>
    </comment>
    <comment ref="F119" authorId="0" shapeId="0" xr:uid="{00000000-0006-0000-0400-0000D3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19" authorId="1" shapeId="0" xr:uid="{00000000-0006-0000-0400-0000D4000000}">
      <text>
        <r>
          <rPr>
            <b/>
            <sz val="9"/>
            <color indexed="81"/>
            <rFont val="Tahoma"/>
            <family val="2"/>
          </rPr>
          <t>Windows User:</t>
        </r>
        <r>
          <rPr>
            <sz val="9"/>
            <color indexed="81"/>
            <rFont val="Tahoma"/>
            <family val="2"/>
          </rPr>
          <t xml:space="preserve">
rev0 = 31.837
rev1= 30.837 KT cause GSP3 trip</t>
        </r>
      </text>
    </comment>
    <comment ref="L119" authorId="0" shapeId="0" xr:uid="{00000000-0006-0000-0400-0000D5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19" authorId="0" shapeId="0" xr:uid="{00000000-0006-0000-0400-0000D6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19" authorId="1" shapeId="0" xr:uid="{00000000-0006-0000-0400-0000D7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19" authorId="1" shapeId="0" xr:uid="{00000000-0006-0000-0400-0000D8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19" authorId="1" shapeId="0" xr:uid="{00000000-0006-0000-0400-0000D9000000}">
      <text>
        <r>
          <rPr>
            <b/>
            <sz val="9"/>
            <color indexed="81"/>
            <rFont val="Tahoma"/>
            <family val="2"/>
          </rPr>
          <t>Windows User:</t>
        </r>
        <r>
          <rPr>
            <sz val="9"/>
            <color indexed="81"/>
            <rFont val="Tahoma"/>
            <family val="2"/>
          </rPr>
          <t xml:space="preserve">
rev0 = 27.118
rev1 = 20.55 PTTAC plan to S/D 1 Reactor on 1 Apr’202
</t>
        </r>
      </text>
    </comment>
    <comment ref="Q119" authorId="1" shapeId="0" xr:uid="{00000000-0006-0000-0400-0000DA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19" authorId="1" shapeId="0" xr:uid="{00000000-0006-0000-0400-0000DB000000}">
      <text>
        <r>
          <rPr>
            <b/>
            <sz val="9"/>
            <color indexed="81"/>
            <rFont val="Tahoma"/>
            <family val="2"/>
          </rPr>
          <t>Windows User:</t>
        </r>
        <r>
          <rPr>
            <sz val="9"/>
            <color indexed="81"/>
            <rFont val="Tahoma"/>
            <family val="2"/>
          </rPr>
          <t xml:space="preserve">
rev0 28.032 
rev1 27.120
May
18.486 
rev0= 20 KT</t>
        </r>
      </text>
    </comment>
    <comment ref="T119" authorId="1" shapeId="0" xr:uid="{00000000-0006-0000-0400-0000DC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19" authorId="1" shapeId="0" xr:uid="{00000000-0006-0000-0400-0000DD000000}">
      <text>
        <r>
          <rPr>
            <b/>
            <sz val="9"/>
            <color indexed="81"/>
            <rFont val="Tahoma"/>
            <family val="2"/>
          </rPr>
          <t>Windows User:</t>
        </r>
        <r>
          <rPr>
            <sz val="9"/>
            <color indexed="81"/>
            <rFont val="Tahoma"/>
            <family val="2"/>
          </rPr>
          <t xml:space="preserve">
ปรับลดจากผลกระทบ GSP5 แล้ว -8%</t>
        </r>
      </text>
    </comment>
    <comment ref="Z119" authorId="1" shapeId="0" xr:uid="{00000000-0006-0000-0400-0000DE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19" authorId="1" shapeId="0" xr:uid="{00000000-0006-0000-0400-0000DF000000}">
      <text>
        <r>
          <rPr>
            <b/>
            <sz val="9"/>
            <color indexed="81"/>
            <rFont val="Tahoma"/>
            <family val="2"/>
          </rPr>
          <t>Windows User:
rev0 =22.796 KT
rev1 = 19.7 KT เนื่องจาก วันที่ 20 เม.ย. ไฟฟ้าดับ</t>
        </r>
      </text>
    </comment>
    <comment ref="AC119" authorId="1" shapeId="0" xr:uid="{00000000-0006-0000-0400-0000E0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19" authorId="0" shapeId="0" xr:uid="{00000000-0006-0000-0400-0000E1000000}">
      <text>
        <r>
          <rPr>
            <b/>
            <sz val="9"/>
            <color indexed="81"/>
            <rFont val="Tahoma"/>
            <family val="2"/>
          </rPr>
          <t>Quantumuser:</t>
        </r>
        <r>
          <rPr>
            <sz val="9"/>
            <color indexed="81"/>
            <rFont val="Tahoma"/>
            <family val="2"/>
          </rPr>
          <t xml:space="preserve">
PTTAC TA start-up
rev0 =0.88
rev1 = 0 start-up delay (รอ cf)</t>
        </r>
      </text>
    </comment>
    <comment ref="AF119" authorId="0" shapeId="0" xr:uid="{00000000-0006-0000-0400-0000E2000000}">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19" authorId="0" shapeId="0" xr:uid="{00000000-0006-0000-0400-0000E300000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19" authorId="0" shapeId="0" xr:uid="{00000000-0006-0000-0400-0000E4000000}">
      <text>
        <r>
          <rPr>
            <b/>
            <sz val="9"/>
            <color indexed="81"/>
            <rFont val="Tahoma"/>
            <family val="2"/>
          </rPr>
          <t>Quantumuser:</t>
        </r>
        <r>
          <rPr>
            <sz val="9"/>
            <color indexed="81"/>
            <rFont val="Tahoma"/>
            <family val="2"/>
          </rPr>
          <t xml:space="preserve">
Rev0 = 23.56
rev1 = 18.224 KT PTTAC emergency SD since 27 Nov'21</t>
        </r>
      </text>
    </comment>
    <comment ref="AQ119" authorId="0" shapeId="0" xr:uid="{00000000-0006-0000-0400-0000E5000000}">
      <text>
        <r>
          <rPr>
            <b/>
            <sz val="9"/>
            <color indexed="81"/>
            <rFont val="Tahoma"/>
            <family val="2"/>
          </rPr>
          <t>Quantumuser:</t>
        </r>
        <r>
          <rPr>
            <sz val="9"/>
            <color indexed="81"/>
            <rFont val="Tahoma"/>
            <family val="2"/>
          </rPr>
          <t xml:space="preserve">
LD for 1 Rx cleaning</t>
        </r>
      </text>
    </comment>
    <comment ref="AR119" authorId="0" shapeId="0" xr:uid="{00000000-0006-0000-0400-0000E6000000}">
      <text>
        <r>
          <rPr>
            <b/>
            <sz val="9"/>
            <color indexed="81"/>
            <rFont val="Tahoma"/>
            <family val="2"/>
          </rPr>
          <t>Quantumuser:</t>
        </r>
        <r>
          <rPr>
            <sz val="9"/>
            <color indexed="81"/>
            <rFont val="Tahoma"/>
            <family val="2"/>
          </rPr>
          <t xml:space="preserve">
LD for 1 Rx cleaning</t>
        </r>
      </text>
    </comment>
    <comment ref="AS119" authorId="0" shapeId="0" xr:uid="{00000000-0006-0000-0400-0000E7000000}">
      <text>
        <r>
          <rPr>
            <b/>
            <sz val="9"/>
            <color indexed="81"/>
            <rFont val="Tahoma"/>
            <family val="2"/>
          </rPr>
          <t>Quantumuser:</t>
        </r>
        <r>
          <rPr>
            <sz val="9"/>
            <color indexed="81"/>
            <rFont val="Tahoma"/>
            <family val="2"/>
          </rPr>
          <t xml:space="preserve">
LD for 1 Rx cleaning</t>
        </r>
      </text>
    </comment>
    <comment ref="C120" authorId="0" shapeId="0" xr:uid="{00000000-0006-0000-0400-0000E8000000}">
      <text>
        <r>
          <rPr>
            <b/>
            <sz val="9"/>
            <color indexed="81"/>
            <rFont val="Tahoma"/>
            <family val="2"/>
          </rPr>
          <t>Quantumuser:</t>
        </r>
        <r>
          <rPr>
            <sz val="9"/>
            <color indexed="81"/>
            <rFont val="Tahoma"/>
            <family val="2"/>
          </rPr>
          <t xml:space="preserve">
normal ชอบ 7 min แล้วมักจะไปขอจากโควตา GC</t>
        </r>
      </text>
    </comment>
    <comment ref="AA120" authorId="1" shapeId="0" xr:uid="{00000000-0006-0000-0400-0000E9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20" authorId="1" shapeId="0" xr:uid="{00000000-0006-0000-0400-0000EA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20" authorId="1" shapeId="0" xr:uid="{00000000-0006-0000-0400-0000EB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20" authorId="0" shapeId="0" xr:uid="{00000000-0006-0000-0400-0000EC000000}">
      <text>
        <r>
          <rPr>
            <b/>
            <sz val="9"/>
            <color indexed="81"/>
            <rFont val="Tahoma"/>
            <family val="2"/>
          </rPr>
          <t>Quantumuser:</t>
        </r>
        <r>
          <rPr>
            <sz val="9"/>
            <color indexed="81"/>
            <rFont val="Tahoma"/>
            <family val="2"/>
          </rPr>
          <t xml:space="preserve">
Rev0 = 4
Rev1 = 9.208 GC ให้
</t>
        </r>
      </text>
    </comment>
    <comment ref="AI120" authorId="0" shapeId="0" xr:uid="{00000000-0006-0000-0400-0000ED000000}">
      <text>
        <r>
          <rPr>
            <b/>
            <sz val="9"/>
            <color indexed="81"/>
            <rFont val="Tahoma"/>
            <family val="2"/>
          </rPr>
          <t>Quantumuser:</t>
        </r>
        <r>
          <rPr>
            <sz val="9"/>
            <color indexed="81"/>
            <rFont val="Tahoma"/>
            <family val="2"/>
          </rPr>
          <t xml:space="preserve">
PTT ให้ 6.34
Ac เอาแค่ 4.346 และขอเผื่ไว้ 0.2
 Nov'21 -3.24 KT เนื่องจาก PTTAC emergency SD since 27 Nov'21 </t>
        </r>
      </text>
    </comment>
    <comment ref="AJ120" authorId="1" shapeId="0" xr:uid="{00000000-0006-0000-0400-0000EE000000}">
      <text>
        <r>
          <rPr>
            <b/>
            <sz val="9"/>
            <color indexed="81"/>
            <rFont val="Tahoma"/>
            <family val="2"/>
          </rPr>
          <t>Windows User:</t>
        </r>
        <r>
          <rPr>
            <sz val="9"/>
            <color indexed="81"/>
            <rFont val="Tahoma"/>
            <family val="2"/>
          </rPr>
          <t xml:space="preserve">
rev0 = 6.4
rev1 = 0 KT  PTTAC emergency SD since 27 Nov'21</t>
        </r>
      </text>
    </comment>
    <comment ref="U121" authorId="1" shapeId="0" xr:uid="{00000000-0006-0000-0400-0000EF000000}">
      <text>
        <r>
          <rPr>
            <b/>
            <sz val="9"/>
            <color indexed="81"/>
            <rFont val="Tahoma"/>
            <family val="2"/>
          </rPr>
          <t>Windows User:</t>
        </r>
        <r>
          <rPr>
            <sz val="9"/>
            <color indexed="81"/>
            <rFont val="Tahoma"/>
            <family val="2"/>
          </rPr>
          <t xml:space="preserve">
rev0 = 0.27
rev1 = 0.7 KT Ordemand เพิ่ม</t>
        </r>
      </text>
    </comment>
    <comment ref="AD121" authorId="0" shapeId="0" xr:uid="{00000000-0006-0000-0400-0000F0000000}">
      <text>
        <r>
          <rPr>
            <b/>
            <sz val="9"/>
            <color indexed="81"/>
            <rFont val="Tahoma"/>
            <family val="2"/>
          </rPr>
          <t>Quantumuser:</t>
        </r>
        <r>
          <rPr>
            <sz val="9"/>
            <color indexed="81"/>
            <rFont val="Tahoma"/>
            <family val="2"/>
          </rPr>
          <t xml:space="preserve">
rev0 =0.5
rev1 =0.85</t>
        </r>
      </text>
    </comment>
    <comment ref="AF121" authorId="0" shapeId="0" xr:uid="{00000000-0006-0000-0400-0000F1000000}">
      <text>
        <r>
          <rPr>
            <b/>
            <sz val="9"/>
            <color indexed="81"/>
            <rFont val="Tahoma"/>
            <family val="2"/>
          </rPr>
          <t>Quantumuser:</t>
        </r>
        <r>
          <rPr>
            <sz val="9"/>
            <color indexed="81"/>
            <rFont val="Tahoma"/>
            <family val="2"/>
          </rPr>
          <t xml:space="preserve">
Rev1 = 0.6
Rev2 = 0.68 or demand เพิ่ม</t>
        </r>
      </text>
    </comment>
    <comment ref="AG121" authorId="0" shapeId="0" xr:uid="{00000000-0006-0000-0400-0000F2000000}">
      <text>
        <r>
          <rPr>
            <b/>
            <sz val="9"/>
            <color indexed="81"/>
            <rFont val="Tahoma"/>
            <family val="2"/>
          </rPr>
          <t>Quantumuser:</t>
        </r>
        <r>
          <rPr>
            <sz val="9"/>
            <color indexed="81"/>
            <rFont val="Tahoma"/>
            <family val="2"/>
          </rPr>
          <t xml:space="preserve">
Rev0 0.55
Rev1 = 0.73 OR demand Increase</t>
        </r>
      </text>
    </comment>
    <comment ref="AD122" authorId="0" shapeId="0" xr:uid="{00000000-0006-0000-0400-0000F3000000}">
      <text>
        <r>
          <rPr>
            <b/>
            <sz val="9"/>
            <color indexed="81"/>
            <rFont val="Tahoma"/>
            <family val="2"/>
          </rPr>
          <t>Quantumuser:</t>
        </r>
        <r>
          <rPr>
            <sz val="9"/>
            <color indexed="81"/>
            <rFont val="Tahoma"/>
            <family val="2"/>
          </rPr>
          <t xml:space="preserve">
rev0 = 0.6
rev1 = 0.62</t>
        </r>
      </text>
    </comment>
    <comment ref="AE122" authorId="0" shapeId="0" xr:uid="{00000000-0006-0000-0400-0000F4000000}">
      <text>
        <r>
          <rPr>
            <b/>
            <sz val="9"/>
            <color indexed="81"/>
            <rFont val="Tahoma"/>
            <family val="2"/>
          </rPr>
          <t>Quantumuser:</t>
        </r>
        <r>
          <rPr>
            <sz val="9"/>
            <color indexed="81"/>
            <rFont val="Tahoma"/>
            <family val="2"/>
          </rPr>
          <t xml:space="preserve">
rev0 =0.6
rev1 =0.76 OR demand increase</t>
        </r>
      </text>
    </comment>
    <comment ref="AD123" authorId="0" shapeId="0" xr:uid="{00000000-0006-0000-0400-0000F5000000}">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23" authorId="0" shapeId="0" xr:uid="{00000000-0006-0000-0400-0000F6000000}">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23" authorId="0" shapeId="0" xr:uid="{00000000-0006-0000-0400-0000F7000000}">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23" authorId="0" shapeId="0" xr:uid="{00000000-0006-0000-0400-0000F8000000}">
      <text>
        <r>
          <rPr>
            <b/>
            <sz val="9"/>
            <color indexed="81"/>
            <rFont val="Tahoma"/>
            <family val="2"/>
          </rPr>
          <t>Quantumuser:</t>
        </r>
        <r>
          <rPr>
            <sz val="9"/>
            <color indexed="81"/>
            <rFont val="Tahoma"/>
            <family val="2"/>
          </rPr>
          <t xml:space="preserve">
rev0 = 53.74
Rev1= 50.82 OR demand drop</t>
        </r>
      </text>
    </comment>
    <comment ref="AH123" authorId="0" shapeId="0" xr:uid="{00000000-0006-0000-0400-0000F9000000}">
      <text>
        <r>
          <rPr>
            <b/>
            <sz val="9"/>
            <color indexed="81"/>
            <rFont val="Tahoma"/>
            <family val="2"/>
          </rPr>
          <t>Quantumuser:</t>
        </r>
        <r>
          <rPr>
            <sz val="9"/>
            <color indexed="81"/>
            <rFont val="Tahoma"/>
            <family val="2"/>
          </rPr>
          <t xml:space="preserve">
Rev0 = 50.45
Rev1 = 52.78 OR ขอเพิ่มrev2 = 52.66 OR ช่วยลด จาก GSP invent 9
</t>
        </r>
      </text>
    </comment>
    <comment ref="AD124" authorId="0" shapeId="0" xr:uid="{00000000-0006-0000-0400-0000FA000000}">
      <text>
        <r>
          <rPr>
            <b/>
            <sz val="9"/>
            <color indexed="81"/>
            <rFont val="Tahoma"/>
            <family val="2"/>
          </rPr>
          <t>Quantumuser:</t>
        </r>
        <r>
          <rPr>
            <sz val="9"/>
            <color indexed="81"/>
            <rFont val="Tahoma"/>
            <family val="2"/>
          </rPr>
          <t xml:space="preserve">
rev0=53.24KT
rev1=54.70KT dom demand เพิ่ม
rev2 = 54.08 OR ปรับโยก MT-BRP</t>
        </r>
      </text>
    </comment>
    <comment ref="AE124" authorId="0" shapeId="0" xr:uid="{00000000-0006-0000-0400-0000FB000000}">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24" authorId="0" shapeId="0" xr:uid="{00000000-0006-0000-0400-0000FC000000}">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24" authorId="0" shapeId="0" xr:uid="{00000000-0006-0000-0400-0000FD000000}">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24" authorId="0" shapeId="0" xr:uid="{00000000-0006-0000-0400-0000FE000000}">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25" authorId="0" shapeId="0" xr:uid="{00000000-0006-0000-0400-0000FF000000}">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25" authorId="0" shapeId="0" xr:uid="{00000000-0006-0000-0400-000000010000}">
      <text>
        <r>
          <rPr>
            <b/>
            <sz val="9"/>
            <color indexed="81"/>
            <rFont val="Tahoma"/>
            <family val="2"/>
          </rPr>
          <t>Quantumuser:</t>
        </r>
        <r>
          <rPr>
            <sz val="9"/>
            <color indexed="81"/>
            <rFont val="Tahoma"/>
            <family val="2"/>
          </rPr>
          <t xml:space="preserve">
 15
Rev0 = 18 Or demand increase
rev1 = 19.6 ทดแทน KHM</t>
        </r>
      </text>
    </comment>
    <comment ref="AG125" authorId="0" shapeId="0" xr:uid="{00000000-0006-0000-0400-000001010000}">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25" authorId="0" shapeId="0" xr:uid="{00000000-0006-0000-0400-000002010000}">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I125" authorId="0" shapeId="0" xr:uid="{00000000-0006-0000-0400-000003010000}">
      <text>
        <r>
          <rPr>
            <b/>
            <sz val="9"/>
            <color indexed="81"/>
            <rFont val="Tahoma"/>
            <family val="2"/>
          </rPr>
          <t>Quantumuser:</t>
        </r>
        <r>
          <rPr>
            <sz val="9"/>
            <color indexed="81"/>
            <rFont val="Tahoma"/>
            <family val="2"/>
          </rPr>
          <t xml:space="preserve">
Rev0 = 18.5
rev1 = 16</t>
        </r>
      </text>
    </comment>
    <comment ref="AD126" authorId="0" shapeId="0" xr:uid="{00000000-0006-0000-0400-000004010000}">
      <text>
        <r>
          <rPr>
            <b/>
            <sz val="9"/>
            <color indexed="81"/>
            <rFont val="Tahoma"/>
            <family val="2"/>
          </rPr>
          <t>Quantumuser:</t>
        </r>
        <r>
          <rPr>
            <sz val="9"/>
            <color indexed="81"/>
            <rFont val="Tahoma"/>
            <family val="2"/>
          </rPr>
          <t xml:space="preserve">
rev0 = 1.4
rev1 = 0.55 demand increase</t>
        </r>
      </text>
    </comment>
    <comment ref="AE126" authorId="0" shapeId="0" xr:uid="{00000000-0006-0000-0400-000005010000}">
      <text>
        <r>
          <rPr>
            <b/>
            <sz val="9"/>
            <color indexed="81"/>
            <rFont val="Tahoma"/>
            <family val="2"/>
          </rPr>
          <t>Quantumuser:</t>
        </r>
        <r>
          <rPr>
            <sz val="9"/>
            <color indexed="81"/>
            <rFont val="Tahoma"/>
            <family val="2"/>
          </rPr>
          <t xml:space="preserve">
rev0 = 0.5
rev1 =0.45 OR demand drop</t>
        </r>
      </text>
    </comment>
    <comment ref="AG126" authorId="0" shapeId="0" xr:uid="{00000000-0006-0000-0400-000006010000}">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27" authorId="1" shapeId="0" xr:uid="{00000000-0006-0000-0400-000007010000}">
      <text>
        <r>
          <rPr>
            <b/>
            <sz val="9"/>
            <color indexed="81"/>
            <rFont val="Tahoma"/>
            <family val="2"/>
          </rPr>
          <t>Windows User:</t>
        </r>
        <r>
          <rPr>
            <sz val="9"/>
            <color indexed="81"/>
            <rFont val="Tahoma"/>
            <family val="2"/>
          </rPr>
          <t xml:space="preserve">
rev0 = 32
rev1 = 33.28 SGP ขอรับเพิ่ม 4%</t>
        </r>
      </text>
    </comment>
    <comment ref="J127" authorId="1" shapeId="0" xr:uid="{00000000-0006-0000-0400-000008010000}">
      <text>
        <r>
          <rPr>
            <b/>
            <sz val="9"/>
            <color indexed="81"/>
            <rFont val="Tahoma"/>
            <family val="2"/>
          </rPr>
          <t>Windows User:</t>
        </r>
        <r>
          <rPr>
            <sz val="9"/>
            <color indexed="81"/>
            <rFont val="Tahoma"/>
            <family val="2"/>
          </rPr>
          <t xml:space="preserve">
rev0 = 32
rev1 = 33.6 SGP ขอรับเพิ่ม 5%</t>
        </r>
      </text>
    </comment>
    <comment ref="K127" authorId="1" shapeId="0" xr:uid="{00000000-0006-0000-0400-000009010000}">
      <text>
        <r>
          <rPr>
            <b/>
            <sz val="9"/>
            <color indexed="81"/>
            <rFont val="Tahoma"/>
            <family val="2"/>
          </rPr>
          <t>Windows User:</t>
        </r>
        <r>
          <rPr>
            <sz val="9"/>
            <color indexed="81"/>
            <rFont val="Tahoma"/>
            <family val="2"/>
          </rPr>
          <t xml:space="preserve">
rev0 = 32
rev1 = 33.6 SGP ขอรับเพิ่ม 5%</t>
        </r>
      </text>
    </comment>
    <comment ref="L127" authorId="1" shapeId="0" xr:uid="{00000000-0006-0000-0400-00000A010000}">
      <text>
        <r>
          <rPr>
            <b/>
            <sz val="9"/>
            <color indexed="81"/>
            <rFont val="Tahoma"/>
            <family val="2"/>
          </rPr>
          <t>Windows User:</t>
        </r>
        <r>
          <rPr>
            <sz val="9"/>
            <color indexed="81"/>
            <rFont val="Tahoma"/>
            <family val="2"/>
          </rPr>
          <t xml:space="preserve">
rev0 = 32
rev1 = 33.6 SGP ขอรับเพิ่ม 5%</t>
        </r>
      </text>
    </comment>
    <comment ref="AD127" authorId="0" shapeId="0" xr:uid="{00000000-0006-0000-0400-00000B010000}">
      <text>
        <r>
          <rPr>
            <b/>
            <sz val="9"/>
            <color indexed="81"/>
            <rFont val="Tahoma"/>
            <family val="2"/>
          </rPr>
          <t>Quantumuser:</t>
        </r>
        <r>
          <rPr>
            <sz val="9"/>
            <color indexed="81"/>
            <rFont val="Tahoma"/>
            <family val="2"/>
          </rPr>
          <t xml:space="preserve">
rev0 = 13
rev1 = 13.5 สลับปริมาณ UGP</t>
        </r>
      </text>
    </comment>
    <comment ref="AH127" authorId="0" shapeId="0" xr:uid="{00000000-0006-0000-0400-00000C010000}">
      <text>
        <r>
          <rPr>
            <b/>
            <sz val="9"/>
            <color indexed="81"/>
            <rFont val="Tahoma"/>
            <family val="2"/>
          </rPr>
          <t>Quantumuser:</t>
        </r>
        <r>
          <rPr>
            <sz val="9"/>
            <color indexed="81"/>
            <rFont val="Tahoma"/>
            <family val="2"/>
          </rPr>
          <t xml:space="preserve">
Rev0 = 13
</t>
        </r>
      </text>
    </comment>
    <comment ref="I128" authorId="1" shapeId="0" xr:uid="{00000000-0006-0000-0400-00000D010000}">
      <text>
        <r>
          <rPr>
            <b/>
            <sz val="9"/>
            <color indexed="81"/>
            <rFont val="Tahoma"/>
            <family val="2"/>
          </rPr>
          <t>Windows User:</t>
        </r>
        <r>
          <rPr>
            <sz val="9"/>
            <color indexed="81"/>
            <rFont val="Tahoma"/>
            <family val="2"/>
          </rPr>
          <t xml:space="preserve">
rev0 = 12 KT
rev1 = 12.48 KT SGP ขอรับเพิ่ม 4%</t>
        </r>
      </text>
    </comment>
    <comment ref="J128" authorId="1" shapeId="0" xr:uid="{00000000-0006-0000-0400-00000E010000}">
      <text>
        <r>
          <rPr>
            <b/>
            <sz val="9"/>
            <color indexed="81"/>
            <rFont val="Tahoma"/>
            <family val="2"/>
          </rPr>
          <t>Windows User:</t>
        </r>
        <r>
          <rPr>
            <sz val="9"/>
            <color indexed="81"/>
            <rFont val="Tahoma"/>
            <family val="2"/>
          </rPr>
          <t xml:space="preserve">
rev0 = 12 KT
rev1 = 12.6 KT SGP ขอรับเพิ่ม 5%</t>
        </r>
      </text>
    </comment>
    <comment ref="K128" authorId="1" shapeId="0" xr:uid="{00000000-0006-0000-0400-00000F010000}">
      <text>
        <r>
          <rPr>
            <b/>
            <sz val="9"/>
            <color indexed="81"/>
            <rFont val="Tahoma"/>
            <family val="2"/>
          </rPr>
          <t>Windows User:</t>
        </r>
        <r>
          <rPr>
            <sz val="9"/>
            <color indexed="81"/>
            <rFont val="Tahoma"/>
            <family val="2"/>
          </rPr>
          <t xml:space="preserve">
rev0 = 12 KT
rev1 = 12.6 KT SGP ขอรับเพิ่ม 5%</t>
        </r>
      </text>
    </comment>
    <comment ref="L128" authorId="1" shapeId="0" xr:uid="{00000000-0006-0000-0400-000010010000}">
      <text>
        <r>
          <rPr>
            <b/>
            <sz val="9"/>
            <color indexed="81"/>
            <rFont val="Tahoma"/>
            <family val="2"/>
          </rPr>
          <t>Windows User:</t>
        </r>
        <r>
          <rPr>
            <sz val="9"/>
            <color indexed="81"/>
            <rFont val="Tahoma"/>
            <family val="2"/>
          </rPr>
          <t xml:space="preserve">
rev0 = 12 KT
rev1 = 12.6 KT SGP ขอรับเพิ่ม 5%</t>
        </r>
      </text>
    </comment>
    <comment ref="AD128" authorId="0" shapeId="0" xr:uid="{00000000-0006-0000-0400-000011010000}">
      <text>
        <r>
          <rPr>
            <b/>
            <sz val="9"/>
            <color indexed="81"/>
            <rFont val="Tahoma"/>
            <family val="2"/>
          </rPr>
          <t>Quantumuser:</t>
        </r>
        <r>
          <rPr>
            <sz val="9"/>
            <color indexed="81"/>
            <rFont val="Tahoma"/>
            <family val="2"/>
          </rPr>
          <t xml:space="preserve">
rev0 = 23.0
rev1 = 23.5 สลับปริมาณ  SGP</t>
        </r>
      </text>
    </comment>
    <comment ref="AD137" authorId="0" shapeId="0" xr:uid="{00000000-0006-0000-0400-00001201000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37" authorId="0" shapeId="0" xr:uid="{00000000-0006-0000-0400-000013010000}">
      <text>
        <r>
          <rPr>
            <b/>
            <sz val="9"/>
            <color indexed="81"/>
            <rFont val="Tahoma"/>
            <family val="2"/>
          </rPr>
          <t>Quantumuser:</t>
        </r>
        <r>
          <rPr>
            <sz val="9"/>
            <color indexed="81"/>
            <rFont val="Tahoma"/>
            <family val="2"/>
          </rPr>
          <t xml:space="preserve">
Rev0 =10.88
rev1 = 11.60 ทดแทน sprc production drop</t>
        </r>
      </text>
    </comment>
    <comment ref="AF137" authorId="0" shapeId="0" xr:uid="{00000000-0006-0000-0400-000014010000}">
      <text>
        <r>
          <rPr>
            <b/>
            <sz val="9"/>
            <color indexed="81"/>
            <rFont val="Tahoma"/>
            <family val="2"/>
          </rPr>
          <t>Quantumuser:</t>
        </r>
        <r>
          <rPr>
            <sz val="9"/>
            <color indexed="81"/>
            <rFont val="Tahoma"/>
            <family val="2"/>
          </rPr>
          <t xml:space="preserve">
Rev0 = 10.28
Rev1 = 7.28 wp demand dro[</t>
        </r>
      </text>
    </comment>
    <comment ref="AG137" authorId="0" shapeId="0" xr:uid="{00000000-0006-0000-0400-000015010000}">
      <text>
        <r>
          <rPr>
            <b/>
            <sz val="9"/>
            <color indexed="81"/>
            <rFont val="Tahoma"/>
            <family val="2"/>
          </rPr>
          <t>Quantumuser:</t>
        </r>
        <r>
          <rPr>
            <sz val="9"/>
            <color indexed="81"/>
            <rFont val="Tahoma"/>
            <family val="2"/>
          </rPr>
          <t xml:space="preserve">
Rev0 = 10
Rev1 = 9 WP demand drop</t>
        </r>
      </text>
    </comment>
    <comment ref="AH137" authorId="0" shapeId="0" xr:uid="{00000000-0006-0000-0400-000016010000}">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40" authorId="0" shapeId="0" xr:uid="{00000000-0006-0000-0400-000017010000}">
      <text>
        <r>
          <rPr>
            <b/>
            <sz val="9"/>
            <color indexed="81"/>
            <rFont val="Tahoma"/>
            <family val="2"/>
          </rPr>
          <t>Quantumuser:</t>
        </r>
        <r>
          <rPr>
            <sz val="9"/>
            <color indexed="81"/>
            <rFont val="Tahoma"/>
            <family val="2"/>
          </rPr>
          <t xml:space="preserve">
rev0 = 2
rev 1 = 1.2 KT</t>
        </r>
      </text>
    </comment>
    <comment ref="K140" authorId="0" shapeId="0" xr:uid="{00000000-0006-0000-0400-000018010000}">
      <text>
        <r>
          <rPr>
            <b/>
            <sz val="9"/>
            <color indexed="81"/>
            <rFont val="Tahoma"/>
            <family val="2"/>
          </rPr>
          <t>Quantumuser:</t>
        </r>
        <r>
          <rPr>
            <sz val="9"/>
            <color indexed="81"/>
            <rFont val="Tahoma"/>
            <family val="2"/>
          </rPr>
          <t xml:space="preserve">
rev0 3 KT
rev1 = 3.4 KT โยกมาจากเดือน ธค. 62 = 0.4 KT</t>
        </r>
      </text>
    </comment>
    <comment ref="L140" authorId="0" shapeId="0" xr:uid="{00000000-0006-0000-0400-00001901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40" authorId="0" shapeId="0" xr:uid="{00000000-0006-0000-0400-00001A010000}">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40" authorId="0" shapeId="0" xr:uid="{00000000-0006-0000-0400-00001B010000}">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AK142" authorId="1" shapeId="0" xr:uid="{00000000-0006-0000-0400-00001C010000}">
      <text>
        <r>
          <rPr>
            <b/>
            <sz val="9"/>
            <color indexed="81"/>
            <rFont val="Tahoma"/>
            <family val="2"/>
          </rPr>
          <t>Windows User:</t>
        </r>
        <r>
          <rPr>
            <sz val="9"/>
            <color indexed="81"/>
            <rFont val="Tahoma"/>
            <family val="2"/>
          </rPr>
          <t xml:space="preserve">
8.75</t>
        </r>
      </text>
    </comment>
    <comment ref="J145" authorId="1" shapeId="0" xr:uid="{00000000-0006-0000-0400-00001D010000}">
      <text>
        <r>
          <rPr>
            <b/>
            <sz val="9"/>
            <color indexed="81"/>
            <rFont val="Tahoma"/>
            <family val="2"/>
          </rPr>
          <t>Windows User:</t>
        </r>
        <r>
          <rPr>
            <sz val="9"/>
            <color indexed="81"/>
            <rFont val="Tahoma"/>
            <family val="2"/>
          </rPr>
          <t xml:space="preserve">
rev0 = 4
rev1 = 4.2</t>
        </r>
      </text>
    </comment>
    <comment ref="G151" authorId="0" shapeId="0" xr:uid="{00000000-0006-0000-0400-00001E010000}">
      <text>
        <r>
          <rPr>
            <b/>
            <sz val="9"/>
            <color indexed="81"/>
            <rFont val="Tahoma"/>
            <family val="2"/>
          </rPr>
          <t>Quantumuser:
rev0=0
rev1=2  GC ปรับเพิ่มจาก 19 เป็น 21 KT</t>
        </r>
      </text>
    </comment>
    <comment ref="AH152" authorId="0" shapeId="0" xr:uid="{00000000-0006-0000-0400-00001F010000}">
      <text>
        <r>
          <rPr>
            <b/>
            <sz val="9"/>
            <color indexed="81"/>
            <rFont val="Tahoma"/>
            <family val="2"/>
          </rPr>
          <t>Quantumuser:</t>
        </r>
        <r>
          <rPr>
            <sz val="9"/>
            <color indexed="81"/>
            <rFont val="Tahoma"/>
            <family val="2"/>
          </rPr>
          <t xml:space="preserve">
GC ส่ง เพิ่ม มีของ</t>
        </r>
      </text>
    </comment>
    <comment ref="L157" authorId="1" shapeId="0" xr:uid="{00000000-0006-0000-0400-000020010000}">
      <text>
        <r>
          <rPr>
            <b/>
            <sz val="9"/>
            <color indexed="81"/>
            <rFont val="Tahoma"/>
            <family val="2"/>
          </rPr>
          <t xml:space="preserve">Windows User:
</t>
        </r>
        <r>
          <rPr>
            <sz val="9"/>
            <color indexed="81"/>
            <rFont val="Tahoma"/>
            <family val="2"/>
          </rPr>
          <t>rev0 = 1.8
rev1 = 2.4  ตช ขายเพิ่ม</t>
        </r>
      </text>
    </comment>
    <comment ref="J160" authorId="1" shapeId="0" xr:uid="{00000000-0006-0000-0400-000021010000}">
      <text>
        <r>
          <rPr>
            <b/>
            <sz val="9"/>
            <color indexed="81"/>
            <rFont val="Tahoma"/>
            <family val="2"/>
          </rPr>
          <t>Windows User:</t>
        </r>
        <r>
          <rPr>
            <sz val="9"/>
            <color indexed="81"/>
            <rFont val="Tahoma"/>
            <family val="2"/>
          </rPr>
          <t xml:space="preserve">
rev0 = 5
rev1 = 6.4</t>
        </r>
      </text>
    </comment>
    <comment ref="K160" authorId="1" shapeId="0" xr:uid="{00000000-0006-0000-0400-000022010000}">
      <text>
        <r>
          <rPr>
            <b/>
            <sz val="9"/>
            <color indexed="81"/>
            <rFont val="Tahoma"/>
            <family val="2"/>
          </rPr>
          <t>Windows User:</t>
        </r>
        <r>
          <rPr>
            <sz val="9"/>
            <color indexed="81"/>
            <rFont val="Tahoma"/>
            <family val="2"/>
          </rPr>
          <t xml:space="preserve">
rev0 = 5
rev1 = 6.4
rev2 = 5.6
</t>
        </r>
      </text>
    </comment>
    <comment ref="L160" authorId="1" shapeId="0" xr:uid="{00000000-0006-0000-0400-000023010000}">
      <text>
        <r>
          <rPr>
            <b/>
            <sz val="9"/>
            <color indexed="81"/>
            <rFont val="Tahoma"/>
            <family val="2"/>
          </rPr>
          <t>Windows User:</t>
        </r>
        <r>
          <rPr>
            <sz val="9"/>
            <color indexed="81"/>
            <rFont val="Tahoma"/>
            <family val="2"/>
          </rPr>
          <t xml:space="preserve">
rev0 = 5
rev1 = 5.7
</t>
        </r>
      </text>
    </comment>
    <comment ref="AD171" authorId="0" shapeId="0" xr:uid="{00000000-0006-0000-0400-000024010000}">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71" authorId="0" shapeId="0" xr:uid="{00000000-0006-0000-0400-000025010000}">
      <text>
        <r>
          <rPr>
            <b/>
            <sz val="9"/>
            <color indexed="81"/>
            <rFont val="Tahoma"/>
            <family val="2"/>
          </rPr>
          <t>Quantumuser:</t>
        </r>
        <r>
          <rPr>
            <sz val="9"/>
            <color indexed="81"/>
            <rFont val="Tahoma"/>
            <family val="2"/>
          </rPr>
          <t xml:space="preserve">
Rev0 = 4.12
Rev1 = 3.4 SPPC production drop</t>
        </r>
      </text>
    </comment>
    <comment ref="AH171" authorId="0" shapeId="0" xr:uid="{00000000-0006-0000-0400-000026010000}">
      <text>
        <r>
          <rPr>
            <b/>
            <sz val="9"/>
            <color indexed="81"/>
            <rFont val="Tahoma"/>
            <family val="2"/>
          </rPr>
          <t>Quantumuser:</t>
        </r>
        <r>
          <rPr>
            <sz val="9"/>
            <color indexed="81"/>
            <rFont val="Tahoma"/>
            <family val="2"/>
          </rPr>
          <t xml:space="preserve">
Rev0 = 3.4
Rev1 =2.5 SPRC under supply</t>
        </r>
      </text>
    </comment>
    <comment ref="AD173" authorId="0" shapeId="0" xr:uid="{00000000-0006-0000-0400-000027010000}">
      <text>
        <r>
          <rPr>
            <b/>
            <sz val="9"/>
            <color indexed="81"/>
            <rFont val="Tahoma"/>
            <family val="2"/>
          </rPr>
          <t>Quantumuser:</t>
        </r>
        <r>
          <rPr>
            <sz val="9"/>
            <color indexed="81"/>
            <rFont val="Tahoma"/>
            <family val="2"/>
          </rPr>
          <t xml:space="preserve">
rev0 = 5.55
rev1 = 5.99 PTTEP production increase</t>
        </r>
      </text>
    </comment>
    <comment ref="AF174" authorId="0" shapeId="0" xr:uid="{00000000-0006-0000-0400-000028010000}">
      <text>
        <r>
          <rPr>
            <b/>
            <sz val="9"/>
            <color indexed="81"/>
            <rFont val="Tahoma"/>
            <family val="2"/>
          </rPr>
          <t>Quantumuser:</t>
        </r>
        <r>
          <rPr>
            <sz val="9"/>
            <color indexed="81"/>
            <rFont val="Tahoma"/>
            <family val="2"/>
          </rPr>
          <t xml:space="preserve">
Rev0 = 14.6
rev1 = 13 Khm delay statup</t>
        </r>
      </text>
    </comment>
    <comment ref="AG174" authorId="0" shapeId="0" xr:uid="{00000000-0006-0000-0400-000029010000}">
      <text>
        <r>
          <rPr>
            <b/>
            <sz val="9"/>
            <color indexed="81"/>
            <rFont val="Tahoma"/>
            <family val="2"/>
          </rPr>
          <t>Quantumuser:</t>
        </r>
        <r>
          <rPr>
            <sz val="9"/>
            <color indexed="81"/>
            <rFont val="Tahoma"/>
            <family val="2"/>
          </rPr>
          <t xml:space="preserve">
Rev0 =15
Rev1 =16.5 KHM supply เพิ่มจาก demand โรงไฟฟ้า</t>
        </r>
      </text>
    </comment>
    <comment ref="AH174" authorId="0" shapeId="0" xr:uid="{00000000-0006-0000-0400-00002A010000}">
      <text>
        <r>
          <rPr>
            <b/>
            <sz val="9"/>
            <color indexed="81"/>
            <rFont val="Tahoma"/>
            <family val="2"/>
          </rPr>
          <t>Quantumuser:</t>
        </r>
        <r>
          <rPr>
            <sz val="9"/>
            <color indexed="81"/>
            <rFont val="Tahoma"/>
            <family val="2"/>
          </rPr>
          <t xml:space="preserve">
Rev0 = 16.5
Rev1 = 18.45 รฟฟ ขนอม demand เพิ่ม</t>
        </r>
      </text>
    </comment>
    <comment ref="D203" authorId="1" shapeId="0" xr:uid="{00000000-0006-0000-0400-00002B010000}">
      <text>
        <r>
          <rPr>
            <b/>
            <sz val="9"/>
            <color indexed="81"/>
            <rFont val="Tahoma"/>
            <family val="2"/>
          </rPr>
          <t>Windows User:</t>
        </r>
        <r>
          <rPr>
            <sz val="9"/>
            <color indexed="81"/>
            <rFont val="Tahoma"/>
            <family val="2"/>
          </rPr>
          <t xml:space="preserve">
Port chart 4-6 $/Ton (split 22 KT)</t>
        </r>
      </text>
    </comment>
    <comment ref="D204" authorId="1" shapeId="0" xr:uid="{00000000-0006-0000-0400-00002C010000}">
      <text>
        <r>
          <rPr>
            <b/>
            <sz val="9"/>
            <color indexed="81"/>
            <rFont val="Tahoma"/>
            <family val="2"/>
          </rPr>
          <t>Windows User:</t>
        </r>
        <r>
          <rPr>
            <sz val="9"/>
            <color indexed="81"/>
            <rFont val="Tahoma"/>
            <family val="2"/>
          </rPr>
          <t xml:space="preserve">
Port chart 4-6 $/Ton (split 22 KT)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Chalida</author>
  </authors>
  <commentList>
    <comment ref="Y6" authorId="0" shapeId="0" xr:uid="{00000000-0006-0000-05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500-000002000000}">
      <text>
        <r>
          <rPr>
            <b/>
            <sz val="9"/>
            <color indexed="81"/>
            <rFont val="Tahoma"/>
            <family val="2"/>
          </rPr>
          <t>SAOWANI DETJAREANSRI:</t>
        </r>
        <r>
          <rPr>
            <sz val="9"/>
            <color indexed="81"/>
            <rFont val="Tahoma"/>
            <family val="2"/>
          </rPr>
          <t xml:space="preserve">
rev0 = 90.5
</t>
        </r>
      </text>
    </comment>
    <comment ref="AB6" authorId="0" shapeId="0" xr:uid="{00000000-0006-0000-05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500-000004000000}">
      <text>
        <r>
          <rPr>
            <b/>
            <sz val="9"/>
            <color indexed="81"/>
            <rFont val="Tahoma"/>
            <family val="2"/>
          </rPr>
          <t>SAOWANI DETJAREANSRI:</t>
        </r>
        <r>
          <rPr>
            <sz val="9"/>
            <color indexed="81"/>
            <rFont val="Tahoma"/>
            <family val="2"/>
          </rPr>
          <t xml:space="preserve">
rev0 = 83.37 Km3
</t>
        </r>
      </text>
    </comment>
    <comment ref="AG6" authorId="0" shapeId="0" xr:uid="{00000000-0006-0000-05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5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500-000007000000}">
      <text>
        <r>
          <rPr>
            <b/>
            <sz val="9"/>
            <color indexed="81"/>
            <rFont val="Tahoma"/>
            <family val="2"/>
          </rPr>
          <t>Quantumuser:
rev0 = 71.59</t>
        </r>
      </text>
    </comment>
    <comment ref="BG6" authorId="2" shapeId="0" xr:uid="{00000000-0006-0000-0500-000008000000}">
      <text>
        <r>
          <rPr>
            <b/>
            <sz val="9"/>
            <color indexed="81"/>
            <rFont val="Tahoma"/>
            <family val="2"/>
          </rPr>
          <t>Windows User:</t>
        </r>
        <r>
          <rPr>
            <sz val="9"/>
            <color indexed="81"/>
            <rFont val="Tahoma"/>
            <family val="2"/>
          </rPr>
          <t xml:space="preserve">
ผลิตสูงขึ้นจาก stab
</t>
        </r>
      </text>
    </comment>
    <comment ref="BP6" authorId="1" shapeId="0" xr:uid="{00000000-0006-0000-0500-000009000000}">
      <text>
        <r>
          <rPr>
            <b/>
            <sz val="9"/>
            <color indexed="81"/>
            <rFont val="Tahoma"/>
            <family val="2"/>
          </rPr>
          <t>Quantumuser:</t>
        </r>
        <r>
          <rPr>
            <sz val="9"/>
            <color indexed="81"/>
            <rFont val="Tahoma"/>
            <family val="2"/>
          </rPr>
          <t xml:space="preserve">
rev 0 = 78.96
rev 1= 80.5 (8 June) Stab ขึ้น
rev 2 = 80.74 ability increase</t>
        </r>
      </text>
    </comment>
    <comment ref="BR6" authorId="1" shapeId="0" xr:uid="{00000000-0006-0000-0500-00000A000000}">
      <text>
        <r>
          <rPr>
            <b/>
            <sz val="9"/>
            <color indexed="81"/>
            <rFont val="Tahoma"/>
            <family val="2"/>
          </rPr>
          <t>Quantumuser:</t>
        </r>
        <r>
          <rPr>
            <sz val="9"/>
            <color indexed="81"/>
            <rFont val="Tahoma"/>
            <family val="2"/>
          </rPr>
          <t xml:space="preserve">
Rev0 74.6070568483387
Rev1 72.67
</t>
        </r>
      </text>
    </comment>
    <comment ref="L7" authorId="0" shapeId="0" xr:uid="{00000000-0006-0000-0500-00000B000000}">
      <text>
        <r>
          <rPr>
            <b/>
            <sz val="9"/>
            <color indexed="81"/>
            <rFont val="Tahoma"/>
            <family val="2"/>
          </rPr>
          <t>SAOWANI DETJAREANSRI:</t>
        </r>
        <r>
          <rPr>
            <sz val="9"/>
            <color indexed="81"/>
            <rFont val="Tahoma"/>
            <family val="2"/>
          </rPr>
          <t xml:space="preserve">
rev0 = 46.5 
rev1 = 52.5</t>
        </r>
      </text>
    </comment>
    <comment ref="M7" authorId="0" shapeId="0" xr:uid="{00000000-0006-0000-0500-00000C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500-00000D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500-00000E000000}">
      <text>
        <r>
          <rPr>
            <b/>
            <sz val="9"/>
            <color indexed="81"/>
            <rFont val="Tahoma"/>
            <family val="2"/>
          </rPr>
          <t>SAOWANI DETJAREANSRI:</t>
        </r>
        <r>
          <rPr>
            <sz val="9"/>
            <color indexed="81"/>
            <rFont val="Tahoma"/>
            <family val="2"/>
          </rPr>
          <t xml:space="preserve">
rev0 = 30.5</t>
        </r>
      </text>
    </comment>
    <comment ref="P7" authorId="0" shapeId="0" xr:uid="{00000000-0006-0000-0500-00000F000000}">
      <text>
        <r>
          <rPr>
            <b/>
            <sz val="9"/>
            <color indexed="81"/>
            <rFont val="Tahoma"/>
            <family val="2"/>
          </rPr>
          <t>SAOWANI DETJAREANSRI:</t>
        </r>
        <r>
          <rPr>
            <sz val="9"/>
            <color indexed="81"/>
            <rFont val="Tahoma"/>
            <family val="2"/>
          </rPr>
          <t xml:space="preserve">
rev0 = 30.5
rev1 = 28.5</t>
        </r>
      </text>
    </comment>
    <comment ref="Q7" authorId="0" shapeId="0" xr:uid="{00000000-0006-0000-0500-000010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500-000011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500-000012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500-000013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500-000014000000}">
      <text>
        <r>
          <rPr>
            <b/>
            <sz val="9"/>
            <color indexed="81"/>
            <rFont val="Tahoma"/>
            <family val="2"/>
          </rPr>
          <t>SAOWANI DETJAREANSRI:
rev0 = 33.174 km3 (21.5 KT)
rev1 = 35.179 km3 (22.8 KT)</t>
        </r>
      </text>
    </comment>
    <comment ref="AG7" authorId="0" shapeId="0" xr:uid="{00000000-0006-0000-0500-000015000000}">
      <text>
        <r>
          <rPr>
            <b/>
            <sz val="9"/>
            <color indexed="81"/>
            <rFont val="Tahoma"/>
            <family val="2"/>
          </rPr>
          <t>SAOWANI DETJAREANSRI:
rev0 = 29.32 
rev1 = 27.32 KT ปรับลด 2 km3 เนื่องจาก stab น้อย</t>
        </r>
      </text>
    </comment>
    <comment ref="AK7" authorId="0" shapeId="0" xr:uid="{00000000-0006-0000-0500-000016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500-000017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500-000018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500-000019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500-00001A000000}">
      <text>
        <r>
          <rPr>
            <b/>
            <sz val="9"/>
            <color indexed="81"/>
            <rFont val="Tahoma"/>
            <family val="2"/>
          </rPr>
          <t>SAOWANI DETJAREANSRI:</t>
        </r>
        <r>
          <rPr>
            <sz val="9"/>
            <color indexed="81"/>
            <rFont val="Tahoma"/>
            <family val="2"/>
          </rPr>
          <t xml:space="preserve">
rev0 = 19
rev1 = 21</t>
        </r>
      </text>
    </comment>
    <comment ref="AP7" authorId="1" shapeId="0" xr:uid="{00000000-0006-0000-0500-00001B000000}">
      <text>
        <r>
          <rPr>
            <b/>
            <sz val="9"/>
            <color indexed="81"/>
            <rFont val="Tahoma"/>
            <family val="2"/>
          </rPr>
          <t>Quantumuser:</t>
        </r>
        <r>
          <rPr>
            <sz val="9"/>
            <color indexed="81"/>
            <rFont val="Tahoma"/>
            <family val="2"/>
          </rPr>
          <t xml:space="preserve">
rev0 = 19 KT
rev1 = 20 KT</t>
        </r>
      </text>
    </comment>
    <comment ref="AQ7" authorId="1" shapeId="0" xr:uid="{00000000-0006-0000-0500-00001C000000}">
      <text>
        <r>
          <rPr>
            <b/>
            <sz val="9"/>
            <color indexed="81"/>
            <rFont val="Tahoma"/>
            <family val="2"/>
          </rPr>
          <t>Quantumuser:</t>
        </r>
        <r>
          <rPr>
            <sz val="9"/>
            <color indexed="81"/>
            <rFont val="Tahoma"/>
            <family val="2"/>
          </rPr>
          <t xml:space="preserve">
rev0 = 16 KT
rev1 = 17 KT</t>
        </r>
      </text>
    </comment>
    <comment ref="AS7" authorId="1" shapeId="0" xr:uid="{00000000-0006-0000-0500-00001D000000}">
      <text>
        <r>
          <rPr>
            <b/>
            <sz val="9"/>
            <color indexed="81"/>
            <rFont val="Tahoma"/>
            <family val="2"/>
          </rPr>
          <t>Quantumuser:</t>
        </r>
        <r>
          <rPr>
            <sz val="9"/>
            <color indexed="81"/>
            <rFont val="Tahoma"/>
            <family val="2"/>
          </rPr>
          <t xml:space="preserve">
rev0 = 17 KT
</t>
        </r>
      </text>
    </comment>
    <comment ref="AT7" authorId="1" shapeId="0" xr:uid="{00000000-0006-0000-0500-00001E000000}">
      <text>
        <r>
          <rPr>
            <b/>
            <sz val="9"/>
            <color indexed="81"/>
            <rFont val="Tahoma"/>
            <family val="2"/>
          </rPr>
          <t>Quantumuser:</t>
        </r>
        <r>
          <rPr>
            <sz val="9"/>
            <color indexed="81"/>
            <rFont val="Tahoma"/>
            <family val="2"/>
          </rPr>
          <t xml:space="preserve">
Nom @Jun = 18 KT
</t>
        </r>
      </text>
    </comment>
    <comment ref="AV7" authorId="2" shapeId="0" xr:uid="{00000000-0006-0000-0500-00001F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500-000020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500-000021000000}">
      <text>
        <r>
          <rPr>
            <b/>
            <sz val="9"/>
            <color indexed="81"/>
            <rFont val="Tahoma"/>
            <family val="2"/>
          </rPr>
          <t>Quantumuser:
rev0 = 15
rev1 = 18
rev2 = 19 KT</t>
        </r>
      </text>
    </comment>
    <comment ref="AZ7" authorId="2" shapeId="0" xr:uid="{00000000-0006-0000-0500-000022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500-000023000000}">
      <text>
        <r>
          <rPr>
            <b/>
            <sz val="9"/>
            <color indexed="81"/>
            <rFont val="Tahoma"/>
            <family val="2"/>
          </rPr>
          <t>Quantumuser:
rev0 = 22.5 KT
rev1 = 25.2 KT เนื่องจากโยก 2.7 KT มาจากเดือน ก.พ. 63</t>
        </r>
      </text>
    </comment>
    <comment ref="BB7" authorId="2" shapeId="0" xr:uid="{00000000-0006-0000-0500-000024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500-000025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500-000026000000}">
      <text>
        <r>
          <rPr>
            <b/>
            <sz val="9"/>
            <color indexed="81"/>
            <rFont val="Tahoma"/>
            <family val="2"/>
          </rPr>
          <t>Windows User:</t>
        </r>
        <r>
          <rPr>
            <sz val="9"/>
            <color indexed="81"/>
            <rFont val="Tahoma"/>
            <family val="2"/>
          </rPr>
          <t xml:space="preserve">
rev0 = 24.5 KT
rev1 = 25.5 KT</t>
        </r>
      </text>
    </comment>
    <comment ref="BI7" authorId="2" shapeId="0" xr:uid="{00000000-0006-0000-0500-000027000000}">
      <text>
        <r>
          <rPr>
            <b/>
            <sz val="9"/>
            <color indexed="81"/>
            <rFont val="Tahoma"/>
            <family val="2"/>
          </rPr>
          <t>Windows User:
rev0 = 21.5 KT
rev1 = 20 KT เหตุจาก GSP5</t>
        </r>
      </text>
    </comment>
    <comment ref="BJ7" authorId="2" shapeId="0" xr:uid="{00000000-0006-0000-0500-000028000000}">
      <text>
        <r>
          <rPr>
            <b/>
            <sz val="9"/>
            <color indexed="81"/>
            <rFont val="Tahoma"/>
            <family val="2"/>
          </rPr>
          <t>Windows User:</t>
        </r>
        <r>
          <rPr>
            <sz val="9"/>
            <color indexed="81"/>
            <rFont val="Tahoma"/>
            <family val="2"/>
          </rPr>
          <t xml:space="preserve">
20</t>
        </r>
      </text>
    </comment>
    <comment ref="BK7" authorId="2" shapeId="0" xr:uid="{00000000-0006-0000-0500-000029000000}">
      <text>
        <r>
          <rPr>
            <b/>
            <sz val="9"/>
            <color indexed="81"/>
            <rFont val="Tahoma"/>
            <family val="2"/>
          </rPr>
          <t>Windows User:</t>
        </r>
        <r>
          <rPr>
            <sz val="9"/>
            <color indexed="81"/>
            <rFont val="Tahoma"/>
            <family val="2"/>
          </rPr>
          <t xml:space="preserve">
rev1 = 24.5 KT
</t>
        </r>
      </text>
    </comment>
    <comment ref="BL7" authorId="2" shapeId="0" xr:uid="{00000000-0006-0000-0500-00002A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500-00002B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500-00002C000000}">
      <text>
        <r>
          <rPr>
            <b/>
            <sz val="9"/>
            <color indexed="81"/>
            <rFont val="Tahoma"/>
            <family val="2"/>
          </rPr>
          <t>Windows User:</t>
        </r>
        <r>
          <rPr>
            <sz val="9"/>
            <color indexed="81"/>
            <rFont val="Tahoma"/>
            <family val="2"/>
          </rPr>
          <t xml:space="preserve">
rev0 = 27.5 KT
rev1 = 26.5 KT
rev2 = 26 KT</t>
        </r>
      </text>
    </comment>
    <comment ref="BP7" authorId="2" shapeId="0" xr:uid="{00000000-0006-0000-0500-00002D000000}">
      <text>
        <r>
          <rPr>
            <b/>
            <sz val="9"/>
            <color indexed="81"/>
            <rFont val="Tahoma"/>
            <family val="2"/>
          </rPr>
          <t>Windows User:</t>
        </r>
        <r>
          <rPr>
            <sz val="9"/>
            <color indexed="81"/>
            <rFont val="Tahoma"/>
            <family val="2"/>
          </rPr>
          <t xml:space="preserve">
rev0 = 21.5 KT
rev1 = 22 KT GC ขอรับเพิ่ม
</t>
        </r>
      </text>
    </comment>
    <comment ref="BQ7" authorId="1" shapeId="0" xr:uid="{00000000-0006-0000-0500-00002E000000}">
      <text>
        <r>
          <rPr>
            <b/>
            <sz val="9"/>
            <color indexed="81"/>
            <rFont val="Tahoma"/>
            <family val="2"/>
          </rPr>
          <t>Quantumuser:</t>
        </r>
        <r>
          <rPr>
            <sz val="9"/>
            <color indexed="81"/>
            <rFont val="Tahoma"/>
            <family val="2"/>
          </rPr>
          <t xml:space="preserve">
rev0 = 19
rev1= 18 PTT Gas compo drop (รอ GC confirm)</t>
        </r>
      </text>
    </comment>
    <comment ref="BR7" authorId="1" shapeId="0" xr:uid="{00000000-0006-0000-0500-00002F000000}">
      <text>
        <r>
          <rPr>
            <b/>
            <sz val="9"/>
            <color indexed="81"/>
            <rFont val="Tahoma"/>
            <family val="2"/>
          </rPr>
          <t>Quantumuser:</t>
        </r>
        <r>
          <rPr>
            <sz val="9"/>
            <color indexed="81"/>
            <rFont val="Tahoma"/>
            <family val="2"/>
          </rPr>
          <t xml:space="preserve">
rev0 = 24.5
rev1 = 23 GC ขอลดรับเหลือ 0 แต่เราให้แค่ -1.5KT
rev2=22 PTT compo drop และต้องเตรียมของเผื่อส่งออก
rev3=21.2 PTT ปรับลด เพื่อเตรียมเผื่อต้องส่งของไป PTTTANK เคลียร์ NGL ค้างท่อ
rev4 = 19.7KT ปรับลดจาก GSP ลด lode 5%</t>
        </r>
      </text>
    </comment>
    <comment ref="BS7" authorId="1" shapeId="0" xr:uid="{00000000-0006-0000-0500-000030000000}">
      <text>
        <r>
          <rPr>
            <b/>
            <sz val="9"/>
            <color indexed="81"/>
            <rFont val="Tahoma"/>
            <family val="2"/>
          </rPr>
          <t>Quantumuser:</t>
        </r>
        <r>
          <rPr>
            <sz val="9"/>
            <color indexed="81"/>
            <rFont val="Tahoma"/>
            <family val="2"/>
          </rPr>
          <t xml:space="preserve">
rev0 =19
rev1 = 17.5 GC ขอลดรับเหลือ 0 แต่เราให้แค่ -1.5K</t>
        </r>
      </text>
    </comment>
    <comment ref="BT7" authorId="1" shapeId="0" xr:uid="{00000000-0006-0000-0500-000031000000}">
      <text>
        <r>
          <rPr>
            <b/>
            <sz val="9"/>
            <color indexed="81"/>
            <rFont val="Tahoma"/>
            <family val="2"/>
          </rPr>
          <t>Quantumuser:</t>
        </r>
        <r>
          <rPr>
            <sz val="9"/>
            <color indexed="81"/>
            <rFont val="Tahoma"/>
            <family val="2"/>
          </rPr>
          <t xml:space="preserve">
Rev0 =18.52
Rev1 = 24.69 GSP compo เพิ่ม รอ cf</t>
        </r>
      </text>
    </comment>
    <comment ref="CJ7" authorId="1" shapeId="0" xr:uid="{00000000-0006-0000-0500-000032000000}">
      <text>
        <r>
          <rPr>
            <b/>
            <sz val="9"/>
            <color indexed="81"/>
            <rFont val="Tahoma"/>
            <family val="2"/>
          </rPr>
          <t>Quantumuser:</t>
        </r>
        <r>
          <rPr>
            <sz val="9"/>
            <color indexed="81"/>
            <rFont val="Tahoma"/>
            <family val="2"/>
          </rPr>
          <t xml:space="preserve">
</t>
        </r>
      </text>
    </comment>
    <comment ref="CM7" authorId="2" shapeId="0" xr:uid="{00000000-0006-0000-0500-000033000000}">
      <text>
        <r>
          <rPr>
            <b/>
            <sz val="9"/>
            <color indexed="81"/>
            <rFont val="Tahoma"/>
            <family val="2"/>
          </rPr>
          <t>Windows User:</t>
        </r>
        <r>
          <rPr>
            <sz val="9"/>
            <color indexed="81"/>
            <rFont val="Tahoma"/>
            <family val="2"/>
          </rPr>
          <t xml:space="preserve">
สัญญา &gt; 250 KT</t>
        </r>
      </text>
    </comment>
    <comment ref="CO7" authorId="2" shapeId="0" xr:uid="{00000000-0006-0000-0500-000034000000}">
      <text>
        <r>
          <rPr>
            <b/>
            <sz val="9"/>
            <color indexed="81"/>
            <rFont val="Tahoma"/>
            <family val="2"/>
          </rPr>
          <t>Windows User:</t>
        </r>
        <r>
          <rPr>
            <sz val="9"/>
            <color indexed="81"/>
            <rFont val="Tahoma"/>
            <family val="2"/>
          </rPr>
          <t xml:space="preserve">
สัญญา 250 KT</t>
        </r>
      </text>
    </comment>
    <comment ref="I8" authorId="0" shapeId="0" xr:uid="{00000000-0006-0000-0500-000035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500-000036000000}">
      <text>
        <r>
          <rPr>
            <sz val="9"/>
            <color indexed="81"/>
            <rFont val="Tahoma"/>
            <family val="2"/>
          </rPr>
          <t xml:space="preserve">ทำ nom ให้ลูกค้า 30 Km3
</t>
        </r>
      </text>
    </comment>
    <comment ref="M8" authorId="0" shapeId="0" xr:uid="{00000000-0006-0000-0500-000037000000}">
      <text>
        <r>
          <rPr>
            <sz val="9"/>
            <color indexed="81"/>
            <rFont val="Tahoma"/>
            <family val="2"/>
          </rPr>
          <t>ROC T/A : 4 พ.ย. 59 – 13 ธ.ค. 59</t>
        </r>
      </text>
    </comment>
    <comment ref="N8" authorId="0" shapeId="0" xr:uid="{00000000-0006-0000-0500-000038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500-000039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500-00003A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500-00003B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500-00003C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500-00003D000000}">
      <text>
        <r>
          <rPr>
            <b/>
            <sz val="9"/>
            <color indexed="81"/>
            <rFont val="Tahoma"/>
            <family val="2"/>
          </rPr>
          <t>SAOWANI DETJAREANSRI:</t>
        </r>
        <r>
          <rPr>
            <sz val="9"/>
            <color indexed="81"/>
            <rFont val="Tahoma"/>
            <family val="2"/>
          </rPr>
          <t xml:space="preserve">
rev0 = 55 km3
</t>
        </r>
      </text>
    </comment>
    <comment ref="AO8" authorId="0" shapeId="0" xr:uid="{00000000-0006-0000-0500-00003E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500-00003F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500-000040000000}">
      <text>
        <r>
          <rPr>
            <b/>
            <sz val="9"/>
            <color indexed="81"/>
            <rFont val="Tahoma"/>
            <family val="2"/>
          </rPr>
          <t>Quantumuser:</t>
        </r>
        <r>
          <rPr>
            <sz val="9"/>
            <color indexed="81"/>
            <rFont val="Tahoma"/>
            <family val="2"/>
          </rPr>
          <t xml:space="preserve">
rev0 = 53 km3
rev1 = 55 km3</t>
        </r>
      </text>
    </comment>
    <comment ref="BC8" authorId="2" shapeId="0" xr:uid="{00000000-0006-0000-0500-000041000000}">
      <text>
        <r>
          <rPr>
            <b/>
            <sz val="9"/>
            <color indexed="81"/>
            <rFont val="Tahoma"/>
            <family val="2"/>
          </rPr>
          <t>Windows User:</t>
        </r>
        <r>
          <rPr>
            <sz val="9"/>
            <color indexed="81"/>
            <rFont val="Tahoma"/>
            <family val="2"/>
          </rPr>
          <t xml:space="preserve">
rev0 = 43.6 Km3
</t>
        </r>
      </text>
    </comment>
    <comment ref="BD8" authorId="2" shapeId="0" xr:uid="{00000000-0006-0000-0500-000042000000}">
      <text>
        <r>
          <rPr>
            <b/>
            <sz val="9"/>
            <color indexed="81"/>
            <rFont val="Tahoma"/>
            <family val="2"/>
          </rPr>
          <t>Windows User:</t>
        </r>
        <r>
          <rPr>
            <sz val="9"/>
            <color indexed="81"/>
            <rFont val="Tahoma"/>
            <family val="2"/>
          </rPr>
          <t xml:space="preserve">
53.3 Km3 (Spot MOP'J - 34.5)</t>
        </r>
      </text>
    </comment>
    <comment ref="BE8" authorId="2" shapeId="0" xr:uid="{00000000-0006-0000-0500-000043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500-000044000000}">
      <text>
        <r>
          <rPr>
            <b/>
            <sz val="9"/>
            <color indexed="81"/>
            <rFont val="Tahoma"/>
            <family val="2"/>
          </rPr>
          <t>Windows User:</t>
        </r>
        <r>
          <rPr>
            <sz val="9"/>
            <color indexed="81"/>
            <rFont val="Tahoma"/>
            <family val="2"/>
          </rPr>
          <t xml:space="preserve">
rev0 = 42.22 Km3
rev1 = 40 Km3
</t>
        </r>
      </text>
    </comment>
    <comment ref="BJ8" authorId="2" shapeId="0" xr:uid="{00000000-0006-0000-0500-000045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500-000046000000}">
      <text>
        <r>
          <rPr>
            <b/>
            <sz val="9"/>
            <color indexed="81"/>
            <rFont val="Tahoma"/>
            <family val="2"/>
          </rPr>
          <t xml:space="preserve">Windows User:rev1
rev 1 = 45 Km3
</t>
        </r>
      </text>
    </comment>
    <comment ref="BQ8" authorId="2" shapeId="0" xr:uid="{00000000-0006-0000-0500-000047000000}">
      <text>
        <r>
          <rPr>
            <b/>
            <sz val="9"/>
            <color indexed="81"/>
            <rFont val="Tahoma"/>
            <family val="2"/>
          </rPr>
          <t>Windows User:</t>
        </r>
        <r>
          <rPr>
            <sz val="9"/>
            <color indexed="81"/>
            <rFont val="Tahoma"/>
            <family val="2"/>
          </rPr>
          <t xml:space="preserve">
rev0 = 33 KT
rev1 = 36.5 KT เสนอขาย SCG เพิ่ม 3.5 Km3 เนื่องจาก stabสูงกว่าแผน
rev2 = 38.00KT (25.06)  เสนอขาย SCG เพิ่ม 1.5 Km3 เนื่องจาก stabสูงกว่าแผน</t>
        </r>
      </text>
    </comment>
    <comment ref="BR8" authorId="1" shapeId="0" xr:uid="{00000000-0006-0000-0500-000048000000}">
      <text>
        <r>
          <rPr>
            <b/>
            <sz val="9"/>
            <color indexed="81"/>
            <rFont val="Tahoma"/>
            <family val="2"/>
          </rPr>
          <t>Quantumuser:</t>
        </r>
        <r>
          <rPr>
            <sz val="9"/>
            <color indexed="81"/>
            <rFont val="Tahoma"/>
            <family val="2"/>
          </rPr>
          <t xml:space="preserve">
rev0 = 43.63
rev1 = 45.95 PTT ปรับเพิ่มขาย
rev2 44.5 ptt ขอลด ก๊าซน้อย
rev3 43.5 ptt ขอลด gsp ลด load5%</t>
        </r>
      </text>
    </comment>
    <comment ref="BS8" authorId="1" shapeId="0" xr:uid="{00000000-0006-0000-0500-000049000000}">
      <text>
        <r>
          <rPr>
            <b/>
            <sz val="9"/>
            <color indexed="81"/>
            <rFont val="Tahoma"/>
            <family val="2"/>
          </rPr>
          <t xml:space="preserve">Quantumuser:
</t>
        </r>
        <r>
          <rPr>
            <sz val="9"/>
            <color indexed="81"/>
            <rFont val="Tahoma"/>
            <family val="2"/>
          </rPr>
          <t>rev0 =42.22
rev1 = 44.54 PTT ปรับเพิ่ม
rev2 = 43.54 stab มาน้อย</t>
        </r>
      </text>
    </comment>
    <comment ref="BU8" authorId="2" shapeId="0" xr:uid="{00000000-0006-0000-0500-00004A000000}">
      <text>
        <r>
          <rPr>
            <b/>
            <sz val="9"/>
            <color indexed="81"/>
            <rFont val="Tahoma"/>
            <family val="2"/>
          </rPr>
          <t>Windows User:</t>
        </r>
        <r>
          <rPr>
            <sz val="9"/>
            <color indexed="81"/>
            <rFont val="Tahoma"/>
            <family val="2"/>
          </rPr>
          <t xml:space="preserve">
rev0 = 43 Km3
rev1 = 45 Km3 SCG แจ้งขอรับเพิ่ม 
</t>
        </r>
      </text>
    </comment>
    <comment ref="B10" authorId="3" shapeId="0" xr:uid="{C7C2C1FC-3777-4C30-8742-2B884221565B}">
      <text>
        <r>
          <rPr>
            <b/>
            <sz val="9"/>
            <color indexed="81"/>
            <rFont val="Tahoma"/>
            <family val="2"/>
          </rPr>
          <t>Chalida:</t>
        </r>
        <r>
          <rPr>
            <sz val="9"/>
            <color indexed="81"/>
            <rFont val="Tahoma"/>
            <family val="2"/>
          </rPr>
          <t xml:space="preserve">
คุยกับคุณเตย [2022/01/19][ตัวเลขเพื่อ run pic จาก ry ไป MT(ปริมาณที่ใช้ล้างท่อ) เหมือนเป็น</t>
        </r>
      </text>
    </comment>
    <comment ref="K10" authorId="0" shapeId="0" xr:uid="{00000000-0006-0000-0500-00004B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500-00004C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500-00004D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500-00004E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500-00004F000000}">
      <text>
        <r>
          <rPr>
            <b/>
            <sz val="9"/>
            <color indexed="81"/>
            <rFont val="Tahoma"/>
            <family val="2"/>
          </rPr>
          <t>SAOWANI DETJAREANSRI:</t>
        </r>
        <r>
          <rPr>
            <sz val="9"/>
            <color indexed="81"/>
            <rFont val="Tahoma"/>
            <family val="2"/>
          </rPr>
          <t xml:space="preserve">
20-22 July 18
PTT TANK</t>
        </r>
      </text>
    </comment>
    <comment ref="AI10" authorId="0" shapeId="0" xr:uid="{00000000-0006-0000-0500-000050000000}">
      <text>
        <r>
          <rPr>
            <b/>
            <sz val="9"/>
            <color indexed="81"/>
            <rFont val="Tahoma"/>
            <family val="2"/>
          </rPr>
          <t>SAOWANI DETJAREANSRI:</t>
        </r>
        <r>
          <rPr>
            <sz val="9"/>
            <color indexed="81"/>
            <rFont val="Tahoma"/>
            <family val="2"/>
          </rPr>
          <t xml:space="preserve">
PTT TANK</t>
        </r>
      </text>
    </comment>
    <comment ref="AJ10" authorId="0" shapeId="0" xr:uid="{00000000-0006-0000-0500-000051000000}">
      <text>
        <r>
          <rPr>
            <b/>
            <sz val="9"/>
            <color indexed="81"/>
            <rFont val="Tahoma"/>
            <family val="2"/>
          </rPr>
          <t>SAOWANI DETJAREANSRI:</t>
        </r>
        <r>
          <rPr>
            <sz val="9"/>
            <color indexed="81"/>
            <rFont val="Tahoma"/>
            <family val="2"/>
          </rPr>
          <t xml:space="preserve">
PTT TANK</t>
        </r>
      </text>
    </comment>
    <comment ref="AZ10" authorId="1" shapeId="0" xr:uid="{00000000-0006-0000-0500-000052000000}">
      <text>
        <r>
          <rPr>
            <b/>
            <sz val="9"/>
            <color indexed="81"/>
            <rFont val="Tahoma"/>
            <family val="2"/>
          </rPr>
          <t xml:space="preserve">Quantumuser:
rev 0 = 1.9 Km3
rev1 = 0.5 Km3 cancel
</t>
        </r>
      </text>
    </comment>
    <comment ref="BJ10" authorId="2" shapeId="0" xr:uid="{00000000-0006-0000-0500-000053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500-000054000000}">
      <text>
        <r>
          <rPr>
            <b/>
            <sz val="9"/>
            <color indexed="81"/>
            <rFont val="Tahoma"/>
            <family val="2"/>
          </rPr>
          <t>Windows User:</t>
        </r>
        <r>
          <rPr>
            <sz val="9"/>
            <color indexed="81"/>
            <rFont val="Tahoma"/>
            <family val="2"/>
          </rPr>
          <t xml:space="preserve">
ส่งออก NGL to TBU 3-5 Feb
</t>
        </r>
      </text>
    </comment>
    <comment ref="BR10" authorId="1" shapeId="0" xr:uid="{00000000-0006-0000-0500-000055000000}">
      <text>
        <r>
          <rPr>
            <b/>
            <sz val="9"/>
            <color indexed="81"/>
            <rFont val="Tahoma"/>
            <family val="2"/>
          </rPr>
          <t>Quantumuser:</t>
        </r>
        <r>
          <rPr>
            <sz val="9"/>
            <color indexed="81"/>
            <rFont val="Tahoma"/>
            <family val="2"/>
          </rPr>
          <t xml:space="preserve">
ส่งไป MT เพื่อเติมเรือ เนื่องจากต้องเคลีย์ NGL คงค้าง @PTTTANK
แต่ติดปัญหาศุลกากรเรื่องจุดวัดปริมาณ ทำให้ต้องเลื่อนออกไปก่อน</t>
        </r>
      </text>
    </comment>
    <comment ref="BS10" authorId="1" shapeId="0" xr:uid="{00000000-0006-0000-0500-000056000000}">
      <text>
        <r>
          <rPr>
            <b/>
            <sz val="9"/>
            <color indexed="81"/>
            <rFont val="Tahoma"/>
            <family val="2"/>
          </rPr>
          <t>Quantumuser:</t>
        </r>
        <r>
          <rPr>
            <sz val="9"/>
            <color indexed="81"/>
            <rFont val="Tahoma"/>
            <family val="2"/>
          </rPr>
          <t xml:space="preserve">
ที่ต้องเคลีย์ NGL คงค้างที่ PTTANK ยังออกไม่ได้ แต่ต้องส่งออกแล้วตาม commit ลูกค้า จึงต้องส่งของไปเพิ่มที่ MT เติมเรือ</t>
        </r>
      </text>
    </comment>
    <comment ref="BT10" authorId="1" shapeId="0" xr:uid="{00000000-0006-0000-0500-000057000000}">
      <text>
        <r>
          <rPr>
            <b/>
            <sz val="9"/>
            <color indexed="81"/>
            <rFont val="Tahoma"/>
            <family val="2"/>
          </rPr>
          <t>Quantumuser:</t>
        </r>
        <r>
          <rPr>
            <sz val="9"/>
            <color indexed="81"/>
            <rFont val="Tahoma"/>
            <family val="2"/>
          </rPr>
          <t xml:space="preserve">
1. Project Pic need 1.1Km3 วผ ขอ within OCT, ตป วางให้ 1.45 เพราะเอาไปเติมเรือ ส่งออก PTTTANK
2. 0.3 วผ ขอเพิ่มเพราะ PIC ติด ขอเดือนนี้เลย และจะขออีก 1.2 เดือน พ.ย MT</t>
        </r>
      </text>
    </comment>
    <comment ref="BU10" authorId="1" shapeId="0" xr:uid="{00000000-0006-0000-0500-000058000000}">
      <text>
        <r>
          <rPr>
            <b/>
            <sz val="9"/>
            <color indexed="81"/>
            <rFont val="Tahoma"/>
            <family val="2"/>
          </rPr>
          <t>Quantumuser:</t>
        </r>
        <r>
          <rPr>
            <sz val="9"/>
            <color indexed="81"/>
            <rFont val="Tahoma"/>
            <family val="2"/>
          </rPr>
          <t xml:space="preserve">
วผ กำหนด vol เพื่อค้างท่อไว้ ที่ MTหลังจากนี้ต้องขายออกไม่เกิน 1 ปี
เหลือ 1.5 Km3 ค้างท่อ (check กผ.)
Nov พี่เจ๋งใช้ run pic maintenance 150 m3 (ขอไว้ 700 m3)</t>
        </r>
      </text>
    </comment>
    <comment ref="BV10" authorId="2" shapeId="0" xr:uid="{00000000-0006-0000-0500-000059000000}">
      <text>
        <r>
          <rPr>
            <b/>
            <sz val="9"/>
            <color indexed="81"/>
            <rFont val="Tahoma"/>
            <family val="2"/>
          </rPr>
          <t>Windows User:</t>
        </r>
        <r>
          <rPr>
            <sz val="9"/>
            <color indexed="81"/>
            <rFont val="Tahoma"/>
            <family val="2"/>
          </rPr>
          <t xml:space="preserve">
ขาด 700 m3 เพื่อรวมรอส่งออก</t>
        </r>
      </text>
    </comment>
    <comment ref="B11" authorId="3" shapeId="0" xr:uid="{6F922C18-7879-4661-8264-167F4F6A98BA}">
      <text>
        <r>
          <rPr>
            <b/>
            <sz val="9"/>
            <color indexed="81"/>
            <rFont val="Tahoma"/>
            <family val="2"/>
          </rPr>
          <t>Chalida:</t>
        </r>
        <r>
          <rPr>
            <sz val="9"/>
            <color indexed="81"/>
            <rFont val="Tahoma"/>
            <family val="2"/>
          </rPr>
          <t xml:space="preserve">
คุยกับคุณเตย [2022/01/19][ตัวเลขเพื่อ run pic จาก ry ไป MT(ปริมาณที่ใช้ล้างท่อ) เหมือนเป็น</t>
        </r>
      </text>
    </comment>
    <comment ref="AX13" authorId="2" shapeId="0" xr:uid="{00000000-0006-0000-0500-00005A000000}">
      <text>
        <r>
          <rPr>
            <b/>
            <sz val="9"/>
            <color indexed="81"/>
            <rFont val="Tahoma"/>
            <family val="2"/>
          </rPr>
          <t>Windows User:</t>
        </r>
        <r>
          <rPr>
            <sz val="9"/>
            <color indexed="81"/>
            <rFont val="Tahoma"/>
            <family val="2"/>
          </rPr>
          <t xml:space="preserve">
ห้ามเกิน 47%</t>
        </r>
      </text>
    </comment>
    <comment ref="AY13" authorId="1" shapeId="0" xr:uid="{00000000-0006-0000-0500-00005B000000}">
      <text>
        <r>
          <rPr>
            <b/>
            <sz val="9"/>
            <color indexed="81"/>
            <rFont val="Tahoma"/>
            <family val="2"/>
          </rPr>
          <t>Quantumuser:</t>
        </r>
        <r>
          <rPr>
            <sz val="9"/>
            <color indexed="81"/>
            <rFont val="Tahoma"/>
            <family val="2"/>
          </rPr>
          <t xml:space="preserve">
ไม่ควรปิดสูงกว่า 35%</t>
        </r>
      </text>
    </comment>
    <comment ref="BR13" authorId="1" shapeId="0" xr:uid="{00000000-0006-0000-0500-00005C000000}">
      <text>
        <r>
          <rPr>
            <b/>
            <sz val="9"/>
            <color indexed="81"/>
            <rFont val="Tahoma"/>
            <family val="2"/>
          </rPr>
          <t>Quantumuser:</t>
        </r>
        <r>
          <rPr>
            <sz val="9"/>
            <color indexed="81"/>
            <rFont val="Tahoma"/>
            <family val="2"/>
          </rPr>
          <t xml:space="preserve">
กผ มองว่า stab อาจเพิ่ม กลางเดือน กค คุยอีกที</t>
        </r>
      </text>
    </comment>
    <comment ref="BS13" authorId="1" shapeId="0" xr:uid="{00000000-0006-0000-0500-00005D000000}">
      <text>
        <r>
          <rPr>
            <b/>
            <sz val="9"/>
            <color indexed="81"/>
            <rFont val="Tahoma"/>
            <family val="2"/>
          </rPr>
          <t>Quantumuser:</t>
        </r>
        <r>
          <rPr>
            <sz val="9"/>
            <color indexed="81"/>
            <rFont val="Tahoma"/>
            <family val="2"/>
          </rPr>
          <t xml:space="preserve">
รายวันขอเก็บก่อน 47%</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G2" authorId="0" shapeId="0" xr:uid="{00000000-0006-0000-0700-000001000000}">
      <text>
        <r>
          <rPr>
            <b/>
            <sz val="9"/>
            <color indexed="81"/>
            <rFont val="Tahoma"/>
            <family val="2"/>
          </rPr>
          <t>Quantumuser:</t>
        </r>
        <r>
          <rPr>
            <sz val="9"/>
            <color indexed="81"/>
            <rFont val="Tahoma"/>
            <family val="2"/>
          </rPr>
          <t xml:space="preserve">
15 Jan - 3 Feb 2020 : GSP5 Major Turnaround 20 Days </t>
        </r>
      </text>
    </comment>
    <comment ref="H2" authorId="0" shapeId="0" xr:uid="{00000000-0006-0000-0700-000002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700-000003000000}">
      <text>
        <r>
          <rPr>
            <b/>
            <sz val="9"/>
            <color indexed="81"/>
            <rFont val="Tahoma"/>
            <family val="2"/>
          </rPr>
          <t>Quantumuser:</t>
        </r>
        <r>
          <rPr>
            <sz val="9"/>
            <color indexed="81"/>
            <rFont val="Tahoma"/>
            <family val="2"/>
          </rPr>
          <t xml:space="preserve">
May 2020 : GSP1 Major Turnaorund 25 Days </t>
        </r>
      </text>
    </comment>
    <comment ref="G16" authorId="0" shapeId="0" xr:uid="{00000000-0006-0000-0700-000004000000}">
      <text>
        <r>
          <rPr>
            <b/>
            <sz val="9"/>
            <color indexed="81"/>
            <rFont val="Tahoma"/>
            <family val="2"/>
          </rPr>
          <t>Quantumuser:</t>
        </r>
        <r>
          <rPr>
            <sz val="9"/>
            <color indexed="81"/>
            <rFont val="Tahoma"/>
            <family val="2"/>
          </rPr>
          <t xml:space="preserve">
15 Jan - 3 Feb 2020 : GSP5 Major Turnaround 20 Days </t>
        </r>
      </text>
    </comment>
    <comment ref="H16" authorId="0" shapeId="0" xr:uid="{00000000-0006-0000-0700-000005000000}">
      <text>
        <r>
          <rPr>
            <b/>
            <sz val="9"/>
            <color indexed="81"/>
            <rFont val="Tahoma"/>
            <family val="2"/>
          </rPr>
          <t>Quantumuser:</t>
        </r>
        <r>
          <rPr>
            <sz val="9"/>
            <color indexed="81"/>
            <rFont val="Tahoma"/>
            <family val="2"/>
          </rPr>
          <t xml:space="preserve">
15 Jan - 3 Feb 2020 : GSP5 Major Turnaround 20 Days </t>
        </r>
      </text>
    </comment>
    <comment ref="K16" authorId="0" shapeId="0" xr:uid="{00000000-0006-0000-0700-000006000000}">
      <text>
        <r>
          <rPr>
            <b/>
            <sz val="9"/>
            <color indexed="81"/>
            <rFont val="Tahoma"/>
            <family val="2"/>
          </rPr>
          <t>Quantumuser:</t>
        </r>
        <r>
          <rPr>
            <sz val="9"/>
            <color indexed="81"/>
            <rFont val="Tahoma"/>
            <family val="2"/>
          </rPr>
          <t xml:space="preserve">
May 2020 : GSP1 Major Turnaorund 25 Days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H2" authorId="0" shapeId="0" xr:uid="{00000000-0006-0000-0800-000001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800-000002000000}">
      <text>
        <r>
          <rPr>
            <b/>
            <sz val="9"/>
            <color indexed="81"/>
            <rFont val="Tahoma"/>
            <family val="2"/>
          </rPr>
          <t>Quantumuser:</t>
        </r>
        <r>
          <rPr>
            <sz val="9"/>
            <color indexed="81"/>
            <rFont val="Tahoma"/>
            <family val="2"/>
          </rPr>
          <t xml:space="preserve">
May 2020 : GSP1 Major Turnaorund 25 Days </t>
        </r>
      </text>
    </comment>
    <comment ref="G23" authorId="0" shapeId="0" xr:uid="{00000000-0006-0000-0800-000003000000}">
      <text>
        <r>
          <rPr>
            <b/>
            <sz val="9"/>
            <color indexed="81"/>
            <rFont val="Tahoma"/>
            <family val="2"/>
          </rPr>
          <t>Quantumuser:</t>
        </r>
        <r>
          <rPr>
            <sz val="9"/>
            <color indexed="81"/>
            <rFont val="Tahoma"/>
            <family val="2"/>
          </rPr>
          <t xml:space="preserve">
15 Jan - 3 Feb 2020 : GSP5 Major Turnaround 20 Days </t>
        </r>
      </text>
    </comment>
    <comment ref="H23" authorId="0" shapeId="0" xr:uid="{00000000-0006-0000-0800-000004000000}">
      <text>
        <r>
          <rPr>
            <b/>
            <sz val="9"/>
            <color indexed="81"/>
            <rFont val="Tahoma"/>
            <family val="2"/>
          </rPr>
          <t>Quantumuser:</t>
        </r>
        <r>
          <rPr>
            <sz val="9"/>
            <color indexed="81"/>
            <rFont val="Tahoma"/>
            <family val="2"/>
          </rPr>
          <t xml:space="preserve">
15 Jan - 3 Feb 2020 : GSP5 Major Turnaround 20 Days </t>
        </r>
      </text>
    </comment>
    <comment ref="K23" authorId="0" shapeId="0" xr:uid="{00000000-0006-0000-0800-000005000000}">
      <text>
        <r>
          <rPr>
            <b/>
            <sz val="9"/>
            <color indexed="81"/>
            <rFont val="Tahoma"/>
            <family val="2"/>
          </rPr>
          <t>Quantumuser:</t>
        </r>
        <r>
          <rPr>
            <sz val="9"/>
            <color indexed="81"/>
            <rFont val="Tahoma"/>
            <family val="2"/>
          </rPr>
          <t xml:space="preserve">
May 2020 : GSP1 Major Turnaorund 25 Days </t>
        </r>
      </text>
    </comment>
  </commentList>
</comments>
</file>

<file path=xl/sharedStrings.xml><?xml version="1.0" encoding="utf-8"?>
<sst xmlns="http://schemas.openxmlformats.org/spreadsheetml/2006/main" count="1129" uniqueCount="408">
  <si>
    <t>GC</t>
  </si>
  <si>
    <t>SPRC</t>
  </si>
  <si>
    <t>PTTEP (LKB)</t>
  </si>
  <si>
    <t>GSP RY</t>
  </si>
  <si>
    <t>Supply</t>
  </si>
  <si>
    <t>GSP KHM</t>
  </si>
  <si>
    <t>Demand</t>
  </si>
  <si>
    <t>Source</t>
  </si>
  <si>
    <t>Petro</t>
  </si>
  <si>
    <t>M.7</t>
  </si>
  <si>
    <t>Delivery Point</t>
  </si>
  <si>
    <t>GC (C3/LPG)</t>
  </si>
  <si>
    <t>ROC (LPG)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</si>
  <si>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</si>
  <si>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</si>
  <si>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</si>
  <si>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</si>
  <si>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</si>
  <si>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</si>
  <si>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</si>
  <si>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</si>
  <si>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</si>
  <si>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</si>
  <si>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</si>
  <si>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</si>
  <si>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</si>
  <si>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</si>
  <si>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</si>
  <si>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</si>
  <si>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</si>
  <si>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</si>
  <si>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</si>
  <si>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</si>
  <si>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</si>
  <si>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</si>
  <si>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</si>
  <si>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</si>
  <si>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</si>
  <si>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</si>
  <si>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</si>
  <si>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</si>
  <si>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</si>
  <si>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</si>
  <si>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</si>
  <si>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</si>
  <si>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</si>
  <si>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</si>
  <si>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</si>
  <si>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</si>
  <si>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BRP</t>
  </si>
  <si>
    <t>Total Demand</t>
  </si>
  <si>
    <t>PTTOR (C3)</t>
  </si>
  <si>
    <t>ดึง Unknow untax</t>
  </si>
  <si>
    <t>UNO</t>
  </si>
  <si>
    <t>NGL (km3)</t>
  </si>
  <si>
    <t>Km3</t>
  </si>
  <si>
    <t>Supply (IN)</t>
  </si>
  <si>
    <t>Demand (OUT)</t>
  </si>
  <si>
    <t xml:space="preserve">PTTGC (km3) </t>
  </si>
  <si>
    <t>ALT</t>
  </si>
  <si>
    <t>-</t>
  </si>
  <si>
    <t>Inventory</t>
  </si>
  <si>
    <t>End Inventory (m3)</t>
  </si>
  <si>
    <t>End Inventory (%)</t>
  </si>
  <si>
    <t>Surplus/Deficit</t>
  </si>
  <si>
    <t>Total Petro</t>
  </si>
  <si>
    <t>Non M.7</t>
  </si>
  <si>
    <t>PTTGC (kTON)</t>
  </si>
  <si>
    <t>ROC</t>
  </si>
  <si>
    <t>NGL 2019</t>
  </si>
  <si>
    <t>MOP'J-15.5</t>
  </si>
  <si>
    <t>MOP'J-12</t>
  </si>
  <si>
    <t>Unit</t>
  </si>
  <si>
    <t>NGL</t>
  </si>
  <si>
    <t>C3/LPG</t>
  </si>
  <si>
    <t>min</t>
  </si>
  <si>
    <t>max</t>
  </si>
  <si>
    <t>End Contract</t>
  </si>
  <si>
    <t>Ethane</t>
  </si>
  <si>
    <t>PTTGC I-1</t>
  </si>
  <si>
    <t>Dec 31,2020</t>
  </si>
  <si>
    <t>Ton/Year</t>
  </si>
  <si>
    <t>PTTGC I-4</t>
  </si>
  <si>
    <t>PTTPE</t>
  </si>
  <si>
    <t>Jan 25,2025</t>
  </si>
  <si>
    <t>C2 Total</t>
  </si>
  <si>
    <t>2017 = 2395000</t>
  </si>
  <si>
    <t>Propane</t>
  </si>
  <si>
    <t>C3 - PTTGC I-1</t>
  </si>
  <si>
    <t>LPG</t>
  </si>
  <si>
    <t>LPG - PTTGC I-1</t>
  </si>
  <si>
    <t>LPG - PTTGC I-4</t>
  </si>
  <si>
    <t>May 31,2021</t>
  </si>
  <si>
    <t>PTTGC LPG</t>
  </si>
  <si>
    <t>LPG - I-4(Debott. I)</t>
  </si>
  <si>
    <t>PTTGC C3/LPG</t>
  </si>
  <si>
    <t>LPG - I-4(Debott. II)</t>
  </si>
  <si>
    <t>HMC C3</t>
  </si>
  <si>
    <t>Jan 18,2025</t>
  </si>
  <si>
    <t>PTTGC Total</t>
  </si>
  <si>
    <t>PTTAC C3</t>
  </si>
  <si>
    <t>Nov 2,2026</t>
  </si>
  <si>
    <t>HMC</t>
  </si>
  <si>
    <t>ROC LPG</t>
  </si>
  <si>
    <t>May 31,2023</t>
  </si>
  <si>
    <t>PTTAC</t>
  </si>
  <si>
    <t>C3/LPG Total</t>
  </si>
  <si>
    <t>PTTGC I-4 (TON)</t>
  </si>
  <si>
    <t>m3/Year</t>
  </si>
  <si>
    <t>m3/hr</t>
  </si>
  <si>
    <t>m3/month</t>
  </si>
  <si>
    <t>Jan 31,2021</t>
  </si>
  <si>
    <t>ROC 2017 - 2019 : 480 - 700 Km3</t>
  </si>
  <si>
    <t>SAKC</t>
  </si>
  <si>
    <t>Feb 28,2018</t>
  </si>
  <si>
    <t>Export</t>
  </si>
  <si>
    <t>IC5</t>
  </si>
  <si>
    <t>Feb 19,2025</t>
  </si>
  <si>
    <t>CO2</t>
  </si>
  <si>
    <t>PXT</t>
  </si>
  <si>
    <t>Dec 31,2028</t>
  </si>
  <si>
    <t>Linde</t>
  </si>
  <si>
    <t>Dec 31,2022</t>
  </si>
  <si>
    <t>CO2 Total</t>
  </si>
  <si>
    <t>max cap Dom</t>
  </si>
  <si>
    <t>Ton/month</t>
  </si>
  <si>
    <t>Total</t>
  </si>
  <si>
    <t>Ton/year</t>
  </si>
  <si>
    <t>ขั้นต่ำ ไม่รวม KHM</t>
  </si>
  <si>
    <t>GSPs</t>
  </si>
  <si>
    <t>Feed gas</t>
  </si>
  <si>
    <t>C2</t>
  </si>
  <si>
    <t>C3</t>
  </si>
  <si>
    <t>MMSCFD/day</t>
  </si>
  <si>
    <t>TON/day</t>
  </si>
  <si>
    <t>m3/day</t>
  </si>
  <si>
    <t>GSP1</t>
  </si>
  <si>
    <t>ESP</t>
  </si>
  <si>
    <t>GSP2 (285)</t>
  </si>
  <si>
    <t>GSP3 (383)</t>
  </si>
  <si>
    <t>GSP5</t>
  </si>
  <si>
    <t>GSP6</t>
  </si>
  <si>
    <t>TON/Year</t>
  </si>
  <si>
    <t>% C3/LPG GSP Inventory</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</si>
  <si>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</si>
  <si>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</si>
  <si>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</si>
  <si>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</si>
  <si>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</si>
  <si>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</si>
  <si>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</si>
  <si>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</si>
  <si>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</si>
  <si>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</si>
  <si>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</si>
  <si>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</si>
  <si>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</si>
  <si>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</si>
  <si>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</si>
  <si>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Domestic</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</si>
  <si>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</si>
  <si>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</si>
  <si>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</si>
  <si>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</si>
  <si>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</si>
  <si>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</si>
  <si>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</si>
  <si>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</si>
  <si>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</si>
  <si>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</si>
  <si>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</si>
  <si>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</si>
  <si>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</si>
  <si>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</si>
  <si>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</si>
  <si>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</si>
  <si>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</si>
  <si>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BRP Ending Inventory</t>
  </si>
  <si>
    <t xml:space="preserve">LR by Legal </t>
  </si>
  <si>
    <t>LR by Internal Control</t>
  </si>
  <si>
    <t>MT-Sphere Ending Inventory</t>
  </si>
  <si>
    <t>MT-C3 Refig Ending Inventory</t>
  </si>
  <si>
    <t>MT-C4 Refig Ending Inventory</t>
  </si>
  <si>
    <t>MT-C3 Refig Ending Inventory (LIFE)</t>
  </si>
  <si>
    <t>MT-C4 Refig Ending Inventory (LIFE)</t>
  </si>
  <si>
    <t>SCG</t>
  </si>
  <si>
    <t>%NGL GSP Inventory</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</si>
  <si>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</si>
  <si>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</si>
  <si>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</si>
  <si>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</si>
  <si>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</si>
  <si>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</si>
  <si>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</si>
  <si>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</si>
  <si>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</si>
  <si>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</si>
  <si>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</si>
  <si>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</si>
  <si>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</si>
  <si>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</si>
  <si>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</si>
  <si>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</si>
  <si>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</si>
  <si>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</si>
  <si>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</si>
  <si>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</si>
  <si>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</si>
  <si>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</si>
  <si>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</si>
  <si>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</si>
  <si>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</si>
  <si>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</si>
  <si>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</si>
  <si>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</si>
  <si>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</si>
  <si>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</si>
  <si>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</si>
  <si>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</si>
  <si>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</si>
  <si>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</si>
  <si>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</si>
  <si>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</si>
  <si>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</si>
  <si>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</si>
  <si>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</si>
  <si>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</si>
  <si>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รอจำหน่าย/Export</t>
  </si>
  <si>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</si>
  <si>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</si>
  <si>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</si>
  <si>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</si>
  <si>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</si>
  <si>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</si>
  <si>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</si>
  <si>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</si>
  <si>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</si>
  <si>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</si>
  <si>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</si>
  <si>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</si>
  <si>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</si>
  <si>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</si>
  <si>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</si>
  <si>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</si>
  <si>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</si>
  <si>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</si>
  <si>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</si>
  <si>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</si>
  <si>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</si>
  <si>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</si>
  <si>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</si>
  <si>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</si>
  <si>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</si>
  <si>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</si>
  <si>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</si>
  <si>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</si>
  <si>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</si>
  <si>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</si>
  <si>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</si>
  <si>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</si>
  <si>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</si>
  <si>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</si>
  <si>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</si>
  <si>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</si>
  <si>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</si>
  <si>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</si>
  <si>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</si>
  <si>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</si>
  <si>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</si>
  <si>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</si>
  <si>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t>C3 Import to SCG</t>
  </si>
  <si>
    <t>C2 Low CO2 to SCG</t>
  </si>
  <si>
    <t>น้ำเงิน</t>
  </si>
  <si>
    <t>แดง</t>
  </si>
  <si>
    <t>Tentative</t>
  </si>
  <si>
    <t>ลูกค้า OK</t>
  </si>
  <si>
    <t>Balance LPG Petro (ประมาณ 54 KT check เดือนต่อเดือน)</t>
  </si>
  <si>
    <t>Since Jul'21 วาง max 15 Ton/hr. แล้วตัดตามอัตราส่วน</t>
  </si>
  <si>
    <t>Cross to LPG (normal cross C3 to aerosol 1,000 Ton/เดือน)</t>
  </si>
  <si>
    <t>C3 (TON)</t>
  </si>
  <si>
    <t>Jan</t>
  </si>
  <si>
    <t>Feb</t>
  </si>
  <si>
    <t>Mar</t>
  </si>
  <si>
    <t>Apr</t>
  </si>
  <si>
    <t>May</t>
  </si>
  <si>
    <t>Jun</t>
  </si>
  <si>
    <t>Jul</t>
  </si>
  <si>
    <t>Aug</t>
  </si>
  <si>
    <t>Sep</t>
  </si>
  <si>
    <t>Oct</t>
  </si>
  <si>
    <t>Nov</t>
  </si>
  <si>
    <t>Dec</t>
  </si>
  <si>
    <t>SCG Demand (Updated on 31/5/64)</t>
  </si>
  <si>
    <t>ข้อมูลจาก เมย์ ending month</t>
  </si>
  <si>
    <t>วางให้ถูกเดือน / ปี</t>
  </si>
  <si>
    <t>Total C2 (Ability 7rev0_2June'21)</t>
  </si>
  <si>
    <r>
      <t>ROC</t>
    </r>
    <r>
      <rPr>
        <sz val="8"/>
        <color theme="1"/>
        <rFont val="Calibri"/>
        <family val="2"/>
        <scheme val="minor"/>
      </rPr>
      <t xml:space="preserve"> (max meter 48 T/hr.)72 m3/hr)--&gt; </t>
    </r>
    <r>
      <rPr>
        <sz val="8"/>
        <color rgb="FFFF0000"/>
        <rFont val="Calibri"/>
        <family val="2"/>
        <scheme val="minor"/>
      </rPr>
      <t>38 T/hr.</t>
    </r>
  </si>
  <si>
    <t>ม่วง</t>
  </si>
  <si>
    <t>ลูกค้า confirm รอ offical mail</t>
  </si>
  <si>
    <t>ไม่ต่ำกว่า 50% ไม่เกิน 85%</t>
  </si>
  <si>
    <t>C2 Production</t>
  </si>
  <si>
    <t>C3/LPG Supply</t>
  </si>
  <si>
    <t>C3/LPG Domestic</t>
  </si>
  <si>
    <t>C3/LPG Petro</t>
  </si>
  <si>
    <t>NGL Production</t>
  </si>
  <si>
    <t>NGL SCG</t>
  </si>
  <si>
    <t>NGL GC</t>
  </si>
  <si>
    <t>C5 Production</t>
  </si>
  <si>
    <t>C5 SCG</t>
  </si>
  <si>
    <t>NGL Export</t>
  </si>
  <si>
    <t>LD for 1 Rx cleaning</t>
  </si>
  <si>
    <t>Old plan</t>
  </si>
  <si>
    <t>HMC Updated on 14 Jul'21</t>
  </si>
  <si>
    <t>HMC PDH  plan during 2022</t>
  </si>
  <si>
    <t>Plant</t>
  </si>
  <si>
    <t>S/D period</t>
  </si>
  <si>
    <t>S/D</t>
  </si>
  <si>
    <t>S/D plan (days)</t>
  </si>
  <si>
    <t>Propane Qty (MT)</t>
  </si>
  <si>
    <t>HMC PDH  plan during 2023 - 2032</t>
  </si>
  <si>
    <t>Q3</t>
  </si>
  <si>
    <t>MTA</t>
  </si>
  <si>
    <t>LD for Rx cleaning</t>
  </si>
  <si>
    <t>T/A</t>
  </si>
  <si>
    <t>Tons</t>
  </si>
  <si>
    <t>Sum</t>
  </si>
  <si>
    <t xml:space="preserve">    131,400 </t>
  </si>
  <si>
    <t xml:space="preserve">    122,640 </t>
  </si>
  <si>
    <t>Propane Substitute</t>
  </si>
  <si>
    <t>Total Popane to SCG</t>
  </si>
  <si>
    <t>Allocate concept</t>
  </si>
  <si>
    <t>Ethane ลด 1 จ่าย Propane 2</t>
  </si>
  <si>
    <t>BZ Planning to SCG</t>
  </si>
  <si>
    <t>ปริมาณที่หายไปต่อเดือน</t>
  </si>
  <si>
    <t>Propane Subsitute</t>
  </si>
  <si>
    <t xml:space="preserve">      11,160 </t>
  </si>
  <si>
    <t xml:space="preserve">      10,080 </t>
  </si>
  <si>
    <t xml:space="preserve">      11,160 </t>
  </si>
  <si>
    <t xml:space="preserve">      10,800 </t>
  </si>
  <si>
    <t>AC Updated on 26 Aug'21</t>
  </si>
  <si>
    <t xml:space="preserve">Propane rolling monthly demand in 2022 </t>
  </si>
  <si>
    <t xml:space="preserve">Propane yearly demand 2023-2032 </t>
  </si>
  <si>
    <t>Feedstock Availability (Kton)</t>
  </si>
  <si>
    <t>Base &amp; Low</t>
  </si>
  <si>
    <t>Regular</t>
  </si>
  <si>
    <t>Low CO2</t>
  </si>
  <si>
    <t>Total C3</t>
  </si>
  <si>
    <t>- C3 GSP</t>
  </si>
  <si>
    <t>-C3 Import</t>
  </si>
  <si>
    <t xml:space="preserve">  - LPG</t>
  </si>
  <si>
    <t>Ac unit rate</t>
  </si>
  <si>
    <t>SUM Y2022</t>
  </si>
  <si>
    <t>C3 รายย้อน</t>
  </si>
  <si>
    <t>GC group ที่ต้องลดขาย</t>
  </si>
  <si>
    <t>Total C2 (Ability 11rev3_20Oct'21)</t>
  </si>
  <si>
    <t>Import Cargo to MT Port</t>
  </si>
  <si>
    <t>Import Cargo of PTT</t>
  </si>
  <si>
    <t>ตัด AC ให้ได้ตาม Unit Run</t>
  </si>
  <si>
    <t>GC BZ Updated on 15 Sep'21</t>
  </si>
  <si>
    <t>Petro Demand</t>
  </si>
  <si>
    <t>C3 ให้ SCG</t>
  </si>
  <si>
    <t>Import to Domestic</t>
  </si>
  <si>
    <t>SCG Updated on อ. 26/10/2564 9:24</t>
  </si>
  <si>
    <t>MT ไม่ใช่โรงผลิต ถ้าจะขายในประเทศ ลูกค้าจะต้องทำเอกสารเอง</t>
  </si>
  <si>
    <t>รายย้อน
 ห้ามเกิน 75 KT/month</t>
  </si>
  <si>
    <t>Check ห้ามเกิน 75 KT/m (ห้ามติดลบ)</t>
  </si>
  <si>
    <t>Check ห้ามเกิน 120 KT/m</t>
  </si>
  <si>
    <t>Total C2 (Ability 12rev1_4Nov'21)</t>
  </si>
  <si>
    <t>Dec 31,2030</t>
  </si>
  <si>
    <t xml:space="preserve">Dec'22 GC ลดรับ C2 </t>
  </si>
  <si>
    <t>BRP (หัก import แล้ว)</t>
  </si>
  <si>
    <t>Case1 สัญญาเก่า</t>
  </si>
  <si>
    <t>Y2022_PTTAC 220 KT</t>
  </si>
  <si>
    <t>C3 split to SCG</t>
  </si>
  <si>
    <t>C3 reversed to SCG</t>
  </si>
  <si>
    <t>C3 reversed to GC</t>
  </si>
  <si>
    <t>Case2 สัญญาใหม่</t>
  </si>
  <si>
    <t>หักรายย้อนแล้ว</t>
  </si>
  <si>
    <t>ตัดตามอัตราส่วนปี</t>
  </si>
  <si>
    <t>ตัดตาม rate การรับปกติ</t>
  </si>
  <si>
    <t>Y2022_PTTAC 303 KT</t>
  </si>
  <si>
    <t>- ดึง Import ขาย Re-Export to TBU (Vessel)</t>
  </si>
  <si>
    <t>- ดึง Import ขาย Re-Export to OR (Vessel)</t>
  </si>
  <si>
    <t>- ดึง Import ขาย Re-Export to OR (Truck)</t>
  </si>
  <si>
    <t>Closing stock @GSP+MT+BRP (LR)</t>
  </si>
  <si>
    <t>Balance Stock (GSP RY+MT+BRP)</t>
  </si>
  <si>
    <t xml:space="preserve">หากเกิกเหตุยึด SCG ตาม Nomination </t>
  </si>
  <si>
    <t>ตัด GC เท่านั้น</t>
  </si>
  <si>
    <t>Total C2 (Ability 12rev5_23Nov'21)</t>
  </si>
  <si>
    <t>Ability 12rev5_23Nov'21</t>
  </si>
  <si>
    <t>Sep'22: Ole 2/1 mini SD (15-30 Sep'22: 16 Days) ลดรับ NGL, C3 import, LPG</t>
  </si>
  <si>
    <t>Dec'22: Ole 2/2 TA (5 Dec'22 - Feb'23) ลดรับ C2, C3 import, LPG</t>
  </si>
  <si>
    <t>GSP RY (Truck)</t>
  </si>
  <si>
    <t>Total C2 (Ability 1rev0_2Dec'21)</t>
  </si>
  <si>
    <t>Ability 1rev0_2Dec'21</t>
  </si>
  <si>
    <t>Ability 1rev0_Dec21</t>
  </si>
  <si>
    <t>MOC</t>
  </si>
  <si>
    <t>C3 import Split</t>
  </si>
  <si>
    <t>MOC (LPG)</t>
  </si>
  <si>
    <t>SCG (LPG)</t>
  </si>
  <si>
    <t>C3 import Split SCG</t>
  </si>
  <si>
    <t>C3 import Split MOC</t>
  </si>
  <si>
    <t>C3 รายย้อน SCG</t>
  </si>
  <si>
    <t>C3 รายย้อน MOC</t>
  </si>
  <si>
    <t>C3 รายย้อน GC</t>
  </si>
  <si>
    <r>
      <t xml:space="preserve">Closing stock @GSP+MT+BRP (LR) </t>
    </r>
    <r>
      <rPr>
        <b/>
        <sz val="8"/>
        <rFont val="Calibri"/>
        <family val="2"/>
        <scheme val="minor"/>
      </rPr>
      <t>(min กม. 22.03 KT/ internal LR 39.03 KT) 33.2 /50.2</t>
    </r>
  </si>
  <si>
    <t>Export RY (run pic)</t>
  </si>
  <si>
    <t>Export RY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</si>
</sst>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6" formatCode="&quot;$&quot;#,##0_);[Red]\(&quot;$&quot;#,##0\)"/>
    <numFmt numFmtId="8" formatCode="&quot;$&quot;#,##0.00_);[Red]\(&quot;$&quot;#,##0.00\)"/>
    <numFmt numFmtId="41" formatCode="_(* #,##0_);_(* \(#,##0\);_(* &quot;-&quot;_);_(@_)"/>
    <numFmt numFmtId="43" formatCode="_(* #,##0.00_);_(* \(#,##0.00\);_(* &quot;-&quot;??_);_(@_)"/>
    <numFmt numFmtId="164" formatCode="&quot;฿&quot;#,##0_);\(&quot;฿&quot;#,##0\)"/>
    <numFmt numFmtId="165" formatCode="&quot;฿&quot;#,##0_);[Red]\(&quot;฿&quot;#,##0\)"/>
    <numFmt numFmtId="166" formatCode="_(&quot;฿&quot;* #,##0_);_(&quot;฿&quot;* \(#,##0\);_(&quot;฿&quot;* &quot;-&quot;_);_(@_)"/>
    <numFmt numFmtId="167" formatCode="_(&quot;฿&quot;* #,##0.00_);_(&quot;฿&quot;* \(#,##0.00\);_(&quot;฿&quot;* &quot;-&quot;??_);_(@_)"/>
    <numFmt numFmtId="168" formatCode="B1mmm\-yy"/>
    <numFmt numFmtId="169" formatCode="_-* #,##0.0_-;\-* #,##0.0_-;_-* &quot;-&quot;??_-;_-@_-"/>
    <numFmt numFmtId="170" formatCode="B1d\-mmm"/>
    <numFmt numFmtId="171" formatCode="_-* #,##0_-;\-* #,##0_-;_-* &quot;-&quot;??_-;_-@_-"/>
    <numFmt numFmtId="172" formatCode="_(* #,##0_);_(* \(#,##0\);_(* &quot;-&quot;??_);_(@_)"/>
    <numFmt numFmtId="173" formatCode="_(* #,##0.0_);_(* \(#,##0.0\);_(* &quot;-&quot;??_);_(@_)"/>
    <numFmt numFmtId="174" formatCode="0.0"/>
    <numFmt numFmtId="175" formatCode="0.00_)"/>
    <numFmt numFmtId="176" formatCode="0.00000_)"/>
    <numFmt numFmtId="177" formatCode="0000"/>
    <numFmt numFmtId="178" formatCode="&quot;฿&quot;##,#00_);\(&quot;฿&quot;##,#00\)"/>
    <numFmt numFmtId="179" formatCode="#,##0.000000"/>
    <numFmt numFmtId="180" formatCode="\t#,##0.00_);\(\t#,##0.00\)"/>
    <numFmt numFmtId="181" formatCode="#,##0.0;[Red]\(#,##0.0\)"/>
    <numFmt numFmtId="182" formatCode="#,##0;\(#,##0\)"/>
    <numFmt numFmtId="183" formatCode="&quot;$&quot;#,##0.0_);\(&quot;$&quot;#,##0.0\)"/>
    <numFmt numFmtId="184" formatCode="&quot;$&quot;#,##0.0"/>
    <numFmt numFmtId="185" formatCode="General_)"/>
    <numFmt numFmtId="186" formatCode="&quot;?&quot;#,##0.0;\(&quot;?&quot;#,##0.0\)"/>
    <numFmt numFmtId="187" formatCode="#,##0\ \d\a\y\s"/>
    <numFmt numFmtId="188" formatCode="#,##0\ \m\o\n\t\h"/>
    <numFmt numFmtId="189" formatCode="[$-409]mmmm\ yyyy;@"/>
    <numFmt numFmtId="190" formatCode="[$-409]dd/mmm/yy;@"/>
    <numFmt numFmtId="191" formatCode="[$-409]mmm\-yy;@"/>
    <numFmt numFmtId="192" formatCode="yyyy"/>
    <numFmt numFmtId="193" formatCode="#,##0\ \y\r."/>
    <numFmt numFmtId="194" formatCode="_(* #,##0.0000_);_(* \(#,##0.0000\);_(* &quot;-&quot;??_);_(@_)"/>
    <numFmt numFmtId="195" formatCode="_(* #,##0.00000_);_(* \(#,##0.00000\);_(* &quot;-&quot;??_);_(@_)"/>
    <numFmt numFmtId="196" formatCode="_-* #,##0.000_-;\-* #,##0.000_-;_-* &quot;-&quot;??_-;_-@_-"/>
    <numFmt numFmtId="197" formatCode="_(* #,##0.000_);_(* \(#,##0.000\);_(* &quot;-&quot;??_);_(@_)"/>
  </numFmts>
  <fonts count="215">
    <font>
      <sz val="11"/>
      <color theme="1"/>
      <name val="Calibri"/>
      <family val="2"/>
      <charset val="222"/>
      <scheme val="minor"/>
    </font>
    <font>
      <sz val="11"/>
      <color theme="1"/>
      <name val="Calibri"/>
      <family val="2"/>
      <scheme val="minor"/>
    </font>
    <font>
      <sz val="16"/>
      <color theme="1"/>
      <name val="Tahoma"/>
      <family val="2"/>
      <charset val="222"/>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b/>
      <sz val="8"/>
      <color theme="1"/>
      <name val="Calibri"/>
      <family val="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b/>
      <sz val="10"/>
      <color rgb="FFFF0000"/>
      <name val="Tahoma"/>
      <family val="2"/>
    </font>
    <font>
      <sz val="11"/>
      <color rgb="FF0000FF"/>
      <name val="Tahoma"/>
      <family val="2"/>
      <charset val="222"/>
    </font>
    <font>
      <b/>
      <sz val="10"/>
      <color rgb="FF7030A0"/>
      <name val="Tahoma"/>
      <family val="2"/>
    </font>
    <font>
      <sz val="11"/>
      <color rgb="FF7030A0"/>
      <name val="Calibri"/>
      <family val="2"/>
      <charset val="222"/>
      <scheme val="minor"/>
    </font>
    <font>
      <sz val="8"/>
      <color rgb="FFFF0000"/>
      <name val="Calibri"/>
      <family val="2"/>
      <scheme val="minor"/>
    </font>
    <font>
      <sz val="11"/>
      <color rgb="FFE265FF"/>
      <name val="Calibri"/>
      <family val="2"/>
      <charset val="222"/>
      <scheme val="minor"/>
    </font>
    <font>
      <i/>
      <sz val="9"/>
      <color theme="0" tint="-0.34998626667073579"/>
      <name val="Calibri"/>
      <family val="2"/>
      <scheme val="minor"/>
    </font>
    <font>
      <sz val="11"/>
      <color theme="0"/>
      <name val="Calibri"/>
      <family val="2"/>
      <charset val="222"/>
      <scheme val="minor"/>
    </font>
    <font>
      <b/>
      <sz val="18"/>
      <color rgb="FFFF3399"/>
      <name val="Calibri"/>
      <family val="2"/>
      <scheme val="minor"/>
    </font>
    <font>
      <sz val="10.5"/>
      <color theme="1"/>
      <name val="Leelawadee"/>
      <family val="2"/>
    </font>
    <font>
      <sz val="8"/>
      <color theme="0" tint="-0.249977111117893"/>
      <name val="Calibri"/>
      <family val="2"/>
      <charset val="222"/>
      <scheme val="minor"/>
    </font>
    <font>
      <sz val="8"/>
      <name val="Calibri"/>
      <family val="2"/>
      <charset val="222"/>
      <scheme val="minor"/>
    </font>
    <font>
      <b/>
      <sz val="10"/>
      <color theme="0"/>
      <name val="Calibri"/>
      <family val="2"/>
      <scheme val="minor"/>
    </font>
    <font>
      <b/>
      <sz val="10"/>
      <color theme="1"/>
      <name val="Calibri"/>
      <family val="2"/>
      <scheme val="minor"/>
    </font>
    <font>
      <b/>
      <sz val="10"/>
      <color rgb="FF0000FF"/>
      <name val="Calibri"/>
      <family val="2"/>
      <scheme val="minor"/>
    </font>
    <font>
      <sz val="10"/>
      <color theme="1"/>
      <name val="Calibri"/>
      <family val="2"/>
      <scheme val="minor"/>
    </font>
    <font>
      <sz val="10"/>
      <color rgb="FF0000FF"/>
      <name val="Calibri"/>
      <family val="2"/>
      <scheme val="minor"/>
    </font>
    <font>
      <sz val="10"/>
      <name val="Calibri"/>
      <family val="2"/>
      <scheme val="minor"/>
    </font>
    <font>
      <sz val="11"/>
      <color theme="0" tint="-0.249977111117893"/>
      <name val="Calibri"/>
      <family val="2"/>
      <charset val="222"/>
      <scheme val="minor"/>
    </font>
    <font>
      <b/>
      <sz val="11"/>
      <color theme="0" tint="-0.34998626667073579"/>
      <name val="Calibri"/>
      <family val="2"/>
      <scheme val="minor"/>
    </font>
    <font>
      <sz val="11"/>
      <color theme="0" tint="-0.34998626667073579"/>
      <name val="Calibri"/>
      <family val="2"/>
      <scheme val="minor"/>
    </font>
    <font>
      <sz val="10"/>
      <color rgb="FFFF0000"/>
      <name val="Calibri"/>
      <family val="2"/>
      <scheme val="minor"/>
    </font>
    <font>
      <b/>
      <sz val="16"/>
      <color rgb="FF0000FF"/>
      <name val="Tahoma"/>
      <family val="2"/>
    </font>
    <font>
      <b/>
      <sz val="11"/>
      <name val="Tahoma"/>
      <family val="2"/>
    </font>
    <font>
      <sz val="11"/>
      <color theme="1"/>
      <name val="Tahoma"/>
      <family val="2"/>
    </font>
    <font>
      <b/>
      <sz val="11"/>
      <color theme="1"/>
      <name val="Tahoma"/>
      <family val="2"/>
    </font>
    <font>
      <sz val="11"/>
      <color rgb="FF0000FF"/>
      <name val="Tahoma"/>
      <family val="2"/>
    </font>
    <font>
      <sz val="11"/>
      <color rgb="FFFF0000"/>
      <name val="Tahoma"/>
      <family val="2"/>
    </font>
    <font>
      <strike/>
      <sz val="9"/>
      <color indexed="81"/>
      <name val="Tahoma"/>
      <family val="2"/>
    </font>
    <font>
      <sz val="10"/>
      <color theme="0" tint="-0.499984740745262"/>
      <name val="Calibri"/>
      <family val="2"/>
      <scheme val="minor"/>
    </font>
    <font>
      <b/>
      <sz val="8"/>
      <name val="Calibri"/>
      <family val="2"/>
      <scheme val="minor"/>
    </font>
  </fonts>
  <fills count="125">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theme="7"/>
        <bgColor indexed="64"/>
      </patternFill>
    </fill>
    <fill>
      <patternFill patternType="solid">
        <fgColor theme="4" tint="0.39997558519241921"/>
        <bgColor indexed="64"/>
      </patternFill>
    </fill>
    <fill>
      <patternFill patternType="solid">
        <fgColor rgb="FFCCFFFF"/>
        <bgColor indexed="64"/>
      </patternFill>
    </fill>
    <fill>
      <patternFill patternType="solid">
        <fgColor theme="9" tint="0.59999389629810485"/>
        <bgColor rgb="FF000000"/>
      </patternFill>
    </fill>
    <fill>
      <patternFill patternType="solid">
        <fgColor rgb="FFE265FF"/>
        <bgColor indexed="64"/>
      </patternFill>
    </fill>
    <fill>
      <patternFill patternType="solid">
        <fgColor theme="4" tint="0.59999389629810485"/>
        <bgColor indexed="64"/>
      </patternFill>
    </fill>
    <fill>
      <patternFill patternType="solid">
        <fgColor rgb="FF0000FF"/>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rgb="FF0070C0"/>
        <bgColor indexed="64"/>
      </patternFill>
    </fill>
    <fill>
      <patternFill patternType="solid">
        <fgColor rgb="FFFFCCFF"/>
        <bgColor indexed="64"/>
      </patternFill>
    </fill>
    <fill>
      <patternFill patternType="solid">
        <fgColor rgb="FFFFA7FF"/>
        <bgColor indexed="64"/>
      </patternFill>
    </fill>
  </fills>
  <borders count="6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13">
    <xf numFmtId="0" fontId="0"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7" fillId="0" borderId="0" applyFont="0" applyFill="0" applyBorder="0" applyAlignment="0" applyProtection="0"/>
    <xf numFmtId="0" fontId="36" fillId="0" borderId="0"/>
    <xf numFmtId="43" fontId="3" fillId="0" borderId="0" applyFont="0" applyFill="0" applyBorder="0" applyAlignment="0" applyProtection="0"/>
    <xf numFmtId="0" fontId="41" fillId="0" borderId="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9" fontId="41" fillId="0" borderId="0"/>
    <xf numFmtId="9" fontId="41" fillId="0" borderId="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5" fillId="48" borderId="36" applyNumberFormat="0" applyAlignment="0" applyProtection="0"/>
    <xf numFmtId="0" fontId="55" fillId="48" borderId="36" applyNumberFormat="0" applyAlignment="0" applyProtection="0"/>
    <xf numFmtId="0" fontId="55" fillId="48" borderId="36" applyNumberFormat="0" applyAlignment="0" applyProtection="0"/>
    <xf numFmtId="0" fontId="56" fillId="49" borderId="37" applyNumberFormat="0" applyAlignment="0" applyProtection="0"/>
    <xf numFmtId="0" fontId="56" fillId="49" borderId="37" applyNumberFormat="0" applyAlignment="0" applyProtection="0"/>
    <xf numFmtId="0" fontId="56" fillId="49" borderId="37" applyNumberFormat="0" applyAlignment="0" applyProtection="0"/>
    <xf numFmtId="43" fontId="42"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76" fontId="41" fillId="0" borderId="0"/>
    <xf numFmtId="179" fontId="41" fillId="0" borderId="0"/>
    <xf numFmtId="14" fontId="41" fillId="0" borderId="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45" fillId="0" borderId="15" applyNumberFormat="0" applyAlignment="0" applyProtection="0">
      <alignment horizontal="left" vertical="center"/>
    </xf>
    <xf numFmtId="0" fontId="45" fillId="0" borderId="26">
      <alignment horizontal="left" vertical="center"/>
    </xf>
    <xf numFmtId="0" fontId="60" fillId="0" borderId="38" applyNumberFormat="0" applyFill="0" applyAlignment="0" applyProtection="0"/>
    <xf numFmtId="0" fontId="60" fillId="0" borderId="38" applyNumberFormat="0" applyFill="0" applyAlignment="0" applyProtection="0"/>
    <xf numFmtId="0" fontId="60" fillId="0" borderId="38"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35" borderId="36" applyNumberFormat="0" applyAlignment="0" applyProtection="0"/>
    <xf numFmtId="0" fontId="63" fillId="35" borderId="36" applyNumberFormat="0" applyAlignment="0" applyProtection="0"/>
    <xf numFmtId="0" fontId="63" fillId="35" borderId="36" applyNumberFormat="0" applyAlignment="0" applyProtection="0"/>
    <xf numFmtId="0" fontId="64" fillId="0" borderId="41" applyNumberFormat="0" applyFill="0" applyAlignment="0" applyProtection="0"/>
    <xf numFmtId="0" fontId="64" fillId="0" borderId="41" applyNumberFormat="0" applyFill="0" applyAlignment="0" applyProtection="0"/>
    <xf numFmtId="0" fontId="64" fillId="0" borderId="41" applyNumberFormat="0" applyFill="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175" fontId="47" fillId="0" borderId="0"/>
    <xf numFmtId="0" fontId="48" fillId="0" borderId="0"/>
    <xf numFmtId="0" fontId="48" fillId="0" borderId="0"/>
    <xf numFmtId="0" fontId="48" fillId="0" borderId="0"/>
    <xf numFmtId="0" fontId="7" fillId="0" borderId="0"/>
    <xf numFmtId="0" fontId="41" fillId="0" borderId="0"/>
    <xf numFmtId="0" fontId="57" fillId="51" borderId="42" applyNumberFormat="0" applyFont="0" applyAlignment="0" applyProtection="0"/>
    <xf numFmtId="0" fontId="57" fillId="51" borderId="42" applyNumberFormat="0" applyFont="0" applyAlignment="0" applyProtection="0"/>
    <xf numFmtId="0" fontId="57" fillId="51" borderId="42" applyNumberFormat="0" applyFont="0" applyAlignment="0" applyProtection="0"/>
    <xf numFmtId="0" fontId="66" fillId="48" borderId="43" applyNumberFormat="0" applyAlignment="0" applyProtection="0"/>
    <xf numFmtId="0" fontId="66" fillId="48" borderId="43" applyNumberFormat="0" applyAlignment="0" applyProtection="0"/>
    <xf numFmtId="0" fontId="66" fillId="48" borderId="43" applyNumberFormat="0" applyAlignment="0" applyProtection="0"/>
    <xf numFmtId="4" fontId="72" fillId="50" borderId="44" applyNumberFormat="0" applyProtection="0">
      <alignment vertical="center"/>
    </xf>
    <xf numFmtId="4" fontId="72" fillId="52" borderId="44" applyNumberFormat="0" applyProtection="0">
      <alignment horizontal="left" vertical="center" indent="1"/>
    </xf>
    <xf numFmtId="4" fontId="72" fillId="53" borderId="0" applyNumberFormat="0" applyProtection="0">
      <alignment horizontal="left" vertical="center" indent="1"/>
    </xf>
    <xf numFmtId="4" fontId="73" fillId="54" borderId="44" applyNumberFormat="0" applyProtection="0">
      <alignment horizontal="right" vertical="center"/>
    </xf>
    <xf numFmtId="4" fontId="73" fillId="55" borderId="44" applyNumberFormat="0" applyProtection="0">
      <alignment horizontal="right" vertical="center"/>
    </xf>
    <xf numFmtId="4" fontId="73" fillId="54" borderId="44" applyNumberFormat="0" applyProtection="0">
      <alignment horizontal="left" vertical="center" indent="1"/>
    </xf>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45" applyNumberFormat="0" applyFill="0" applyAlignment="0" applyProtection="0"/>
    <xf numFmtId="0" fontId="68" fillId="0" borderId="45" applyNumberFormat="0" applyFill="0" applyAlignment="0" applyProtection="0"/>
    <xf numFmtId="0" fontId="68" fillId="0" borderId="45"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9" fontId="43" fillId="0" borderId="0" applyFont="0" applyFill="0" applyBorder="0" applyAlignment="0" applyProtection="0"/>
    <xf numFmtId="178" fontId="41" fillId="0" borderId="0" applyFont="0" applyFill="0" applyBorder="0" applyAlignment="0" applyProtection="0"/>
    <xf numFmtId="180" fontId="41" fillId="0" borderId="0" applyFont="0" applyFill="0" applyBorder="0" applyAlignment="0" applyProtection="0"/>
    <xf numFmtId="177" fontId="41" fillId="0" borderId="0" applyFont="0" applyFill="0" applyBorder="0" applyAlignment="0" applyProtection="0"/>
    <xf numFmtId="181" fontId="42" fillId="0" borderId="0" applyFont="0" applyFill="0" applyBorder="0" applyAlignment="0" applyProtection="0"/>
    <xf numFmtId="0" fontId="43" fillId="0" borderId="0"/>
    <xf numFmtId="0" fontId="41" fillId="0" borderId="0"/>
    <xf numFmtId="0" fontId="7" fillId="0" borderId="0"/>
    <xf numFmtId="0" fontId="41" fillId="0" borderId="0"/>
    <xf numFmtId="0" fontId="44" fillId="0" borderId="0"/>
    <xf numFmtId="0" fontId="7" fillId="0" borderId="0"/>
    <xf numFmtId="43" fontId="42" fillId="0" borderId="0" applyFont="0" applyFill="0" applyBorder="0" applyAlignment="0" applyProtection="0"/>
    <xf numFmtId="182" fontId="75" fillId="0" borderId="0"/>
    <xf numFmtId="183" fontId="46" fillId="0" borderId="0"/>
    <xf numFmtId="184" fontId="46" fillId="0" borderId="0"/>
    <xf numFmtId="0" fontId="48" fillId="0" borderId="0"/>
    <xf numFmtId="0" fontId="7" fillId="0" borderId="0"/>
    <xf numFmtId="9" fontId="41" fillId="0" borderId="0" applyFont="0" applyFill="0" applyBorder="0" applyAlignment="0" applyProtection="0"/>
    <xf numFmtId="0" fontId="7" fillId="0" borderId="0"/>
    <xf numFmtId="0" fontId="7" fillId="0" borderId="0"/>
    <xf numFmtId="0" fontId="3" fillId="0" borderId="0"/>
    <xf numFmtId="4" fontId="73" fillId="52" borderId="43" applyNumberFormat="0" applyProtection="0">
      <alignment vertical="center"/>
    </xf>
    <xf numFmtId="4" fontId="76" fillId="52" borderId="43" applyNumberFormat="0" applyProtection="0">
      <alignment vertical="center"/>
    </xf>
    <xf numFmtId="4" fontId="73" fillId="52" borderId="43" applyNumberFormat="0" applyProtection="0">
      <alignment horizontal="left" vertical="center" indent="1"/>
    </xf>
    <xf numFmtId="4" fontId="73" fillId="52" borderId="43" applyNumberFormat="0" applyProtection="0">
      <alignment horizontal="left" vertical="center" indent="1"/>
    </xf>
    <xf numFmtId="0" fontId="48" fillId="59" borderId="43" applyNumberFormat="0" applyProtection="0">
      <alignment horizontal="left" vertical="center" indent="1"/>
    </xf>
    <xf numFmtId="4" fontId="73" fillId="60" borderId="43" applyNumberFormat="0" applyProtection="0">
      <alignment horizontal="right" vertical="center"/>
    </xf>
    <xf numFmtId="4" fontId="73" fillId="61" borderId="43" applyNumberFormat="0" applyProtection="0">
      <alignment horizontal="right" vertical="center"/>
    </xf>
    <xf numFmtId="4" fontId="73" fillId="62" borderId="43" applyNumberFormat="0" applyProtection="0">
      <alignment horizontal="right" vertical="center"/>
    </xf>
    <xf numFmtId="4" fontId="73" fillId="63" borderId="43" applyNumberFormat="0" applyProtection="0">
      <alignment horizontal="right" vertical="center"/>
    </xf>
    <xf numFmtId="4" fontId="73" fillId="64" borderId="43" applyNumberFormat="0" applyProtection="0">
      <alignment horizontal="right" vertical="center"/>
    </xf>
    <xf numFmtId="4" fontId="73" fillId="65" borderId="43" applyNumberFormat="0" applyProtection="0">
      <alignment horizontal="right" vertical="center"/>
    </xf>
    <xf numFmtId="4" fontId="73" fillId="66" borderId="43" applyNumberFormat="0" applyProtection="0">
      <alignment horizontal="right" vertical="center"/>
    </xf>
    <xf numFmtId="4" fontId="73" fillId="67" borderId="43" applyNumberFormat="0" applyProtection="0">
      <alignment horizontal="right" vertical="center"/>
    </xf>
    <xf numFmtId="4" fontId="73" fillId="68" borderId="43" applyNumberFormat="0" applyProtection="0">
      <alignment horizontal="right" vertical="center"/>
    </xf>
    <xf numFmtId="4" fontId="72" fillId="69" borderId="43" applyNumberFormat="0" applyProtection="0">
      <alignment horizontal="left" vertical="center" indent="1"/>
    </xf>
    <xf numFmtId="4" fontId="73" fillId="70" borderId="46" applyNumberFormat="0" applyProtection="0">
      <alignment horizontal="left" vertical="center" indent="1"/>
    </xf>
    <xf numFmtId="4" fontId="77" fillId="71" borderId="0" applyNumberFormat="0" applyProtection="0">
      <alignment horizontal="left" vertical="center" indent="1"/>
    </xf>
    <xf numFmtId="0" fontId="48" fillId="59" borderId="43" applyNumberFormat="0" applyProtection="0">
      <alignment horizontal="left" vertical="center" indent="1"/>
    </xf>
    <xf numFmtId="4" fontId="73" fillId="70" borderId="43" applyNumberFormat="0" applyProtection="0">
      <alignment horizontal="left" vertical="center" indent="1"/>
    </xf>
    <xf numFmtId="4" fontId="73"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4" fontId="73" fillId="74" borderId="43" applyNumberFormat="0" applyProtection="0">
      <alignment vertical="center"/>
    </xf>
    <xf numFmtId="4" fontId="76" fillId="74" borderId="43" applyNumberFormat="0" applyProtection="0">
      <alignment vertical="center"/>
    </xf>
    <xf numFmtId="4" fontId="73" fillId="74" borderId="43" applyNumberFormat="0" applyProtection="0">
      <alignment horizontal="left" vertical="center" indent="1"/>
    </xf>
    <xf numFmtId="4" fontId="73" fillId="74" borderId="43" applyNumberFormat="0" applyProtection="0">
      <alignment horizontal="left" vertical="center" indent="1"/>
    </xf>
    <xf numFmtId="4" fontId="73" fillId="70" borderId="43" applyNumberFormat="0" applyProtection="0">
      <alignment horizontal="right" vertical="center"/>
    </xf>
    <xf numFmtId="4" fontId="76" fillId="70" borderId="43" applyNumberFormat="0" applyProtection="0">
      <alignment horizontal="right" vertical="center"/>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78" fillId="0" borderId="0"/>
    <xf numFmtId="4" fontId="50" fillId="70" borderId="43" applyNumberFormat="0" applyProtection="0">
      <alignment horizontal="right" vertical="center"/>
    </xf>
    <xf numFmtId="43" fontId="3" fillId="0" borderId="0" applyFont="0" applyFill="0" applyBorder="0" applyAlignment="0" applyProtection="0"/>
    <xf numFmtId="0" fontId="3" fillId="0" borderId="0"/>
    <xf numFmtId="0" fontId="7" fillId="0" borderId="0"/>
    <xf numFmtId="0" fontId="7" fillId="0" borderId="0"/>
    <xf numFmtId="43" fontId="42" fillId="0" borderId="0" applyFont="0" applyFill="0" applyBorder="0" applyAlignment="0" applyProtection="0"/>
    <xf numFmtId="43" fontId="48" fillId="0" borderId="0" applyFont="0" applyFill="0" applyBorder="0" applyAlignment="0" applyProtection="0"/>
    <xf numFmtId="0" fontId="48" fillId="0" borderId="0"/>
    <xf numFmtId="0" fontId="7" fillId="0" borderId="0"/>
    <xf numFmtId="0" fontId="7" fillId="0" borderId="0"/>
    <xf numFmtId="0" fontId="7" fillId="0" borderId="0"/>
    <xf numFmtId="0" fontId="48" fillId="0" borderId="0"/>
    <xf numFmtId="43" fontId="44"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43" fontId="7" fillId="0" borderId="0" applyFont="0" applyFill="0" applyBorder="0" applyAlignment="0" applyProtection="0"/>
    <xf numFmtId="43" fontId="70" fillId="0" borderId="0" applyFont="0" applyFill="0" applyBorder="0" applyAlignment="0" applyProtection="0"/>
    <xf numFmtId="0" fontId="48" fillId="0" borderId="0"/>
    <xf numFmtId="0" fontId="48" fillId="0" borderId="0"/>
    <xf numFmtId="43" fontId="41" fillId="0" borderId="0" applyFont="0" applyFill="0" applyBorder="0" applyAlignment="0" applyProtection="0"/>
    <xf numFmtId="41" fontId="70" fillId="0" borderId="0" applyFont="0" applyFill="0" applyBorder="0" applyAlignment="0" applyProtection="0"/>
    <xf numFmtId="0" fontId="7" fillId="0" borderId="0"/>
    <xf numFmtId="0" fontId="3" fillId="0" borderId="0"/>
    <xf numFmtId="43" fontId="79" fillId="0" borderId="0" applyFont="0" applyFill="0" applyBorder="0" applyAlignment="0" applyProtection="0"/>
    <xf numFmtId="0" fontId="3" fillId="0" borderId="0"/>
    <xf numFmtId="43" fontId="3" fillId="0" borderId="0" applyFont="0" applyFill="0" applyBorder="0" applyAlignment="0" applyProtection="0"/>
    <xf numFmtId="0" fontId="48" fillId="0" borderId="0"/>
    <xf numFmtId="0" fontId="48" fillId="0" borderId="0"/>
    <xf numFmtId="0" fontId="7" fillId="0" borderId="0"/>
    <xf numFmtId="0" fontId="48" fillId="0" borderId="0"/>
    <xf numFmtId="0" fontId="48" fillId="0" borderId="0"/>
    <xf numFmtId="0" fontId="81" fillId="0" borderId="0"/>
    <xf numFmtId="0" fontId="48" fillId="0" borderId="0"/>
    <xf numFmtId="0" fontId="48" fillId="0" borderId="0"/>
    <xf numFmtId="0" fontId="48" fillId="0" borderId="0"/>
    <xf numFmtId="0" fontId="81" fillId="0" borderId="0"/>
    <xf numFmtId="0" fontId="48" fillId="0" borderId="0"/>
    <xf numFmtId="0" fontId="82" fillId="0" borderId="0"/>
    <xf numFmtId="0" fontId="48" fillId="0" borderId="0"/>
    <xf numFmtId="0" fontId="48" fillId="0" borderId="0"/>
    <xf numFmtId="9" fontId="79"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41" fillId="0" borderId="0" applyFont="0" applyFill="0" applyBorder="0" applyAlignment="0" applyProtection="0"/>
    <xf numFmtId="0" fontId="3" fillId="0" borderId="0"/>
    <xf numFmtId="185" fontId="80" fillId="0" borderId="0"/>
    <xf numFmtId="166" fontId="70" fillId="0" borderId="0" applyFont="0" applyFill="0" applyBorder="0" applyAlignment="0" applyProtection="0"/>
    <xf numFmtId="167" fontId="70" fillId="0" borderId="0" applyFont="0" applyFill="0" applyBorder="0" applyAlignment="0" applyProtection="0"/>
    <xf numFmtId="0" fontId="3" fillId="0" borderId="0"/>
    <xf numFmtId="43" fontId="41" fillId="0" borderId="0" applyFont="0" applyFill="0" applyBorder="0" applyAlignment="0" applyProtection="0"/>
    <xf numFmtId="0" fontId="83" fillId="0" borderId="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2"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83" fillId="0" borderId="0"/>
    <xf numFmtId="0" fontId="83" fillId="0" borderId="0"/>
    <xf numFmtId="38" fontId="51" fillId="56" borderId="0" applyNumberFormat="0" applyBorder="0" applyAlignment="0" applyProtection="0"/>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10" fontId="51" fillId="74" borderId="28" applyNumberFormat="0" applyBorder="0" applyAlignment="0" applyProtection="0"/>
    <xf numFmtId="38" fontId="86" fillId="0" borderId="0" applyFont="0" applyFill="0" applyBorder="0" applyAlignment="0" applyProtection="0"/>
    <xf numFmtId="40" fontId="86" fillId="0" borderId="0" applyFont="0" applyFill="0" applyBorder="0" applyAlignment="0" applyProtection="0"/>
    <xf numFmtId="6" fontId="86" fillId="0" borderId="0" applyFont="0" applyFill="0" applyBorder="0" applyAlignment="0" applyProtection="0"/>
    <xf numFmtId="8" fontId="86" fillId="0" borderId="0" applyFont="0" applyFill="0" applyBorder="0" applyAlignment="0" applyProtection="0"/>
    <xf numFmtId="37" fontId="87" fillId="0" borderId="0"/>
    <xf numFmtId="0" fontId="83" fillId="0" borderId="0"/>
    <xf numFmtId="0" fontId="74" fillId="0" borderId="0"/>
    <xf numFmtId="0" fontId="41" fillId="0" borderId="0"/>
    <xf numFmtId="0" fontId="44" fillId="0" borderId="0"/>
    <xf numFmtId="0" fontId="48" fillId="0" borderId="0"/>
    <xf numFmtId="0" fontId="74" fillId="0" borderId="0"/>
    <xf numFmtId="0" fontId="41" fillId="0" borderId="0"/>
    <xf numFmtId="0" fontId="48" fillId="0" borderId="0"/>
    <xf numFmtId="0" fontId="74" fillId="0" borderId="0"/>
    <xf numFmtId="0" fontId="48" fillId="0" borderId="0"/>
    <xf numFmtId="0" fontId="41" fillId="0" borderId="0"/>
    <xf numFmtId="0" fontId="48" fillId="0" borderId="0"/>
    <xf numFmtId="0" fontId="48" fillId="0" borderId="0"/>
    <xf numFmtId="0" fontId="74" fillId="0" borderId="0"/>
    <xf numFmtId="0" fontId="44" fillId="0" borderId="0"/>
    <xf numFmtId="0" fontId="44" fillId="0" borderId="0"/>
    <xf numFmtId="0" fontId="48" fillId="0" borderId="0"/>
    <xf numFmtId="0" fontId="48" fillId="0" borderId="0"/>
    <xf numFmtId="0" fontId="74" fillId="0" borderId="0"/>
    <xf numFmtId="0" fontId="7" fillId="0" borderId="0"/>
    <xf numFmtId="0" fontId="41" fillId="0" borderId="0"/>
    <xf numFmtId="0" fontId="41" fillId="0" borderId="0"/>
    <xf numFmtId="0" fontId="41" fillId="0" borderId="0"/>
    <xf numFmtId="0" fontId="74" fillId="0" borderId="0"/>
    <xf numFmtId="0" fontId="48" fillId="0" borderId="0"/>
    <xf numFmtId="0" fontId="48" fillId="0" borderId="0"/>
    <xf numFmtId="0" fontId="41" fillId="0" borderId="0"/>
    <xf numFmtId="0" fontId="74" fillId="0" borderId="0"/>
    <xf numFmtId="0" fontId="48" fillId="0" borderId="0"/>
    <xf numFmtId="0" fontId="74" fillId="0" borderId="0"/>
    <xf numFmtId="0" fontId="41" fillId="0" borderId="0"/>
    <xf numFmtId="0" fontId="44" fillId="0" borderId="0"/>
    <xf numFmtId="0" fontId="74" fillId="0" borderId="0"/>
    <xf numFmtId="0" fontId="48" fillId="0" borderId="0"/>
    <xf numFmtId="0" fontId="48" fillId="0" borderId="0"/>
    <xf numFmtId="0" fontId="48" fillId="0" borderId="0"/>
    <xf numFmtId="0" fontId="41" fillId="0" borderId="0"/>
    <xf numFmtId="0" fontId="74" fillId="0" borderId="0"/>
    <xf numFmtId="0" fontId="48" fillId="0" borderId="0"/>
    <xf numFmtId="0" fontId="48" fillId="0" borderId="0"/>
    <xf numFmtId="0" fontId="48" fillId="0" borderId="0"/>
    <xf numFmtId="0" fontId="48" fillId="0" borderId="0"/>
    <xf numFmtId="0" fontId="44" fillId="0" borderId="0"/>
    <xf numFmtId="0" fontId="44" fillId="0" borderId="0"/>
    <xf numFmtId="0" fontId="74" fillId="0" borderId="0"/>
    <xf numFmtId="0" fontId="41" fillId="0" borderId="0"/>
    <xf numFmtId="0" fontId="48" fillId="0" borderId="0"/>
    <xf numFmtId="0" fontId="74" fillId="0" borderId="0"/>
    <xf numFmtId="0" fontId="41" fillId="0" borderId="0"/>
    <xf numFmtId="0" fontId="74" fillId="0" borderId="0"/>
    <xf numFmtId="0" fontId="74" fillId="0" borderId="0"/>
    <xf numFmtId="0" fontId="74" fillId="0" borderId="0"/>
    <xf numFmtId="0" fontId="74" fillId="0" borderId="0"/>
    <xf numFmtId="0" fontId="41" fillId="0" borderId="0"/>
    <xf numFmtId="0" fontId="41" fillId="0" borderId="0"/>
    <xf numFmtId="0" fontId="74" fillId="0" borderId="0"/>
    <xf numFmtId="0" fontId="48" fillId="0" borderId="0"/>
    <xf numFmtId="0" fontId="74" fillId="0" borderId="0"/>
    <xf numFmtId="0" fontId="41" fillId="0" borderId="0"/>
    <xf numFmtId="0" fontId="74" fillId="0" borderId="0"/>
    <xf numFmtId="0" fontId="48" fillId="0" borderId="0"/>
    <xf numFmtId="0" fontId="74" fillId="0" borderId="0"/>
    <xf numFmtId="0" fontId="74" fillId="0" borderId="0"/>
    <xf numFmtId="0" fontId="74" fillId="0" borderId="0"/>
    <xf numFmtId="0" fontId="48"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74" fillId="0" borderId="0"/>
    <xf numFmtId="0" fontId="41" fillId="0" borderId="0"/>
    <xf numFmtId="0" fontId="48" fillId="0" borderId="0"/>
    <xf numFmtId="0" fontId="48" fillId="0" borderId="0"/>
    <xf numFmtId="0" fontId="44" fillId="0" borderId="0"/>
    <xf numFmtId="0" fontId="3" fillId="0" borderId="0"/>
    <xf numFmtId="0" fontId="74"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41" fillId="0" borderId="0"/>
    <xf numFmtId="0" fontId="41" fillId="0" borderId="0"/>
    <xf numFmtId="10" fontId="48"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1" fillId="0" borderId="0" applyFont="0" applyFill="0" applyBorder="0" applyAlignment="0" applyProtection="0"/>
    <xf numFmtId="9" fontId="86" fillId="0" borderId="7" applyNumberFormat="0" applyBorder="0"/>
    <xf numFmtId="1" fontId="48" fillId="0" borderId="31" applyNumberFormat="0" applyFill="0" applyAlignment="0" applyProtection="0">
      <alignment horizontal="center" vertical="center"/>
    </xf>
    <xf numFmtId="4" fontId="73" fillId="55" borderId="44" applyNumberFormat="0" applyProtection="0">
      <alignment horizontal="right" vertical="center"/>
    </xf>
    <xf numFmtId="4" fontId="73" fillId="54" borderId="44" applyNumberFormat="0" applyProtection="0">
      <alignment horizontal="left" vertical="center" indent="1"/>
    </xf>
    <xf numFmtId="0" fontId="73" fillId="53" borderId="44" applyNumberFormat="0" applyProtection="0">
      <alignment horizontal="left" vertical="top" indent="1"/>
    </xf>
    <xf numFmtId="4" fontId="88" fillId="75" borderId="0" applyNumberFormat="0" applyProtection="0">
      <alignment horizontal="left" vertical="center" indent="1"/>
    </xf>
    <xf numFmtId="0" fontId="3" fillId="0" borderId="0"/>
    <xf numFmtId="0" fontId="3" fillId="0" borderId="0"/>
    <xf numFmtId="0" fontId="3" fillId="0" borderId="0"/>
    <xf numFmtId="0" fontId="3" fillId="0" borderId="0"/>
    <xf numFmtId="0" fontId="3" fillId="0" borderId="0"/>
    <xf numFmtId="0" fontId="89" fillId="30" borderId="0" applyNumberFormat="0" applyBorder="0" applyAlignment="0" applyProtection="0"/>
    <xf numFmtId="0" fontId="130" fillId="41" borderId="0" applyNumberFormat="0" applyBorder="0" applyAlignment="0" applyProtection="0"/>
    <xf numFmtId="0" fontId="89" fillId="31" borderId="0" applyNumberFormat="0" applyBorder="0" applyAlignment="0" applyProtection="0"/>
    <xf numFmtId="0" fontId="130" fillId="41" borderId="0" applyNumberFormat="0" applyBorder="0" applyAlignment="0" applyProtection="0"/>
    <xf numFmtId="0" fontId="89" fillId="32"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4" borderId="0" applyNumberFormat="0" applyBorder="0" applyAlignment="0" applyProtection="0"/>
    <xf numFmtId="0" fontId="130" fillId="41" borderId="0" applyNumberFormat="0" applyBorder="0" applyAlignment="0" applyProtection="0"/>
    <xf numFmtId="0" fontId="89" fillId="35"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7" borderId="0" applyNumberFormat="0" applyBorder="0" applyAlignment="0" applyProtection="0"/>
    <xf numFmtId="0" fontId="130" fillId="41" borderId="0" applyNumberFormat="0" applyBorder="0" applyAlignment="0" applyProtection="0"/>
    <xf numFmtId="0" fontId="89" fillId="38"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9" borderId="0" applyNumberFormat="0" applyBorder="0" applyAlignment="0" applyProtection="0"/>
    <xf numFmtId="0" fontId="130" fillId="41" borderId="0" applyNumberFormat="0" applyBorder="0" applyAlignment="0" applyProtection="0"/>
    <xf numFmtId="0" fontId="90" fillId="40" borderId="0" applyNumberFormat="0" applyBorder="0" applyAlignment="0" applyProtection="0"/>
    <xf numFmtId="0" fontId="130" fillId="41" borderId="0" applyNumberFormat="0" applyBorder="0" applyAlignment="0" applyProtection="0"/>
    <xf numFmtId="0" fontId="90" fillId="37" borderId="0" applyNumberFormat="0" applyBorder="0" applyAlignment="0" applyProtection="0"/>
    <xf numFmtId="0" fontId="130" fillId="41" borderId="0" applyNumberFormat="0" applyBorder="0" applyAlignment="0" applyProtection="0"/>
    <xf numFmtId="0" fontId="90" fillId="38" borderId="0" applyNumberFormat="0" applyBorder="0" applyAlignment="0" applyProtection="0"/>
    <xf numFmtId="0" fontId="130" fillId="41" borderId="0" applyNumberFormat="0" applyBorder="0" applyAlignment="0" applyProtection="0"/>
    <xf numFmtId="0" fontId="90" fillId="41" borderId="0" applyNumberFormat="0" applyBorder="0" applyAlignment="0" applyProtection="0"/>
    <xf numFmtId="0" fontId="130" fillId="41" borderId="0" applyNumberFormat="0" applyBorder="0" applyAlignment="0" applyProtection="0"/>
    <xf numFmtId="0" fontId="90" fillId="42" borderId="0" applyNumberFormat="0" applyBorder="0" applyAlignment="0" applyProtection="0"/>
    <xf numFmtId="0" fontId="130" fillId="41" borderId="0" applyNumberFormat="0" applyBorder="0" applyAlignment="0" applyProtection="0"/>
    <xf numFmtId="0" fontId="90" fillId="43"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79" fillId="76" borderId="0" applyNumberFormat="0" applyBorder="0" applyAlignment="0" applyProtection="0"/>
    <xf numFmtId="0" fontId="79" fillId="77" borderId="0" applyNumberFormat="0" applyBorder="0" applyAlignment="0" applyProtection="0"/>
    <xf numFmtId="0" fontId="91" fillId="78"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0" fillId="44"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130" fillId="41"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79" fillId="80" borderId="0" applyNumberFormat="0" applyBorder="0" applyAlignment="0" applyProtection="0"/>
    <xf numFmtId="0" fontId="79" fillId="81" borderId="0" applyNumberFormat="0" applyBorder="0" applyAlignment="0" applyProtection="0"/>
    <xf numFmtId="0" fontId="91" fillId="82"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0" fillId="45"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130" fillId="41"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79" fillId="84" borderId="0" applyNumberFormat="0" applyBorder="0" applyAlignment="0" applyProtection="0"/>
    <xf numFmtId="0" fontId="79" fillId="85" borderId="0" applyNumberFormat="0" applyBorder="0" applyAlignment="0" applyProtection="0"/>
    <xf numFmtId="0" fontId="91" fillId="8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0" fillId="4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130" fillId="41"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79" fillId="80" borderId="0" applyNumberFormat="0" applyBorder="0" applyAlignment="0" applyProtection="0"/>
    <xf numFmtId="0" fontId="79" fillId="88" borderId="0" applyNumberFormat="0" applyBorder="0" applyAlignment="0" applyProtection="0"/>
    <xf numFmtId="0" fontId="91" fillId="8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13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79" fillId="90" borderId="0" applyNumberFormat="0" applyBorder="0" applyAlignment="0" applyProtection="0"/>
    <xf numFmtId="0" fontId="79" fillId="9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0" fillId="42"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130" fillId="4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79" fillId="92" borderId="0" applyNumberFormat="0" applyBorder="0" applyAlignment="0" applyProtection="0"/>
    <xf numFmtId="0" fontId="79" fillId="93" borderId="0" applyNumberFormat="0" applyBorder="0" applyAlignment="0" applyProtection="0"/>
    <xf numFmtId="0" fontId="91" fillId="94"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0" fillId="47"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130" fillId="41"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2" fillId="31" borderId="0" applyNumberFormat="0" applyBorder="0" applyAlignment="0" applyProtection="0"/>
    <xf numFmtId="0" fontId="130" fillId="41" borderId="0" applyNumberFormat="0" applyBorder="0" applyAlignment="0" applyProtection="0"/>
    <xf numFmtId="0" fontId="93" fillId="92" borderId="0" applyNumberFormat="0" applyBorder="0" applyAlignment="0" applyProtection="0"/>
    <xf numFmtId="0" fontId="94" fillId="48" borderId="36" applyNumberFormat="0" applyAlignment="0" applyProtection="0"/>
    <xf numFmtId="0" fontId="130" fillId="41" borderId="0" applyNumberFormat="0" applyBorder="0" applyAlignment="0" applyProtection="0"/>
    <xf numFmtId="0" fontId="95" fillId="96" borderId="47" applyNumberFormat="0" applyAlignment="0" applyProtection="0"/>
    <xf numFmtId="0" fontId="96" fillId="49" borderId="37" applyNumberFormat="0" applyAlignment="0" applyProtection="0"/>
    <xf numFmtId="0" fontId="130" fillId="41" borderId="0" applyNumberFormat="0" applyBorder="0" applyAlignment="0" applyProtection="0"/>
    <xf numFmtId="0" fontId="97" fillId="89" borderId="37" applyNumberFormat="0" applyAlignment="0" applyProtection="0"/>
    <xf numFmtId="0" fontId="130" fillId="41" borderId="0" applyNumberFormat="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89"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89" fillId="0" borderId="0" applyFont="0" applyFill="0" applyBorder="0" applyAlignment="0" applyProtection="0"/>
    <xf numFmtId="43" fontId="79" fillId="0" borderId="0" applyFont="0" applyFill="0" applyBorder="0" applyAlignment="0" applyProtection="0"/>
    <xf numFmtId="43" fontId="7"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167"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99" fillId="97" borderId="0" applyNumberFormat="0" applyBorder="0" applyAlignment="0" applyProtection="0"/>
    <xf numFmtId="0" fontId="99" fillId="98" borderId="0" applyNumberFormat="0" applyBorder="0" applyAlignment="0" applyProtection="0"/>
    <xf numFmtId="0" fontId="99" fillId="99" borderId="0" applyNumberFormat="0" applyBorder="0" applyAlignment="0" applyProtection="0"/>
    <xf numFmtId="0" fontId="100" fillId="0" borderId="0" applyNumberFormat="0" applyFill="0" applyBorder="0" applyAlignment="0" applyProtection="0"/>
    <xf numFmtId="0" fontId="130" fillId="41" borderId="0" applyNumberFormat="0" applyBorder="0" applyAlignment="0" applyProtection="0"/>
    <xf numFmtId="0" fontId="128" fillId="28" borderId="0" applyNumberFormat="0" applyBorder="0" applyAlignment="0" applyProtection="0"/>
    <xf numFmtId="0" fontId="130" fillId="41" borderId="0" applyNumberFormat="0" applyBorder="0" applyAlignment="0" applyProtection="0"/>
    <xf numFmtId="0" fontId="79" fillId="85"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01" fillId="0" borderId="38" applyNumberFormat="0" applyFill="0" applyAlignment="0" applyProtection="0"/>
    <xf numFmtId="0" fontId="130" fillId="41" borderId="0" applyNumberFormat="0" applyBorder="0" applyAlignment="0" applyProtection="0"/>
    <xf numFmtId="0" fontId="102" fillId="0" borderId="48" applyNumberFormat="0" applyFill="0" applyAlignment="0" applyProtection="0"/>
    <xf numFmtId="0" fontId="103" fillId="0" borderId="39" applyNumberFormat="0" applyFill="0" applyAlignment="0" applyProtection="0"/>
    <xf numFmtId="0" fontId="130" fillId="41" borderId="0" applyNumberFormat="0" applyBorder="0" applyAlignment="0" applyProtection="0"/>
    <xf numFmtId="0" fontId="104" fillId="0" borderId="49" applyNumberFormat="0" applyFill="0" applyAlignment="0" applyProtection="0"/>
    <xf numFmtId="0" fontId="105" fillId="0" borderId="40" applyNumberFormat="0" applyFill="0" applyAlignment="0" applyProtection="0"/>
    <xf numFmtId="0" fontId="130" fillId="41" borderId="0" applyNumberFormat="0" applyBorder="0" applyAlignment="0" applyProtection="0"/>
    <xf numFmtId="0" fontId="106" fillId="0" borderId="50" applyNumberFormat="0" applyFill="0" applyAlignment="0" applyProtection="0"/>
    <xf numFmtId="0" fontId="105" fillId="0" borderId="0" applyNumberFormat="0" applyFill="0" applyBorder="0" applyAlignment="0" applyProtection="0"/>
    <xf numFmtId="0" fontId="130" fillId="41" borderId="0" applyNumberFormat="0" applyBorder="0" applyAlignment="0" applyProtection="0"/>
    <xf numFmtId="0" fontId="106" fillId="0" borderId="0" applyNumberForma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9" fillId="35" borderId="36"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9" fillId="35" borderId="36"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10" fillId="0" borderId="41" applyNumberFormat="0" applyFill="0" applyAlignment="0" applyProtection="0"/>
    <xf numFmtId="0" fontId="130" fillId="42" borderId="0" applyNumberFormat="0" applyBorder="0" applyAlignment="0" applyProtection="0"/>
    <xf numFmtId="0" fontId="111" fillId="0" borderId="51" applyNumberFormat="0" applyFill="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12" fillId="50" borderId="0" applyNumberFormat="0" applyBorder="0" applyAlignment="0" applyProtection="0"/>
    <xf numFmtId="0" fontId="130" fillId="42" borderId="0" applyNumberFormat="0" applyBorder="0" applyAlignment="0" applyProtection="0"/>
    <xf numFmtId="0" fontId="111" fillId="9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4" fillId="0" borderId="0"/>
    <xf numFmtId="0" fontId="113" fillId="0" borderId="0"/>
    <xf numFmtId="0" fontId="74" fillId="0" borderId="0"/>
    <xf numFmtId="0" fontId="113" fillId="0" borderId="0"/>
    <xf numFmtId="0" fontId="74" fillId="0" borderId="0"/>
    <xf numFmtId="0" fontId="48" fillId="0" borderId="0"/>
    <xf numFmtId="0" fontId="48" fillId="0" borderId="0"/>
    <xf numFmtId="0" fontId="74" fillId="0" borderId="0"/>
    <xf numFmtId="0" fontId="113" fillId="0" borderId="0"/>
    <xf numFmtId="0" fontId="48" fillId="0" borderId="0"/>
    <xf numFmtId="0" fontId="130" fillId="42" borderId="0" applyNumberFormat="0" applyBorder="0" applyAlignment="0" applyProtection="0"/>
    <xf numFmtId="0" fontId="48" fillId="0" borderId="0"/>
    <xf numFmtId="0" fontId="48" fillId="0" borderId="0"/>
    <xf numFmtId="0" fontId="48" fillId="0" borderId="0"/>
    <xf numFmtId="0" fontId="74" fillId="0" borderId="0"/>
    <xf numFmtId="0" fontId="113" fillId="0" borderId="0"/>
    <xf numFmtId="0" fontId="3" fillId="0" borderId="0"/>
    <xf numFmtId="0" fontId="48" fillId="0" borderId="0"/>
    <xf numFmtId="0" fontId="3" fillId="0" borderId="0"/>
    <xf numFmtId="0" fontId="3" fillId="0" borderId="0"/>
    <xf numFmtId="0" fontId="74" fillId="0" borderId="0"/>
    <xf numFmtId="0" fontId="130" fillId="42" borderId="0" applyNumberFormat="0" applyBorder="0" applyAlignment="0" applyProtection="0"/>
    <xf numFmtId="0" fontId="44" fillId="0" borderId="0"/>
    <xf numFmtId="0" fontId="7" fillId="0" borderId="0"/>
    <xf numFmtId="0" fontId="113" fillId="0" borderId="0"/>
    <xf numFmtId="0" fontId="74" fillId="0" borderId="0"/>
    <xf numFmtId="0" fontId="3" fillId="0" borderId="0"/>
    <xf numFmtId="0" fontId="3" fillId="0" borderId="0"/>
    <xf numFmtId="0" fontId="81" fillId="0" borderId="0"/>
    <xf numFmtId="0" fontId="81" fillId="0" borderId="0"/>
    <xf numFmtId="0" fontId="81" fillId="0" borderId="0"/>
    <xf numFmtId="0" fontId="81" fillId="0" borderId="0"/>
    <xf numFmtId="0" fontId="81" fillId="0" borderId="0"/>
    <xf numFmtId="0" fontId="130" fillId="42" borderId="0" applyNumberFormat="0" applyBorder="0" applyAlignment="0" applyProtection="0"/>
    <xf numFmtId="0" fontId="81" fillId="0" borderId="0"/>
    <xf numFmtId="0" fontId="81" fillId="0" borderId="0"/>
    <xf numFmtId="0" fontId="81" fillId="0" borderId="0"/>
    <xf numFmtId="0" fontId="81" fillId="0" borderId="0"/>
    <xf numFmtId="0" fontId="3" fillId="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130" fillId="42" borderId="0" applyNumberFormat="0" applyBorder="0" applyAlignment="0" applyProtection="0"/>
    <xf numFmtId="0" fontId="44" fillId="0" borderId="0"/>
    <xf numFmtId="0" fontId="74" fillId="0" borderId="0"/>
    <xf numFmtId="0" fontId="74" fillId="0" borderId="0"/>
    <xf numFmtId="0" fontId="74" fillId="0" borderId="0"/>
    <xf numFmtId="0" fontId="3" fillId="0" borderId="0"/>
    <xf numFmtId="0" fontId="41" fillId="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41" fillId="0" borderId="0"/>
    <xf numFmtId="0" fontId="74"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1"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7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74" fillId="0" borderId="0"/>
    <xf numFmtId="0" fontId="48" fillId="0" borderId="0"/>
    <xf numFmtId="0" fontId="44" fillId="0" borderId="0"/>
    <xf numFmtId="0" fontId="41" fillId="0" borderId="0"/>
    <xf numFmtId="0" fontId="74" fillId="0" borderId="0"/>
    <xf numFmtId="0" fontId="48" fillId="0" borderId="0"/>
    <xf numFmtId="0" fontId="74" fillId="0" borderId="0"/>
    <xf numFmtId="0" fontId="74" fillId="0" borderId="0"/>
    <xf numFmtId="0" fontId="48" fillId="0" borderId="0"/>
    <xf numFmtId="0" fontId="48" fillId="0" borderId="0"/>
    <xf numFmtId="0" fontId="113" fillId="0" borderId="0"/>
    <xf numFmtId="0" fontId="131" fillId="31" borderId="0" applyNumberFormat="0" applyBorder="0" applyAlignment="0" applyProtection="0"/>
    <xf numFmtId="0" fontId="131" fillId="31" borderId="0" applyNumberFormat="0" applyBorder="0" applyAlignment="0" applyProtection="0"/>
    <xf numFmtId="0" fontId="89" fillId="29" borderId="35" applyNumberFormat="0" applyFont="0" applyAlignment="0" applyProtection="0"/>
    <xf numFmtId="0" fontId="131" fillId="31" borderId="0" applyNumberFormat="0" applyBorder="0" applyAlignment="0" applyProtection="0"/>
    <xf numFmtId="0" fontId="51" fillId="92" borderId="47" applyNumberFormat="0" applyFont="0" applyAlignment="0" applyProtection="0"/>
    <xf numFmtId="0" fontId="114" fillId="48" borderId="43" applyNumberFormat="0" applyAlignment="0" applyProtection="0"/>
    <xf numFmtId="0" fontId="131" fillId="31" borderId="0" applyNumberFormat="0" applyBorder="0" applyAlignment="0" applyProtection="0"/>
    <xf numFmtId="0" fontId="115" fillId="96" borderId="43" applyNumberFormat="0" applyAlignment="0" applyProtection="0"/>
    <xf numFmtId="9" fontId="3"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89"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4" fontId="51" fillId="50" borderId="47" applyNumberFormat="0" applyProtection="0">
      <alignment vertical="center"/>
    </xf>
    <xf numFmtId="4" fontId="116" fillId="52" borderId="44" applyNumberFormat="0" applyProtection="0">
      <alignment vertical="center"/>
    </xf>
    <xf numFmtId="4" fontId="117" fillId="52" borderId="47" applyNumberFormat="0" applyProtection="0">
      <alignment vertical="center"/>
    </xf>
    <xf numFmtId="0" fontId="131" fillId="31" borderId="0" applyNumberFormat="0" applyBorder="0" applyAlignment="0" applyProtection="0"/>
    <xf numFmtId="0" fontId="131" fillId="31" borderId="0" applyNumberFormat="0" applyBorder="0" applyAlignment="0" applyProtection="0"/>
    <xf numFmtId="4" fontId="51" fillId="52" borderId="47" applyNumberFormat="0" applyProtection="0">
      <alignment horizontal="left" vertical="center" indent="1"/>
    </xf>
    <xf numFmtId="0" fontId="72" fillId="52" borderId="44" applyNumberFormat="0" applyProtection="0">
      <alignment horizontal="left" vertical="top" indent="1"/>
    </xf>
    <xf numFmtId="0" fontId="118" fillId="50" borderId="44"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42" borderId="47" applyNumberFormat="0" applyProtection="0">
      <alignment horizontal="left" vertical="center" indent="1"/>
    </xf>
    <xf numFmtId="4" fontId="73" fillId="31" borderId="44" applyNumberFormat="0" applyProtection="0">
      <alignment horizontal="right" vertical="center"/>
    </xf>
    <xf numFmtId="4" fontId="51" fillId="31" borderId="47" applyNumberFormat="0" applyProtection="0">
      <alignment horizontal="right" vertical="center"/>
    </xf>
    <xf numFmtId="4" fontId="73" fillId="37" borderId="44" applyNumberFormat="0" applyProtection="0">
      <alignment horizontal="right" vertical="center"/>
    </xf>
    <xf numFmtId="4" fontId="51" fillId="101" borderId="47" applyNumberFormat="0" applyProtection="0">
      <alignment horizontal="right" vertical="center"/>
    </xf>
    <xf numFmtId="4" fontId="73" fillId="45" borderId="44" applyNumberFormat="0" applyProtection="0">
      <alignment horizontal="right" vertical="center"/>
    </xf>
    <xf numFmtId="4" fontId="51" fillId="45" borderId="52" applyNumberFormat="0" applyProtection="0">
      <alignment horizontal="right" vertical="center"/>
    </xf>
    <xf numFmtId="4" fontId="73" fillId="39" borderId="44" applyNumberFormat="0" applyProtection="0">
      <alignment horizontal="right" vertical="center"/>
    </xf>
    <xf numFmtId="4" fontId="51" fillId="39" borderId="47" applyNumberFormat="0" applyProtection="0">
      <alignment horizontal="right" vertical="center"/>
    </xf>
    <xf numFmtId="4" fontId="73" fillId="43" borderId="44" applyNumberFormat="0" applyProtection="0">
      <alignment horizontal="right" vertical="center"/>
    </xf>
    <xf numFmtId="4" fontId="51" fillId="43" borderId="47" applyNumberFormat="0" applyProtection="0">
      <alignment horizontal="right" vertical="center"/>
    </xf>
    <xf numFmtId="4" fontId="73" fillId="47" borderId="44" applyNumberFormat="0" applyProtection="0">
      <alignment horizontal="right" vertical="center"/>
    </xf>
    <xf numFmtId="4" fontId="51" fillId="47" borderId="47" applyNumberFormat="0" applyProtection="0">
      <alignment horizontal="right" vertical="center"/>
    </xf>
    <xf numFmtId="4" fontId="73" fillId="46" borderId="44" applyNumberFormat="0" applyProtection="0">
      <alignment horizontal="right" vertical="center"/>
    </xf>
    <xf numFmtId="4" fontId="51" fillId="46" borderId="47" applyNumberFormat="0" applyProtection="0">
      <alignment horizontal="right" vertical="center"/>
    </xf>
    <xf numFmtId="4" fontId="73" fillId="102" borderId="44" applyNumberFormat="0" applyProtection="0">
      <alignment horizontal="right" vertical="center"/>
    </xf>
    <xf numFmtId="4" fontId="51" fillId="102" borderId="47" applyNumberFormat="0" applyProtection="0">
      <alignment horizontal="right" vertical="center"/>
    </xf>
    <xf numFmtId="4" fontId="73" fillId="38" borderId="44" applyNumberFormat="0" applyProtection="0">
      <alignment horizontal="right" vertical="center"/>
    </xf>
    <xf numFmtId="4" fontId="51" fillId="38" borderId="47" applyNumberFormat="0" applyProtection="0">
      <alignment horizontal="right" vertical="center"/>
    </xf>
    <xf numFmtId="4" fontId="72" fillId="103" borderId="53" applyNumberFormat="0" applyProtection="0">
      <alignment horizontal="left" vertical="center" indent="1"/>
    </xf>
    <xf numFmtId="4" fontId="51" fillId="103" borderId="52" applyNumberFormat="0" applyProtection="0">
      <alignment horizontal="left" vertical="center" indent="1"/>
    </xf>
    <xf numFmtId="4" fontId="73" fillId="55" borderId="0" applyNumberFormat="0" applyProtection="0">
      <alignment horizontal="left" vertical="center" indent="1"/>
    </xf>
    <xf numFmtId="4" fontId="48" fillId="104" borderId="52" applyNumberFormat="0" applyProtection="0">
      <alignment horizontal="left" vertical="center" indent="1"/>
    </xf>
    <xf numFmtId="0" fontId="131" fillId="31" borderId="0" applyNumberFormat="0" applyBorder="0" applyAlignment="0" applyProtection="0"/>
    <xf numFmtId="4" fontId="48" fillId="104" borderId="52" applyNumberFormat="0" applyProtection="0">
      <alignment horizontal="left" vertical="center" indent="1"/>
    </xf>
    <xf numFmtId="0" fontId="131" fillId="31" borderId="0" applyNumberFormat="0" applyBorder="0" applyAlignment="0" applyProtection="0"/>
    <xf numFmtId="4" fontId="51" fillId="54" borderId="47" applyNumberFormat="0" applyProtection="0">
      <alignment horizontal="right" vertical="center"/>
    </xf>
    <xf numFmtId="4" fontId="73" fillId="55" borderId="0" applyNumberFormat="0" applyProtection="0">
      <alignment horizontal="left" vertical="center" indent="1"/>
    </xf>
    <xf numFmtId="4" fontId="51" fillId="55" borderId="52" applyNumberFormat="0" applyProtection="0">
      <alignment horizontal="left" vertical="center" indent="1"/>
    </xf>
    <xf numFmtId="4" fontId="73" fillId="53" borderId="0" applyNumberFormat="0" applyProtection="0">
      <alignment horizontal="left" vertical="center" indent="1"/>
    </xf>
    <xf numFmtId="4" fontId="51" fillId="54" borderId="52" applyNumberFormat="0" applyProtection="0">
      <alignment horizontal="left" vertical="center" indent="1"/>
    </xf>
    <xf numFmtId="0" fontId="48" fillId="71" borderId="44" applyNumberFormat="0" applyProtection="0">
      <alignment horizontal="left" vertical="center" indent="1"/>
    </xf>
    <xf numFmtId="0" fontId="51" fillId="48" borderId="47" applyNumberFormat="0" applyProtection="0">
      <alignment horizontal="left" vertical="center" indent="1"/>
    </xf>
    <xf numFmtId="0" fontId="48" fillId="71" borderId="44" applyNumberFormat="0" applyProtection="0">
      <alignment horizontal="left" vertical="top" indent="1"/>
    </xf>
    <xf numFmtId="0" fontId="51" fillId="104" borderId="44" applyNumberFormat="0" applyProtection="0">
      <alignment horizontal="left" vertical="top" indent="1"/>
    </xf>
    <xf numFmtId="0" fontId="48" fillId="53" borderId="44" applyNumberFormat="0" applyProtection="0">
      <alignment horizontal="left" vertical="center" indent="1"/>
    </xf>
    <xf numFmtId="0" fontId="51" fillId="105" borderId="47" applyNumberFormat="0" applyProtection="0">
      <alignment horizontal="left" vertical="center" indent="1"/>
    </xf>
    <xf numFmtId="0" fontId="48" fillId="53" borderId="44" applyNumberFormat="0" applyProtection="0">
      <alignment horizontal="left" vertical="top" indent="1"/>
    </xf>
    <xf numFmtId="0" fontId="51" fillId="54" borderId="44" applyNumberFormat="0" applyProtection="0">
      <alignment horizontal="left" vertical="top" indent="1"/>
    </xf>
    <xf numFmtId="0" fontId="48" fillId="58" borderId="44" applyNumberFormat="0" applyProtection="0">
      <alignment horizontal="left" vertical="center" indent="1"/>
    </xf>
    <xf numFmtId="0" fontId="51" fillId="36" borderId="47" applyNumberFormat="0" applyProtection="0">
      <alignment horizontal="left" vertical="center" indent="1"/>
    </xf>
    <xf numFmtId="0" fontId="48" fillId="58" borderId="44" applyNumberFormat="0" applyProtection="0">
      <alignment horizontal="left" vertical="top" indent="1"/>
    </xf>
    <xf numFmtId="0" fontId="51" fillId="36" borderId="44" applyNumberFormat="0" applyProtection="0">
      <alignment horizontal="left" vertical="top" indent="1"/>
    </xf>
    <xf numFmtId="0" fontId="48" fillId="57" borderId="44" applyNumberFormat="0" applyProtection="0">
      <alignment horizontal="left" vertical="center" indent="1"/>
    </xf>
    <xf numFmtId="0" fontId="51" fillId="55" borderId="47" applyNumberFormat="0" applyProtection="0">
      <alignment horizontal="left" vertical="center" indent="1"/>
    </xf>
    <xf numFmtId="0" fontId="48" fillId="57" borderId="44" applyNumberFormat="0" applyProtection="0">
      <alignment horizontal="left" vertical="top" indent="1"/>
    </xf>
    <xf numFmtId="0" fontId="51" fillId="55" borderId="44" applyNumberFormat="0" applyProtection="0">
      <alignment horizontal="left" vertical="top" indent="1"/>
    </xf>
    <xf numFmtId="0" fontId="51" fillId="106" borderId="54" applyNumberFormat="0">
      <protection locked="0"/>
    </xf>
    <xf numFmtId="0" fontId="119" fillId="104" borderId="55" applyBorder="0"/>
    <xf numFmtId="4" fontId="73" fillId="74" borderId="44" applyNumberFormat="0" applyProtection="0">
      <alignment vertical="center"/>
    </xf>
    <xf numFmtId="4" fontId="120" fillId="51" borderId="44" applyNumberFormat="0" applyProtection="0">
      <alignment vertical="center"/>
    </xf>
    <xf numFmtId="4" fontId="76" fillId="74" borderId="44" applyNumberFormat="0" applyProtection="0">
      <alignment vertical="center"/>
    </xf>
    <xf numFmtId="4" fontId="117" fillId="74" borderId="28" applyNumberFormat="0" applyProtection="0">
      <alignment vertical="center"/>
    </xf>
    <xf numFmtId="4" fontId="73" fillId="74" borderId="44" applyNumberFormat="0" applyProtection="0">
      <alignment horizontal="left" vertical="center" indent="1"/>
    </xf>
    <xf numFmtId="4" fontId="120" fillId="48" borderId="44" applyNumberFormat="0" applyProtection="0">
      <alignment horizontal="left" vertical="center" indent="1"/>
    </xf>
    <xf numFmtId="0" fontId="73" fillId="74" borderId="44" applyNumberFormat="0" applyProtection="0">
      <alignment horizontal="left" vertical="top" indent="1"/>
    </xf>
    <xf numFmtId="0" fontId="120" fillId="51" borderId="44"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0" borderId="47" applyNumberFormat="0" applyProtection="0">
      <alignment horizontal="right" vertical="center"/>
    </xf>
    <xf numFmtId="4" fontId="76" fillId="55" borderId="44" applyNumberFormat="0" applyProtection="0">
      <alignment horizontal="right" vertical="center"/>
    </xf>
    <xf numFmtId="4" fontId="117" fillId="107" borderId="47" applyNumberFormat="0" applyProtection="0">
      <alignment horizontal="right" vertical="center"/>
    </xf>
    <xf numFmtId="0" fontId="131" fillId="31" borderId="0" applyNumberFormat="0" applyBorder="0" applyAlignment="0" applyProtection="0"/>
    <xf numFmtId="0" fontId="131" fillId="31" borderId="0" applyNumberFormat="0" applyBorder="0" applyAlignment="0" applyProtection="0"/>
    <xf numFmtId="4" fontId="51" fillId="42" borderId="47" applyNumberFormat="0" applyProtection="0">
      <alignment horizontal="left" vertical="center" indent="1"/>
    </xf>
    <xf numFmtId="0" fontId="131" fillId="31" borderId="0" applyNumberFormat="0" applyBorder="0" applyAlignment="0" applyProtection="0"/>
    <xf numFmtId="0" fontId="48" fillId="59" borderId="43" applyNumberFormat="0" applyProtection="0">
      <alignment horizontal="left" vertical="center" indent="1"/>
    </xf>
    <xf numFmtId="0" fontId="120" fillId="54" borderId="44" applyNumberFormat="0" applyProtection="0">
      <alignment horizontal="left" vertical="top" indent="1"/>
    </xf>
    <xf numFmtId="0" fontId="131" fillId="31" borderId="0" applyNumberFormat="0" applyBorder="0" applyAlignment="0" applyProtection="0"/>
    <xf numFmtId="0" fontId="78" fillId="0" borderId="0"/>
    <xf numFmtId="4" fontId="121" fillId="75" borderId="52" applyNumberFormat="0" applyProtection="0">
      <alignment horizontal="left" vertical="center" indent="1"/>
    </xf>
    <xf numFmtId="0" fontId="51" fillId="108" borderId="28"/>
    <xf numFmtId="4" fontId="50" fillId="55" borderId="44" applyNumberFormat="0" applyProtection="0">
      <alignment horizontal="right" vertical="center"/>
    </xf>
    <xf numFmtId="4" fontId="122" fillId="106" borderId="47" applyNumberFormat="0" applyProtection="0">
      <alignment horizontal="right" vertical="center"/>
    </xf>
    <xf numFmtId="0" fontId="123" fillId="0" borderId="0" applyNumberFormat="0" applyFill="0" applyBorder="0" applyAlignment="0" applyProtection="0"/>
    <xf numFmtId="0" fontId="124" fillId="0" borderId="0" applyNumberFormat="0" applyFill="0" applyBorder="0" applyAlignment="0" applyProtection="0"/>
    <xf numFmtId="0" fontId="131" fillId="31" borderId="0" applyNumberFormat="0" applyBorder="0" applyAlignment="0" applyProtection="0"/>
    <xf numFmtId="0" fontId="125" fillId="0" borderId="45" applyNumberFormat="0" applyFill="0" applyAlignment="0" applyProtection="0"/>
    <xf numFmtId="0" fontId="44" fillId="0" borderId="45" applyNumberFormat="0" applyFill="0" applyAlignment="0" applyProtection="0"/>
    <xf numFmtId="0" fontId="99" fillId="0" borderId="56" applyNumberFormat="0" applyFill="0" applyAlignment="0" applyProtection="0"/>
    <xf numFmtId="0" fontId="126" fillId="0" borderId="0" applyNumberFormat="0" applyFill="0" applyBorder="0" applyAlignment="0" applyProtection="0"/>
    <xf numFmtId="0" fontId="44" fillId="0" borderId="0" applyNumberFormat="0" applyFill="0" applyBorder="0" applyAlignment="0" applyProtection="0"/>
    <xf numFmtId="0" fontId="127" fillId="0" borderId="0" applyNumberForma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3" fillId="0" borderId="0"/>
    <xf numFmtId="0" fontId="130" fillId="41" borderId="0" applyNumberFormat="0" applyBorder="0" applyAlignment="0" applyProtection="0"/>
    <xf numFmtId="0" fontId="130" fillId="41"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9" fontId="3" fillId="0" borderId="0" applyFont="0" applyFill="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3" fillId="0" borderId="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41" fontId="48" fillId="0" borderId="0" applyFont="0" applyFill="0" applyBorder="0" applyAlignment="0" applyProtection="0"/>
    <xf numFmtId="41" fontId="48" fillId="0" borderId="0" applyFont="0" applyFill="0" applyBorder="0" applyAlignment="0" applyProtection="0"/>
    <xf numFmtId="43" fontId="7"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165" fontId="41"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7" fillId="0" borderId="0" applyFont="0" applyFill="0" applyBorder="0" applyAlignment="0" applyProtection="0"/>
    <xf numFmtId="43" fontId="81" fillId="0" borderId="0" applyFont="0" applyFill="0" applyBorder="0" applyAlignment="0" applyProtection="0"/>
    <xf numFmtId="0" fontId="41" fillId="0" borderId="0" applyFont="0" applyFill="0" applyBorder="0" applyAlignment="0" applyProtection="0"/>
    <xf numFmtId="43" fontId="134" fillId="0" borderId="0" applyFont="0" applyFill="0" applyBorder="0" applyAlignment="0" applyProtection="0"/>
    <xf numFmtId="43" fontId="8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6" fontId="135" fillId="0" borderId="0"/>
    <xf numFmtId="186" fontId="135" fillId="0" borderId="0"/>
    <xf numFmtId="186" fontId="135" fillId="0" borderId="0"/>
    <xf numFmtId="187" fontId="136" fillId="0" borderId="0" applyFon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40" fontId="49" fillId="0" borderId="0">
      <alignment horizontal="left"/>
    </xf>
    <xf numFmtId="40" fontId="139" fillId="0" borderId="0" applyNumberFormat="0" applyAlignment="0">
      <alignment horizontal="left"/>
    </xf>
    <xf numFmtId="40" fontId="140" fillId="0" borderId="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alignment vertical="top"/>
      <protection locked="0"/>
    </xf>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43" fontId="44" fillId="0" borderId="0" applyFont="0" applyFill="0" applyBorder="0" applyAlignment="0" applyProtection="0"/>
    <xf numFmtId="188" fontId="147" fillId="0" borderId="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44" fillId="0" borderId="0"/>
    <xf numFmtId="0" fontId="7" fillId="0" borderId="0"/>
    <xf numFmtId="0" fontId="149" fillId="0" borderId="0"/>
    <xf numFmtId="0" fontId="3" fillId="0" borderId="0"/>
    <xf numFmtId="0" fontId="150" fillId="0" borderId="0">
      <alignment vertical="center"/>
    </xf>
    <xf numFmtId="189"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159" fillId="0" borderId="0"/>
    <xf numFmtId="0" fontId="48" fillId="0" borderId="0"/>
    <xf numFmtId="191" fontId="149" fillId="0" borderId="0"/>
    <xf numFmtId="190" fontId="151" fillId="0" borderId="0"/>
    <xf numFmtId="190" fontId="151" fillId="0" borderId="0"/>
    <xf numFmtId="190" fontId="151" fillId="0" borderId="0"/>
    <xf numFmtId="190" fontId="151" fillId="0" borderId="0"/>
    <xf numFmtId="190" fontId="151" fillId="0" borderId="0"/>
    <xf numFmtId="0" fontId="3" fillId="0" borderId="0"/>
    <xf numFmtId="0" fontId="3" fillId="0" borderId="0"/>
    <xf numFmtId="0" fontId="48"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151" fillId="0" borderId="0"/>
    <xf numFmtId="0" fontId="151"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7" fillId="0" borderId="0"/>
    <xf numFmtId="0" fontId="3" fillId="0" borderId="0"/>
    <xf numFmtId="0" fontId="3" fillId="0" borderId="0"/>
    <xf numFmtId="0" fontId="7" fillId="0" borderId="0"/>
    <xf numFmtId="0" fontId="151" fillId="0" borderId="0"/>
    <xf numFmtId="0" fontId="151" fillId="0" borderId="0"/>
    <xf numFmtId="0" fontId="46" fillId="0" borderId="0"/>
    <xf numFmtId="0" fontId="41" fillId="0" borderId="0"/>
    <xf numFmtId="164" fontId="159" fillId="0" borderId="0"/>
    <xf numFmtId="0" fontId="48"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4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98"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43" fontId="41" fillId="0" borderId="0" applyFont="0" applyFill="0" applyBorder="0" applyAlignment="0" applyProtection="0"/>
    <xf numFmtId="9" fontId="98" fillId="0" borderId="0" applyFont="0" applyFill="0" applyBorder="0" applyAlignment="0" applyProtection="0"/>
    <xf numFmtId="9" fontId="81" fillId="0" borderId="0" applyFont="0" applyFill="0" applyBorder="0" applyAlignment="0" applyProtection="0"/>
    <xf numFmtId="9" fontId="81" fillId="0" borderId="0" applyFont="0" applyFill="0" applyBorder="0" applyAlignment="0" applyProtection="0"/>
    <xf numFmtId="9" fontId="48" fillId="0" borderId="0" applyFont="0" applyFill="0" applyBorder="0" applyAlignment="0" applyProtection="0"/>
    <xf numFmtId="0" fontId="153" fillId="0" borderId="57" applyNumberFormat="0" applyFont="0" applyFill="0" applyAlignment="0" applyProtection="0">
      <alignment horizontal="left" vertical="center"/>
    </xf>
    <xf numFmtId="174" fontId="154" fillId="0" borderId="28">
      <alignment horizontal="center" vertical="center"/>
      <protection locked="0"/>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78" fillId="0" borderId="0"/>
    <xf numFmtId="0" fontId="78" fillId="0" borderId="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193" fontId="158" fillId="0" borderId="0" applyFont="0" applyFill="0" applyBorder="0" applyAlignment="0" applyProtection="0"/>
    <xf numFmtId="0" fontId="133" fillId="49" borderId="37" applyNumberFormat="0" applyAlignment="0" applyProtection="0"/>
    <xf numFmtId="0" fontId="146" fillId="0" borderId="41" applyNumberFormat="0" applyFill="0" applyAlignment="0" applyProtection="0"/>
    <xf numFmtId="0" fontId="131" fillId="31" borderId="0" applyNumberFormat="0" applyBorder="0" applyAlignment="0" applyProtection="0"/>
    <xf numFmtId="0" fontId="152" fillId="48" borderId="43" applyNumberFormat="0" applyAlignment="0" applyProtection="0"/>
    <xf numFmtId="0" fontId="132" fillId="48" borderId="36" applyNumberFormat="0" applyAlignment="0" applyProtection="0"/>
    <xf numFmtId="0" fontId="157" fillId="0" borderId="0" applyNumberFormat="0" applyFill="0" applyBorder="0" applyAlignment="0" applyProtection="0"/>
    <xf numFmtId="0" fontId="137" fillId="0" borderId="0" applyNumberFormat="0" applyFill="0" applyBorder="0" applyAlignment="0" applyProtection="0"/>
    <xf numFmtId="0" fontId="155" fillId="0" borderId="0" applyNumberFormat="0" applyFill="0" applyBorder="0" applyAlignment="0" applyProtection="0"/>
    <xf numFmtId="0" fontId="138" fillId="32" borderId="0" applyNumberFormat="0" applyBorder="0" applyAlignment="0" applyProtection="0"/>
    <xf numFmtId="0" fontId="145" fillId="35" borderId="36" applyNumberFormat="0" applyAlignment="0" applyProtection="0"/>
    <xf numFmtId="0" fontId="148" fillId="50" borderId="0" applyNumberFormat="0" applyBorder="0" applyAlignment="0" applyProtection="0"/>
    <xf numFmtId="0" fontId="156" fillId="0" borderId="45" applyNumberFormat="0" applyFill="0" applyAlignment="0" applyProtection="0"/>
    <xf numFmtId="0" fontId="3" fillId="0" borderId="0"/>
    <xf numFmtId="0" fontId="130" fillId="44" borderId="0" applyNumberFormat="0" applyBorder="0" applyAlignment="0" applyProtection="0"/>
    <xf numFmtId="0" fontId="130" fillId="45" borderId="0" applyNumberFormat="0" applyBorder="0" applyAlignment="0" applyProtection="0"/>
    <xf numFmtId="0" fontId="130" fillId="46"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75" fillId="51" borderId="42" applyNumberFormat="0" applyFont="0" applyAlignment="0" applyProtection="0"/>
    <xf numFmtId="0" fontId="141" fillId="0" borderId="38" applyNumberFormat="0" applyFill="0" applyAlignment="0" applyProtection="0"/>
    <xf numFmtId="0" fontId="142" fillId="0" borderId="39" applyNumberFormat="0" applyFill="0" applyAlignment="0" applyProtection="0"/>
    <xf numFmtId="0" fontId="143" fillId="0" borderId="40" applyNumberFormat="0" applyFill="0" applyAlignment="0" applyProtection="0"/>
    <xf numFmtId="0" fontId="143" fillId="0" borderId="0" applyNumberFormat="0" applyFill="0" applyBorder="0" applyAlignment="0" applyProtection="0"/>
    <xf numFmtId="0" fontId="7" fillId="0" borderId="0"/>
    <xf numFmtId="43" fontId="42" fillId="0" borderId="0" applyFont="0" applyFill="0" applyBorder="0" applyAlignment="0" applyProtection="0"/>
    <xf numFmtId="0" fontId="7" fillId="0" borderId="0"/>
    <xf numFmtId="43" fontId="7" fillId="0" borderId="0" applyFont="0" applyFill="0" applyBorder="0" applyAlignment="0" applyProtection="0"/>
    <xf numFmtId="0" fontId="3" fillId="0" borderId="0"/>
    <xf numFmtId="43" fontId="48" fillId="0" borderId="0" applyFont="0" applyFill="0" applyBorder="0" applyAlignment="0" applyProtection="0"/>
    <xf numFmtId="43" fontId="3" fillId="0" borderId="0" applyFont="0" applyFill="0" applyBorder="0" applyAlignment="0" applyProtection="0"/>
    <xf numFmtId="0" fontId="3" fillId="0" borderId="0"/>
    <xf numFmtId="41" fontId="41" fillId="0" borderId="0" applyFont="0" applyFill="0" applyBorder="0" applyAlignment="0" applyProtection="0"/>
    <xf numFmtId="43" fontId="41" fillId="0" borderId="0" applyFont="0" applyFill="0" applyBorder="0" applyAlignment="0" applyProtection="0"/>
    <xf numFmtId="166" fontId="41" fillId="0" borderId="0" applyFont="0" applyFill="0" applyBorder="0" applyAlignment="0" applyProtection="0"/>
    <xf numFmtId="167" fontId="41" fillId="0" borderId="0" applyFont="0" applyFill="0" applyBorder="0" applyAlignment="0" applyProtection="0"/>
    <xf numFmtId="0" fontId="41"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7" fillId="0" borderId="0" applyFont="0" applyFill="0" applyBorder="0" applyAlignment="0" applyProtection="0"/>
    <xf numFmtId="0" fontId="7"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43" fontId="2" fillId="0" borderId="0" applyFont="0" applyFill="0" applyBorder="0" applyAlignment="0" applyProtection="0"/>
  </cellStyleXfs>
  <cellXfs count="989">
    <xf numFmtId="0" fontId="0" fillId="0" borderId="0" xfId="0"/>
    <xf numFmtId="0" fontId="6" fillId="0" borderId="0" xfId="0" applyFont="1"/>
    <xf numFmtId="0" fontId="0" fillId="0" borderId="0" xfId="0" applyAlignment="1">
      <alignment horizontal="center"/>
    </xf>
    <xf numFmtId="0" fontId="0" fillId="0" borderId="0" xfId="0" applyFill="1"/>
    <xf numFmtId="0" fontId="7" fillId="5" borderId="10" xfId="0" applyFont="1" applyFill="1" applyBorder="1" applyAlignment="1">
      <alignment horizontal="center" vertical="center"/>
    </xf>
    <xf numFmtId="0" fontId="7" fillId="8" borderId="0" xfId="0" applyFont="1" applyFill="1" applyBorder="1" applyAlignment="1">
      <alignment horizontal="center" vertical="center"/>
    </xf>
    <xf numFmtId="0" fontId="6" fillId="8" borderId="0" xfId="0" applyFont="1" applyFill="1"/>
    <xf numFmtId="0" fontId="8" fillId="8" borderId="0" xfId="0" applyFont="1" applyFill="1" applyBorder="1" applyAlignment="1">
      <alignment horizontal="center" vertical="center"/>
    </xf>
    <xf numFmtId="0" fontId="8" fillId="8" borderId="18"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18" xfId="0" applyFont="1" applyFill="1" applyBorder="1" applyAlignment="1">
      <alignment horizontal="center" vertical="center"/>
    </xf>
    <xf numFmtId="0" fontId="11" fillId="8" borderId="16" xfId="0" applyFont="1" applyFill="1" applyBorder="1" applyAlignment="1">
      <alignment horizontal="center" vertical="center"/>
    </xf>
    <xf numFmtId="0" fontId="11" fillId="8" borderId="18" xfId="0" applyFont="1" applyFill="1" applyBorder="1" applyAlignment="1">
      <alignment horizontal="center" vertical="center"/>
    </xf>
    <xf numFmtId="0" fontId="13" fillId="8" borderId="16"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4" fillId="8" borderId="0"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9" fillId="8" borderId="0" xfId="0" applyFont="1" applyFill="1" applyBorder="1" applyAlignment="1">
      <alignment horizontal="center" vertical="center"/>
    </xf>
    <xf numFmtId="0" fontId="11" fillId="8" borderId="0" xfId="0" applyFont="1" applyFill="1" applyBorder="1" applyAlignment="1">
      <alignment horizontal="center" vertical="center"/>
    </xf>
    <xf numFmtId="0" fontId="6" fillId="8" borderId="6" xfId="0" applyFont="1" applyFill="1" applyBorder="1"/>
    <xf numFmtId="0" fontId="7" fillId="4" borderId="10" xfId="0" applyFont="1" applyFill="1" applyBorder="1" applyAlignment="1">
      <alignment horizontal="center" vertical="center"/>
    </xf>
    <xf numFmtId="0" fontId="7" fillId="6" borderId="20"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10" xfId="0" applyFont="1" applyFill="1" applyBorder="1" applyAlignment="1">
      <alignment horizontal="center" vertical="center"/>
    </xf>
    <xf numFmtId="0" fontId="7" fillId="6" borderId="10" xfId="0" applyFont="1" applyFill="1" applyBorder="1" applyAlignment="1">
      <alignment horizontal="center" vertical="center"/>
    </xf>
    <xf numFmtId="0" fontId="8" fillId="8" borderId="21" xfId="0" applyFont="1" applyFill="1" applyBorder="1" applyAlignment="1">
      <alignment horizontal="center" vertical="center"/>
    </xf>
    <xf numFmtId="0" fontId="7"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7" fillId="8" borderId="0" xfId="0" applyFont="1" applyFill="1" applyBorder="1" applyAlignment="1">
      <alignment horizontal="center"/>
    </xf>
    <xf numFmtId="0" fontId="6" fillId="8" borderId="3" xfId="0" applyFont="1" applyFill="1" applyBorder="1"/>
    <xf numFmtId="0" fontId="6" fillId="8" borderId="2" xfId="0" applyFont="1" applyFill="1" applyBorder="1"/>
    <xf numFmtId="0" fontId="0" fillId="8" borderId="0" xfId="0" applyFill="1" applyBorder="1" applyAlignment="1"/>
    <xf numFmtId="0" fontId="0" fillId="8" borderId="9" xfId="0" applyFill="1" applyBorder="1" applyAlignment="1">
      <alignment horizontal="center"/>
    </xf>
    <xf numFmtId="0" fontId="6" fillId="8" borderId="0" xfId="0" applyFont="1" applyFill="1" applyBorder="1" applyAlignment="1">
      <alignment horizontal="center"/>
    </xf>
    <xf numFmtId="0" fontId="0" fillId="8" borderId="0" xfId="0" applyFill="1" applyBorder="1"/>
    <xf numFmtId="0" fontId="15" fillId="8" borderId="0" xfId="0" applyFont="1" applyFill="1"/>
    <xf numFmtId="0" fontId="16" fillId="8" borderId="0" xfId="0" applyFont="1" applyFill="1"/>
    <xf numFmtId="0" fontId="6" fillId="8" borderId="6" xfId="0" applyFont="1" applyFill="1" applyBorder="1" applyAlignment="1"/>
    <xf numFmtId="0" fontId="6" fillId="8" borderId="7" xfId="0" applyFont="1" applyFill="1" applyBorder="1" applyAlignment="1"/>
    <xf numFmtId="0" fontId="6" fillId="8" borderId="9" xfId="0" applyFont="1" applyFill="1" applyBorder="1" applyAlignment="1"/>
    <xf numFmtId="0" fontId="6" fillId="8" borderId="0" xfId="0" applyFont="1" applyFill="1" applyBorder="1" applyAlignment="1"/>
    <xf numFmtId="0" fontId="6" fillId="8" borderId="6" xfId="0" applyFont="1" applyFill="1" applyBorder="1" applyAlignment="1">
      <alignment horizontal="left" vertical="center"/>
    </xf>
    <xf numFmtId="0" fontId="0" fillId="8" borderId="7" xfId="0" applyFill="1" applyBorder="1"/>
    <xf numFmtId="0" fontId="6"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6" fillId="8" borderId="11" xfId="0" applyFont="1" applyFill="1" applyBorder="1" applyAlignment="1"/>
    <xf numFmtId="0" fontId="6" fillId="8" borderId="12" xfId="0" applyFont="1" applyFill="1" applyBorder="1" applyAlignment="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9" fillId="8" borderId="6" xfId="1" applyFont="1" applyFill="1" applyBorder="1" applyAlignment="1">
      <alignment horizontal="center" vertical="center"/>
    </xf>
    <xf numFmtId="43" fontId="7" fillId="8" borderId="0" xfId="1" applyFont="1" applyFill="1" applyBorder="1"/>
    <xf numFmtId="43" fontId="6" fillId="8" borderId="14" xfId="0" applyNumberFormat="1" applyFont="1" applyFill="1" applyBorder="1"/>
    <xf numFmtId="43" fontId="6" fillId="8" borderId="15" xfId="0" applyNumberFormat="1" applyFont="1" applyFill="1" applyBorder="1"/>
    <xf numFmtId="43" fontId="9" fillId="8" borderId="9" xfId="1" applyFont="1" applyFill="1" applyBorder="1" applyAlignment="1">
      <alignment horizontal="center" vertical="center"/>
    </xf>
    <xf numFmtId="43" fontId="6" fillId="8" borderId="0" xfId="0" applyNumberFormat="1" applyFont="1" applyFill="1" applyBorder="1"/>
    <xf numFmtId="43" fontId="6" fillId="8" borderId="11" xfId="0" applyNumberFormat="1" applyFont="1" applyFill="1" applyBorder="1"/>
    <xf numFmtId="43" fontId="6" fillId="8" borderId="12" xfId="0" applyNumberFormat="1" applyFont="1" applyFill="1" applyBorder="1"/>
    <xf numFmtId="43" fontId="9" fillId="8" borderId="0" xfId="1" applyFont="1" applyFill="1" applyBorder="1" applyAlignment="1">
      <alignment horizontal="center" vertical="center"/>
    </xf>
    <xf numFmtId="43" fontId="9" fillId="8" borderId="7" xfId="1" applyFont="1" applyFill="1" applyBorder="1" applyAlignment="1">
      <alignment horizontal="center" vertical="center"/>
    </xf>
    <xf numFmtId="43" fontId="9" fillId="8" borderId="11" xfId="1" applyFont="1" applyFill="1" applyBorder="1" applyAlignment="1">
      <alignment horizontal="center" vertical="center"/>
    </xf>
    <xf numFmtId="43" fontId="9" fillId="8" borderId="12" xfId="1" applyFont="1" applyFill="1" applyBorder="1" applyAlignment="1">
      <alignment horizontal="center" vertical="center"/>
    </xf>
    <xf numFmtId="43" fontId="7" fillId="4" borderId="0" xfId="1" applyFont="1" applyFill="1" applyBorder="1" applyAlignment="1">
      <alignment horizontal="center" vertical="center"/>
    </xf>
    <xf numFmtId="43" fontId="7" fillId="4" borderId="0" xfId="1" applyFont="1" applyFill="1" applyBorder="1"/>
    <xf numFmtId="43" fontId="0" fillId="8" borderId="16" xfId="1" applyFont="1" applyFill="1" applyBorder="1"/>
    <xf numFmtId="43" fontId="0" fillId="8" borderId="18" xfId="1" applyFont="1" applyFill="1" applyBorder="1"/>
    <xf numFmtId="0" fontId="12" fillId="8" borderId="0" xfId="0" applyFont="1" applyFill="1" applyBorder="1"/>
    <xf numFmtId="0" fontId="12" fillId="8" borderId="0" xfId="0" applyFont="1" applyFill="1"/>
    <xf numFmtId="0" fontId="12" fillId="0" borderId="0" xfId="0" applyFont="1"/>
    <xf numFmtId="0" fontId="12" fillId="8" borderId="17" xfId="0" applyFont="1" applyFill="1" applyBorder="1"/>
    <xf numFmtId="168" fontId="18" fillId="7" borderId="14" xfId="0" applyNumberFormat="1" applyFont="1" applyFill="1" applyBorder="1" applyAlignment="1">
      <alignment horizontal="center" vertical="center"/>
    </xf>
    <xf numFmtId="168" fontId="18" fillId="7" borderId="15" xfId="0" applyNumberFormat="1" applyFont="1" applyFill="1" applyBorder="1" applyAlignment="1">
      <alignment horizontal="center" vertical="center"/>
    </xf>
    <xf numFmtId="168" fontId="18" fillId="7" borderId="6" xfId="0" applyNumberFormat="1" applyFont="1" applyFill="1" applyBorder="1" applyAlignment="1">
      <alignment horizontal="center" vertical="center"/>
    </xf>
    <xf numFmtId="168" fontId="18" fillId="7" borderId="7" xfId="0" applyNumberFormat="1" applyFont="1" applyFill="1" applyBorder="1" applyAlignment="1">
      <alignment horizontal="center" vertical="center"/>
    </xf>
    <xf numFmtId="0" fontId="18" fillId="7" borderId="14" xfId="0" applyFont="1" applyFill="1" applyBorder="1"/>
    <xf numFmtId="169" fontId="0" fillId="8" borderId="0" xfId="1" applyNumberFormat="1" applyFont="1" applyFill="1" applyBorder="1"/>
    <xf numFmtId="169" fontId="17" fillId="8" borderId="0" xfId="1" applyNumberFormat="1" applyFont="1" applyFill="1" applyBorder="1"/>
    <xf numFmtId="43" fontId="0" fillId="8" borderId="0" xfId="0" applyNumberFormat="1" applyFill="1" applyBorder="1"/>
    <xf numFmtId="43" fontId="0" fillId="8" borderId="12" xfId="0" applyNumberFormat="1" applyFill="1" applyBorder="1"/>
    <xf numFmtId="0" fontId="6" fillId="8" borderId="9" xfId="0" applyFont="1" applyFill="1" applyBorder="1" applyAlignment="1">
      <alignment horizontal="left" indent="1"/>
    </xf>
    <xf numFmtId="0" fontId="6" fillId="0" borderId="9" xfId="0" applyFont="1" applyBorder="1" applyAlignment="1">
      <alignment horizontal="left" indent="1"/>
    </xf>
    <xf numFmtId="0" fontId="0" fillId="8" borderId="0" xfId="0" applyFill="1" applyBorder="1" applyAlignment="1">
      <alignment horizontal="right"/>
    </xf>
    <xf numFmtId="169" fontId="0" fillId="8" borderId="7" xfId="1" applyNumberFormat="1" applyFont="1" applyFill="1" applyBorder="1"/>
    <xf numFmtId="171" fontId="0" fillId="8" borderId="0" xfId="1" applyNumberFormat="1" applyFont="1" applyFill="1" applyBorder="1"/>
    <xf numFmtId="43" fontId="5" fillId="8" borderId="0" xfId="0" applyNumberFormat="1" applyFont="1" applyFill="1" applyBorder="1"/>
    <xf numFmtId="169" fontId="0" fillId="0" borderId="7" xfId="1" applyNumberFormat="1" applyFont="1" applyBorder="1"/>
    <xf numFmtId="43" fontId="10" fillId="4" borderId="0" xfId="1" applyFont="1" applyFill="1" applyBorder="1"/>
    <xf numFmtId="171" fontId="20" fillId="9" borderId="0" xfId="1" applyNumberFormat="1" applyFont="1" applyFill="1" applyBorder="1"/>
    <xf numFmtId="171" fontId="20" fillId="11" borderId="12" xfId="1" applyNumberFormat="1" applyFont="1" applyFill="1" applyBorder="1"/>
    <xf numFmtId="0" fontId="20" fillId="9" borderId="9" xfId="0" applyFont="1" applyFill="1" applyBorder="1" applyAlignment="1">
      <alignment horizontal="left" indent="1"/>
    </xf>
    <xf numFmtId="0" fontId="20" fillId="10" borderId="11" xfId="0" applyFont="1" applyFill="1" applyBorder="1" applyAlignment="1">
      <alignment horizontal="left" indent="1"/>
    </xf>
    <xf numFmtId="43" fontId="4" fillId="8" borderId="0" xfId="1" applyFont="1" applyFill="1" applyBorder="1"/>
    <xf numFmtId="9" fontId="6"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7" fillId="8" borderId="25" xfId="0" applyFont="1" applyFill="1" applyBorder="1" applyAlignment="1">
      <alignment horizontal="center"/>
    </xf>
    <xf numFmtId="0" fontId="6" fillId="3" borderId="9" xfId="0" applyFont="1" applyFill="1" applyBorder="1" applyAlignment="1"/>
    <xf numFmtId="0" fontId="0" fillId="3" borderId="0" xfId="0" applyFill="1" applyBorder="1" applyAlignment="1">
      <alignment horizontal="center"/>
    </xf>
    <xf numFmtId="0" fontId="0" fillId="3" borderId="0" xfId="0" applyFill="1" applyBorder="1"/>
    <xf numFmtId="0" fontId="6"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8" fillId="8" borderId="26" xfId="0" applyFont="1" applyFill="1" applyBorder="1" applyAlignment="1">
      <alignment horizontal="center" vertical="center"/>
    </xf>
    <xf numFmtId="0" fontId="7" fillId="5" borderId="27" xfId="0" applyFont="1" applyFill="1" applyBorder="1" applyAlignment="1">
      <alignment horizontal="center" vertical="center"/>
    </xf>
    <xf numFmtId="43" fontId="24" fillId="8" borderId="0" xfId="1" applyFont="1" applyFill="1"/>
    <xf numFmtId="43" fontId="7" fillId="8" borderId="0" xfId="1" applyFont="1" applyFill="1" applyBorder="1" applyAlignment="1">
      <alignment horizontal="center" vertical="center"/>
    </xf>
    <xf numFmtId="171" fontId="19" fillId="8" borderId="0" xfId="1" applyNumberFormat="1" applyFont="1" applyFill="1" applyBorder="1"/>
    <xf numFmtId="43" fontId="19" fillId="8" borderId="0" xfId="1" applyFont="1" applyFill="1" applyBorder="1"/>
    <xf numFmtId="9" fontId="6" fillId="8" borderId="0" xfId="2" applyNumberFormat="1" applyFont="1" applyFill="1" applyBorder="1"/>
    <xf numFmtId="43" fontId="10" fillId="4" borderId="0" xfId="1" applyFont="1" applyFill="1" applyBorder="1" applyAlignment="1">
      <alignment horizontal="center" vertical="center"/>
    </xf>
    <xf numFmtId="43" fontId="4" fillId="8" borderId="18" xfId="1" applyFont="1" applyFill="1" applyBorder="1"/>
    <xf numFmtId="43" fontId="17" fillId="8" borderId="16" xfId="1" applyFont="1" applyFill="1" applyBorder="1"/>
    <xf numFmtId="43" fontId="4" fillId="8" borderId="0" xfId="1" applyFont="1" applyFill="1"/>
    <xf numFmtId="0" fontId="9" fillId="8" borderId="26" xfId="0" applyFont="1" applyFill="1" applyBorder="1" applyAlignment="1">
      <alignment horizontal="center" vertical="center"/>
    </xf>
    <xf numFmtId="0" fontId="7" fillId="6" borderId="27" xfId="0" applyFont="1" applyFill="1" applyBorder="1" applyAlignment="1">
      <alignment horizontal="center" vertical="center"/>
    </xf>
    <xf numFmtId="43" fontId="26" fillId="8" borderId="18" xfId="1" applyFont="1" applyFill="1" applyBorder="1"/>
    <xf numFmtId="43" fontId="3" fillId="8" borderId="0" xfId="1" applyFont="1" applyFill="1" applyBorder="1"/>
    <xf numFmtId="169" fontId="20"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8" fontId="6" fillId="12" borderId="14" xfId="0" applyNumberFormat="1" applyFont="1" applyFill="1" applyBorder="1" applyAlignment="1">
      <alignment horizontal="center" vertical="center"/>
    </xf>
    <xf numFmtId="168" fontId="6" fillId="12" borderId="5" xfId="0" applyNumberFormat="1" applyFont="1" applyFill="1" applyBorder="1" applyAlignment="1">
      <alignment horizontal="center" vertical="center"/>
    </xf>
    <xf numFmtId="168" fontId="19" fillId="12" borderId="15" xfId="0" applyNumberFormat="1" applyFont="1" applyFill="1" applyBorder="1" applyAlignment="1">
      <alignment horizontal="center" vertical="center"/>
    </xf>
    <xf numFmtId="168" fontId="19" fillId="12" borderId="5" xfId="0" applyNumberFormat="1" applyFont="1" applyFill="1" applyBorder="1" applyAlignment="1">
      <alignment horizontal="center" vertical="center"/>
    </xf>
    <xf numFmtId="168" fontId="6" fillId="12" borderId="15" xfId="0" applyNumberFormat="1" applyFont="1" applyFill="1" applyBorder="1" applyAlignment="1">
      <alignment horizontal="center" vertical="center"/>
    </xf>
    <xf numFmtId="168" fontId="5" fillId="12" borderId="5" xfId="0" applyNumberFormat="1" applyFont="1" applyFill="1" applyBorder="1" applyAlignment="1">
      <alignment horizontal="center" vertical="center"/>
    </xf>
    <xf numFmtId="168" fontId="5" fillId="12" borderId="15" xfId="0" applyNumberFormat="1" applyFont="1" applyFill="1" applyBorder="1" applyAlignment="1">
      <alignment horizontal="center" vertical="center"/>
    </xf>
    <xf numFmtId="168" fontId="5" fillId="12" borderId="2" xfId="0" applyNumberFormat="1" applyFont="1" applyFill="1" applyBorder="1" applyAlignment="1">
      <alignment horizontal="center" vertical="center"/>
    </xf>
    <xf numFmtId="168" fontId="5" fillId="12" borderId="7" xfId="0" applyNumberFormat="1" applyFont="1" applyFill="1" applyBorder="1" applyAlignment="1">
      <alignment horizontal="center" vertical="center"/>
    </xf>
    <xf numFmtId="168" fontId="5" fillId="12" borderId="8" xfId="0" applyNumberFormat="1" applyFont="1" applyFill="1" applyBorder="1" applyAlignment="1">
      <alignment horizontal="center" vertical="center"/>
    </xf>
    <xf numFmtId="168" fontId="6" fillId="12" borderId="8" xfId="0" applyNumberFormat="1" applyFont="1" applyFill="1" applyBorder="1" applyAlignment="1">
      <alignment horizontal="center" vertical="center"/>
    </xf>
    <xf numFmtId="0" fontId="0" fillId="2" borderId="0" xfId="0" applyFill="1" applyAlignment="1">
      <alignment horizontal="center" vertical="center"/>
    </xf>
    <xf numFmtId="168" fontId="6" fillId="2" borderId="0" xfId="0" applyNumberFormat="1" applyFont="1" applyFill="1" applyAlignment="1">
      <alignment horizontal="center" vertical="center"/>
    </xf>
    <xf numFmtId="0" fontId="6" fillId="2" borderId="0" xfId="0" applyNumberFormat="1" applyFont="1" applyFill="1" applyAlignment="1">
      <alignment horizontal="center" vertical="center"/>
    </xf>
    <xf numFmtId="0" fontId="6" fillId="2" borderId="7" xfId="0" applyNumberFormat="1" applyFont="1" applyFill="1" applyBorder="1" applyAlignment="1">
      <alignment horizontal="center" vertical="center"/>
    </xf>
    <xf numFmtId="0" fontId="6" fillId="2" borderId="8" xfId="0" applyNumberFormat="1" applyFont="1" applyFill="1" applyBorder="1" applyAlignment="1">
      <alignment horizontal="center" vertical="center"/>
    </xf>
    <xf numFmtId="43" fontId="6" fillId="2" borderId="12" xfId="1" applyFont="1" applyFill="1" applyBorder="1" applyAlignment="1">
      <alignment horizontal="center" vertical="center"/>
    </xf>
    <xf numFmtId="43" fontId="19" fillId="2" borderId="12" xfId="1" applyFont="1" applyFill="1" applyBorder="1" applyAlignment="1">
      <alignment horizontal="center" vertical="center"/>
    </xf>
    <xf numFmtId="43" fontId="6" fillId="2" borderId="13" xfId="1" applyFont="1" applyFill="1" applyBorder="1" applyAlignment="1">
      <alignment horizontal="center" vertical="center"/>
    </xf>
    <xf numFmtId="0" fontId="6" fillId="0" borderId="0" xfId="0" applyFont="1" applyAlignment="1">
      <alignment horizontal="center" vertical="center"/>
    </xf>
    <xf numFmtId="0" fontId="6" fillId="2" borderId="2" xfId="0" applyFont="1" applyFill="1" applyBorder="1" applyAlignment="1">
      <alignment horizontal="center" vertical="center"/>
    </xf>
    <xf numFmtId="43" fontId="6" fillId="2" borderId="6" xfId="1" applyFont="1" applyFill="1" applyBorder="1" applyAlignment="1">
      <alignment horizontal="center" vertical="center"/>
    </xf>
    <xf numFmtId="43" fontId="6" fillId="2" borderId="2" xfId="1" applyFont="1" applyFill="1" applyBorder="1" applyAlignment="1">
      <alignment horizontal="center" vertical="center"/>
    </xf>
    <xf numFmtId="43" fontId="6" fillId="2" borderId="8" xfId="1" applyFont="1" applyFill="1" applyBorder="1" applyAlignment="1">
      <alignment horizontal="center" vertical="center"/>
    </xf>
    <xf numFmtId="43" fontId="6" fillId="2" borderId="7" xfId="1" applyFont="1" applyFill="1" applyBorder="1" applyAlignment="1">
      <alignment horizontal="center" vertical="center"/>
    </xf>
    <xf numFmtId="43" fontId="19" fillId="2" borderId="4" xfId="1" applyFont="1" applyFill="1" applyBorder="1" applyAlignment="1">
      <alignment horizontal="center" vertical="center"/>
    </xf>
    <xf numFmtId="43" fontId="19" fillId="2" borderId="0" xfId="1" applyFont="1" applyFill="1" applyBorder="1" applyAlignment="1">
      <alignment horizontal="center" vertical="center"/>
    </xf>
    <xf numFmtId="43" fontId="19" fillId="2" borderId="3" xfId="1" applyFont="1" applyFill="1" applyBorder="1" applyAlignment="1">
      <alignment horizontal="center" vertical="center"/>
    </xf>
    <xf numFmtId="43" fontId="19" fillId="2" borderId="10" xfId="1" applyFont="1" applyFill="1" applyBorder="1" applyAlignment="1">
      <alignment horizontal="center" vertical="center"/>
    </xf>
    <xf numFmtId="43" fontId="5" fillId="2" borderId="10" xfId="1" applyFont="1" applyFill="1" applyBorder="1" applyAlignment="1">
      <alignment horizontal="center" vertical="center"/>
    </xf>
    <xf numFmtId="43" fontId="27" fillId="13" borderId="6" xfId="1" applyFont="1" applyFill="1" applyBorder="1" applyAlignment="1">
      <alignment horizontal="center" vertical="center"/>
    </xf>
    <xf numFmtId="43" fontId="27" fillId="13" borderId="2" xfId="1" applyFont="1" applyFill="1" applyBorder="1" applyAlignment="1">
      <alignment horizontal="center" vertical="center"/>
    </xf>
    <xf numFmtId="43" fontId="27" fillId="14" borderId="2" xfId="1" applyFont="1" applyFill="1" applyBorder="1" applyAlignment="1">
      <alignment horizontal="center" vertical="center"/>
    </xf>
    <xf numFmtId="43" fontId="27" fillId="14" borderId="8" xfId="1" applyFont="1" applyFill="1" applyBorder="1" applyAlignment="1">
      <alignment horizontal="center" vertical="center"/>
    </xf>
    <xf numFmtId="43" fontId="27" fillId="14" borderId="6" xfId="1" applyFont="1" applyFill="1" applyBorder="1" applyAlignment="1">
      <alignment horizontal="center" vertical="center"/>
    </xf>
    <xf numFmtId="43" fontId="28" fillId="15" borderId="8" xfId="1" applyFont="1" applyFill="1" applyBorder="1" applyAlignment="1">
      <alignment horizontal="center" vertical="center"/>
    </xf>
    <xf numFmtId="43" fontId="28" fillId="16" borderId="8" xfId="1" applyFont="1" applyFill="1" applyBorder="1" applyAlignment="1">
      <alignment horizontal="center" vertical="center"/>
    </xf>
    <xf numFmtId="43" fontId="29" fillId="16" borderId="8" xfId="1" applyFont="1" applyFill="1" applyBorder="1" applyAlignment="1">
      <alignment horizontal="center" vertical="center"/>
    </xf>
    <xf numFmtId="43" fontId="27" fillId="13" borderId="9" xfId="1" applyFont="1" applyFill="1" applyBorder="1" applyAlignment="1">
      <alignment horizontal="center" vertical="center"/>
    </xf>
    <xf numFmtId="43" fontId="27" fillId="13" borderId="3" xfId="1" applyFont="1" applyFill="1" applyBorder="1" applyAlignment="1">
      <alignment horizontal="center" vertical="center"/>
    </xf>
    <xf numFmtId="43" fontId="27" fillId="14" borderId="3" xfId="1" applyFont="1" applyFill="1" applyBorder="1" applyAlignment="1">
      <alignment horizontal="center" vertical="center"/>
    </xf>
    <xf numFmtId="43" fontId="27" fillId="14" borderId="10" xfId="1" applyFont="1" applyFill="1" applyBorder="1" applyAlignment="1">
      <alignment horizontal="center" vertical="center"/>
    </xf>
    <xf numFmtId="43" fontId="27" fillId="14" borderId="9" xfId="1" applyFont="1" applyFill="1" applyBorder="1" applyAlignment="1">
      <alignment horizontal="center" vertical="center"/>
    </xf>
    <xf numFmtId="43" fontId="28" fillId="17" borderId="3" xfId="1" applyFont="1" applyFill="1" applyBorder="1" applyAlignment="1">
      <alignment horizontal="center" vertical="center"/>
    </xf>
    <xf numFmtId="43" fontId="29" fillId="17" borderId="3" xfId="1" applyFont="1" applyFill="1" applyBorder="1" applyAlignment="1">
      <alignment horizontal="center" vertical="center"/>
    </xf>
    <xf numFmtId="43" fontId="27" fillId="14" borderId="0" xfId="1" applyFont="1" applyFill="1" applyBorder="1" applyAlignment="1">
      <alignment horizontal="center" vertical="center"/>
    </xf>
    <xf numFmtId="43" fontId="28" fillId="17" borderId="10" xfId="1" applyFont="1" applyFill="1" applyBorder="1" applyAlignment="1">
      <alignment horizontal="center" vertical="center"/>
    </xf>
    <xf numFmtId="43" fontId="30" fillId="17" borderId="10" xfId="1" applyFont="1" applyFill="1" applyBorder="1" applyAlignment="1">
      <alignment horizontal="center" vertical="center"/>
    </xf>
    <xf numFmtId="43" fontId="29" fillId="17" borderId="10" xfId="1" applyFont="1" applyFill="1" applyBorder="1" applyAlignment="1">
      <alignment horizontal="center" vertical="center"/>
    </xf>
    <xf numFmtId="0" fontId="6" fillId="4" borderId="4" xfId="0" applyFont="1" applyFill="1" applyBorder="1" applyAlignment="1">
      <alignment horizontal="center" vertical="center"/>
    </xf>
    <xf numFmtId="43" fontId="27" fillId="4" borderId="11" xfId="1" applyFont="1" applyFill="1" applyBorder="1" applyAlignment="1">
      <alignment horizontal="center" vertical="center"/>
    </xf>
    <xf numFmtId="43" fontId="27" fillId="4" borderId="4" xfId="1" applyFont="1" applyFill="1" applyBorder="1" applyAlignment="1">
      <alignment horizontal="center" vertical="center"/>
    </xf>
    <xf numFmtId="43" fontId="27" fillId="18" borderId="4" xfId="1" applyFont="1" applyFill="1" applyBorder="1" applyAlignment="1">
      <alignment horizontal="center" vertical="center"/>
    </xf>
    <xf numFmtId="43" fontId="27" fillId="18" borderId="13" xfId="1" applyFont="1" applyFill="1" applyBorder="1" applyAlignment="1">
      <alignment horizontal="center" vertical="center"/>
    </xf>
    <xf numFmtId="43" fontId="27" fillId="18" borderId="12" xfId="1" applyFont="1" applyFill="1" applyBorder="1" applyAlignment="1">
      <alignment horizontal="center" vertical="center"/>
    </xf>
    <xf numFmtId="43" fontId="31" fillId="18" borderId="4" xfId="1" applyFont="1" applyFill="1" applyBorder="1" applyAlignment="1">
      <alignment horizontal="center" vertical="center"/>
    </xf>
    <xf numFmtId="43" fontId="5" fillId="18" borderId="4" xfId="1" applyFont="1" applyFill="1" applyBorder="1" applyAlignment="1">
      <alignment horizontal="center" vertical="center"/>
    </xf>
    <xf numFmtId="43" fontId="28" fillId="19" borderId="4" xfId="1" applyFont="1" applyFill="1" applyBorder="1" applyAlignment="1">
      <alignment horizontal="center" vertical="center"/>
    </xf>
    <xf numFmtId="43" fontId="29" fillId="19" borderId="4" xfId="1" applyFont="1" applyFill="1" applyBorder="1" applyAlignment="1">
      <alignment horizontal="center" vertical="center"/>
    </xf>
    <xf numFmtId="43" fontId="29" fillId="20" borderId="4" xfId="1" applyFont="1" applyFill="1" applyBorder="1" applyAlignment="1">
      <alignment horizontal="center" vertical="center"/>
    </xf>
    <xf numFmtId="0" fontId="0" fillId="21" borderId="2" xfId="0" applyFill="1" applyBorder="1" applyAlignment="1">
      <alignment horizontal="center" vertical="center"/>
    </xf>
    <xf numFmtId="171" fontId="0" fillId="21" borderId="6" xfId="0" applyNumberFormat="1" applyFill="1" applyBorder="1" applyAlignment="1">
      <alignment horizontal="center" vertical="center"/>
    </xf>
    <xf numFmtId="171" fontId="0" fillId="21" borderId="2" xfId="0" applyNumberFormat="1" applyFill="1" applyBorder="1" applyAlignment="1">
      <alignment horizontal="center" vertical="center"/>
    </xf>
    <xf numFmtId="171" fontId="0" fillId="21" borderId="3" xfId="0" applyNumberFormat="1" applyFill="1" applyBorder="1" applyAlignment="1">
      <alignment horizontal="center" vertical="center"/>
    </xf>
    <xf numFmtId="0" fontId="16" fillId="21" borderId="4" xfId="0" applyFont="1" applyFill="1" applyBorder="1" applyAlignment="1">
      <alignment horizontal="center" vertical="center"/>
    </xf>
    <xf numFmtId="43" fontId="16" fillId="21" borderId="12" xfId="0" applyNumberFormat="1" applyFont="1" applyFill="1" applyBorder="1" applyAlignment="1">
      <alignment horizontal="center" vertical="center"/>
    </xf>
    <xf numFmtId="43" fontId="16" fillId="21" borderId="4" xfId="0" applyNumberFormat="1" applyFont="1" applyFill="1" applyBorder="1" applyAlignment="1">
      <alignment horizontal="center" vertical="center"/>
    </xf>
    <xf numFmtId="43" fontId="16" fillId="22" borderId="4" xfId="0" applyNumberFormat="1" applyFont="1" applyFill="1" applyBorder="1" applyAlignment="1">
      <alignment horizontal="center" vertical="center"/>
    </xf>
    <xf numFmtId="0" fontId="16" fillId="0" borderId="0" xfId="0" applyFont="1" applyAlignment="1">
      <alignment horizontal="center" vertical="center"/>
    </xf>
    <xf numFmtId="0" fontId="6" fillId="0" borderId="0" xfId="0" applyFont="1" applyFill="1" applyBorder="1" applyAlignment="1">
      <alignment horizontal="center" vertical="center"/>
    </xf>
    <xf numFmtId="43" fontId="6" fillId="0" borderId="0" xfId="0" applyNumberFormat="1" applyFont="1" applyFill="1" applyBorder="1" applyAlignment="1">
      <alignment horizontal="center" vertical="center"/>
    </xf>
    <xf numFmtId="0" fontId="6" fillId="0" borderId="0" xfId="0" applyFont="1" applyFill="1" applyAlignment="1">
      <alignment horizontal="center" vertical="center"/>
    </xf>
    <xf numFmtId="0" fontId="5" fillId="0" borderId="0" xfId="0" applyFont="1" applyFill="1" applyAlignment="1">
      <alignment horizontal="left" vertical="center"/>
    </xf>
    <xf numFmtId="0" fontId="6" fillId="13" borderId="5" xfId="0" applyFont="1" applyFill="1" applyBorder="1" applyAlignment="1">
      <alignment horizontal="center" vertical="center"/>
    </xf>
    <xf numFmtId="43" fontId="27" fillId="13" borderId="5" xfId="1" applyFont="1" applyFill="1" applyBorder="1" applyAlignment="1">
      <alignment horizontal="center" vertical="center"/>
    </xf>
    <xf numFmtId="43" fontId="27" fillId="14" borderId="5" xfId="1" applyFont="1" applyFill="1" applyBorder="1" applyAlignment="1">
      <alignment horizontal="center" vertical="center"/>
    </xf>
    <xf numFmtId="0" fontId="32" fillId="0" borderId="0" xfId="0" applyFont="1" applyAlignment="1">
      <alignment horizontal="center" vertical="center"/>
    </xf>
    <xf numFmtId="0" fontId="16" fillId="0" borderId="0" xfId="0" applyFont="1" applyAlignment="1">
      <alignment horizontal="left" vertical="center"/>
    </xf>
    <xf numFmtId="172" fontId="0" fillId="0" borderId="0" xfId="1" applyNumberFormat="1" applyFont="1" applyAlignment="1">
      <alignment horizontal="center" vertical="center"/>
    </xf>
    <xf numFmtId="0" fontId="0" fillId="0" borderId="0" xfId="0" applyAlignment="1">
      <alignment horizontal="left" vertical="center"/>
    </xf>
    <xf numFmtId="172" fontId="0" fillId="0" borderId="0" xfId="0" applyNumberFormat="1" applyAlignment="1">
      <alignment horizontal="center" vertical="center"/>
    </xf>
    <xf numFmtId="172" fontId="0" fillId="0" borderId="0" xfId="1" applyNumberFormat="1" applyFont="1"/>
    <xf numFmtId="0" fontId="6" fillId="0" borderId="28" xfId="0" applyFont="1" applyBorder="1" applyAlignment="1">
      <alignment horizontal="center" vertical="center"/>
    </xf>
    <xf numFmtId="43" fontId="0" fillId="0" borderId="0" xfId="1" applyFont="1"/>
    <xf numFmtId="9" fontId="0" fillId="0" borderId="0" xfId="0" applyNumberFormat="1"/>
    <xf numFmtId="0" fontId="0" fillId="0" borderId="0" xfId="0" applyBorder="1"/>
    <xf numFmtId="0" fontId="5" fillId="0" borderId="0" xfId="0" applyFont="1" applyAlignment="1">
      <alignment horizontal="center"/>
    </xf>
    <xf numFmtId="0" fontId="24" fillId="0" borderId="0" xfId="0" applyFont="1" applyAlignment="1">
      <alignment horizontal="center" vertical="center"/>
    </xf>
    <xf numFmtId="3" fontId="24" fillId="0" borderId="0" xfId="0" applyNumberFormat="1" applyFont="1" applyAlignment="1">
      <alignment horizontal="center" vertical="center"/>
    </xf>
    <xf numFmtId="0" fontId="4" fillId="0" borderId="0" xfId="0" applyFont="1" applyAlignment="1">
      <alignment horizontal="center"/>
    </xf>
    <xf numFmtId="0" fontId="24" fillId="12" borderId="0" xfId="0" applyFont="1" applyFill="1" applyAlignment="1">
      <alignment horizontal="center" vertical="center"/>
    </xf>
    <xf numFmtId="3" fontId="24" fillId="12" borderId="0" xfId="0" applyNumberFormat="1" applyFont="1" applyFill="1" applyAlignment="1">
      <alignment horizontal="center" vertical="center"/>
    </xf>
    <xf numFmtId="3" fontId="0" fillId="0" borderId="0" xfId="0" applyNumberFormat="1"/>
    <xf numFmtId="0" fontId="0" fillId="0" borderId="28" xfId="0" applyBorder="1" applyAlignment="1">
      <alignment horizontal="center" vertical="center"/>
    </xf>
    <xf numFmtId="0" fontId="4" fillId="12" borderId="0" xfId="0" applyFont="1" applyFill="1" applyAlignment="1">
      <alignment horizontal="center"/>
    </xf>
    <xf numFmtId="0" fontId="26" fillId="0" borderId="28" xfId="0" applyFont="1" applyBorder="1" applyAlignment="1">
      <alignment horizontal="center" vertical="center"/>
    </xf>
    <xf numFmtId="3" fontId="24" fillId="0" borderId="0" xfId="0" applyNumberFormat="1" applyFont="1"/>
    <xf numFmtId="3" fontId="24" fillId="12" borderId="0" xfId="0" applyNumberFormat="1" applyFont="1" applyFill="1"/>
    <xf numFmtId="171" fontId="0" fillId="0" borderId="0" xfId="1" applyNumberFormat="1" applyFont="1"/>
    <xf numFmtId="171" fontId="0" fillId="12" borderId="0" xfId="0" applyNumberFormat="1" applyFill="1"/>
    <xf numFmtId="43" fontId="0" fillId="0" borderId="0" xfId="1" applyNumberFormat="1" applyFont="1"/>
    <xf numFmtId="3" fontId="0" fillId="0" borderId="28" xfId="0" applyNumberFormat="1" applyBorder="1" applyAlignment="1">
      <alignment horizontal="center" vertical="center"/>
    </xf>
    <xf numFmtId="171" fontId="6" fillId="0" borderId="28" xfId="1" applyNumberFormat="1" applyFont="1" applyBorder="1" applyAlignment="1">
      <alignment horizontal="center" vertical="center"/>
    </xf>
    <xf numFmtId="171" fontId="0" fillId="0" borderId="28" xfId="1" applyNumberFormat="1" applyFont="1" applyBorder="1" applyAlignment="1">
      <alignment horizontal="center" vertical="center"/>
    </xf>
    <xf numFmtId="43" fontId="0" fillId="0" borderId="0" xfId="0" applyNumberFormat="1"/>
    <xf numFmtId="43" fontId="24" fillId="12" borderId="0" xfId="1" applyFont="1" applyFill="1"/>
    <xf numFmtId="43" fontId="0" fillId="12" borderId="16" xfId="1" applyFont="1" applyFill="1" applyBorder="1"/>
    <xf numFmtId="170" fontId="0" fillId="8" borderId="0" xfId="0" applyNumberFormat="1" applyFill="1"/>
    <xf numFmtId="172" fontId="7" fillId="4" borderId="0" xfId="1" applyNumberFormat="1" applyFont="1" applyFill="1" applyBorder="1" applyAlignment="1">
      <alignment horizontal="center" vertical="center"/>
    </xf>
    <xf numFmtId="172" fontId="10" fillId="4" borderId="0" xfId="1" applyNumberFormat="1" applyFont="1" applyFill="1" applyBorder="1"/>
    <xf numFmtId="172" fontId="7" fillId="4" borderId="0" xfId="1" applyNumberFormat="1" applyFont="1" applyFill="1" applyBorder="1"/>
    <xf numFmtId="172" fontId="0" fillId="8" borderId="7" xfId="1" applyNumberFormat="1" applyFont="1" applyFill="1" applyBorder="1"/>
    <xf numFmtId="0" fontId="6" fillId="8" borderId="11" xfId="0" applyFont="1" applyFill="1" applyBorder="1" applyAlignment="1">
      <alignment horizontal="left" indent="1"/>
    </xf>
    <xf numFmtId="9" fontId="6" fillId="8" borderId="12" xfId="2" applyNumberFormat="1" applyFont="1" applyFill="1" applyBorder="1"/>
    <xf numFmtId="9" fontId="6" fillId="8" borderId="12" xfId="2" applyFont="1" applyFill="1" applyBorder="1"/>
    <xf numFmtId="0" fontId="0" fillId="0" borderId="6" xfId="0" applyBorder="1"/>
    <xf numFmtId="43" fontId="33" fillId="8" borderId="0" xfId="1" applyFont="1" applyFill="1" applyBorder="1"/>
    <xf numFmtId="43" fontId="26" fillId="8" borderId="0" xfId="1" applyFont="1" applyFill="1" applyBorder="1"/>
    <xf numFmtId="43" fontId="9" fillId="4" borderId="0" xfId="1" applyFont="1" applyFill="1" applyBorder="1"/>
    <xf numFmtId="43" fontId="27"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6" fillId="12" borderId="18" xfId="1" applyFont="1" applyFill="1" applyBorder="1"/>
    <xf numFmtId="169" fontId="20" fillId="11" borderId="12" xfId="1" applyNumberFormat="1" applyFont="1" applyFill="1" applyBorder="1"/>
    <xf numFmtId="168" fontId="18" fillId="23" borderId="15" xfId="0" applyNumberFormat="1" applyFont="1" applyFill="1" applyBorder="1" applyAlignment="1">
      <alignment horizontal="center" vertical="center"/>
    </xf>
    <xf numFmtId="43" fontId="20" fillId="9" borderId="0" xfId="1" applyNumberFormat="1" applyFont="1" applyFill="1" applyBorder="1"/>
    <xf numFmtId="43" fontId="0" fillId="0" borderId="18" xfId="1" applyFont="1" applyFill="1" applyBorder="1"/>
    <xf numFmtId="43" fontId="4" fillId="21" borderId="16" xfId="1" applyFont="1" applyFill="1" applyBorder="1"/>
    <xf numFmtId="43" fontId="4" fillId="21" borderId="18" xfId="1" applyFont="1" applyFill="1" applyBorder="1"/>
    <xf numFmtId="172" fontId="0" fillId="0" borderId="0" xfId="0" applyNumberFormat="1"/>
    <xf numFmtId="43" fontId="6" fillId="0" borderId="0" xfId="0" applyNumberFormat="1" applyFont="1" applyAlignment="1">
      <alignment horizontal="center" vertical="center"/>
    </xf>
    <xf numFmtId="0" fontId="0" fillId="0" borderId="0" xfId="0" applyAlignment="1">
      <alignment horizontal="right" vertical="center"/>
    </xf>
    <xf numFmtId="43" fontId="24" fillId="8" borderId="16" xfId="1" applyFont="1" applyFill="1" applyBorder="1"/>
    <xf numFmtId="43" fontId="24" fillId="8" borderId="26" xfId="1" applyFont="1" applyFill="1" applyBorder="1"/>
    <xf numFmtId="43" fontId="24" fillId="8" borderId="12" xfId="1" applyFont="1" applyFill="1" applyBorder="1"/>
    <xf numFmtId="43" fontId="26" fillId="21" borderId="0" xfId="1" applyFont="1" applyFill="1"/>
    <xf numFmtId="43" fontId="26" fillId="8" borderId="16" xfId="1" applyFont="1" applyFill="1" applyBorder="1"/>
    <xf numFmtId="43" fontId="0" fillId="12" borderId="0" xfId="1" applyFont="1" applyFill="1"/>
    <xf numFmtId="43" fontId="26" fillId="12" borderId="0" xfId="1" applyFont="1" applyFill="1" applyBorder="1"/>
    <xf numFmtId="9" fontId="0" fillId="0" borderId="0" xfId="2" applyFont="1"/>
    <xf numFmtId="172" fontId="20" fillId="9" borderId="0" xfId="1" applyNumberFormat="1" applyFont="1" applyFill="1" applyBorder="1"/>
    <xf numFmtId="43" fontId="4" fillId="8" borderId="26" xfId="1" applyFont="1" applyFill="1" applyBorder="1"/>
    <xf numFmtId="43" fontId="6" fillId="25" borderId="0" xfId="0" applyNumberFormat="1" applyFont="1" applyFill="1" applyBorder="1"/>
    <xf numFmtId="0" fontId="6" fillId="25" borderId="0" xfId="0" applyFont="1" applyFill="1" applyBorder="1" applyAlignment="1">
      <alignment horizontal="center"/>
    </xf>
    <xf numFmtId="0" fontId="6" fillId="25" borderId="0" xfId="0" applyFont="1" applyFill="1" applyBorder="1" applyAlignment="1">
      <alignment horizontal="right"/>
    </xf>
    <xf numFmtId="0" fontId="6" fillId="18" borderId="0" xfId="0" applyFont="1" applyFill="1" applyBorder="1" applyAlignment="1">
      <alignment horizontal="center"/>
    </xf>
    <xf numFmtId="0" fontId="6" fillId="18" borderId="0" xfId="0" applyFont="1" applyFill="1" applyBorder="1" applyAlignment="1">
      <alignment horizontal="right"/>
    </xf>
    <xf numFmtId="43" fontId="7" fillId="18" borderId="0" xfId="0" applyNumberFormat="1" applyFont="1" applyFill="1" applyBorder="1"/>
    <xf numFmtId="43" fontId="19" fillId="2" borderId="5" xfId="1" applyFont="1" applyFill="1" applyBorder="1" applyAlignment="1">
      <alignment horizontal="center" vertical="center"/>
    </xf>
    <xf numFmtId="43" fontId="19" fillId="2" borderId="1" xfId="1" applyFont="1" applyFill="1" applyBorder="1" applyAlignment="1">
      <alignment horizontal="center" vertical="center"/>
    </xf>
    <xf numFmtId="43" fontId="26" fillId="8" borderId="0" xfId="1" applyFont="1" applyFill="1"/>
    <xf numFmtId="173" fontId="10" fillId="4" borderId="0" xfId="1" applyNumberFormat="1" applyFont="1" applyFill="1" applyBorder="1"/>
    <xf numFmtId="173" fontId="7" fillId="4" borderId="0" xfId="1" applyNumberFormat="1" applyFont="1" applyFill="1" applyBorder="1"/>
    <xf numFmtId="168" fontId="5" fillId="23" borderId="15" xfId="0" applyNumberFormat="1" applyFont="1" applyFill="1" applyBorder="1" applyAlignment="1">
      <alignment horizontal="center" vertical="center"/>
    </xf>
    <xf numFmtId="172" fontId="10" fillId="4" borderId="0" xfId="1" applyNumberFormat="1" applyFont="1" applyFill="1" applyBorder="1" applyAlignment="1">
      <alignment horizontal="center" vertical="center"/>
    </xf>
    <xf numFmtId="173" fontId="9" fillId="4" borderId="0" xfId="1" applyNumberFormat="1" applyFont="1" applyFill="1" applyBorder="1"/>
    <xf numFmtId="172" fontId="9" fillId="4" borderId="0" xfId="1" applyNumberFormat="1" applyFont="1" applyFill="1" applyBorder="1"/>
    <xf numFmtId="0" fontId="34" fillId="8" borderId="26" xfId="0" applyFont="1" applyFill="1" applyBorder="1" applyAlignment="1">
      <alignment horizontal="center" vertical="center"/>
    </xf>
    <xf numFmtId="43" fontId="6" fillId="2" borderId="0" xfId="0" applyNumberFormat="1" applyFont="1" applyFill="1" applyBorder="1"/>
    <xf numFmtId="0" fontId="6" fillId="2" borderId="0" xfId="0" applyFont="1" applyFill="1" applyBorder="1" applyAlignment="1">
      <alignment horizontal="center"/>
    </xf>
    <xf numFmtId="0" fontId="6" fillId="2" borderId="0" xfId="0" applyFont="1" applyFill="1" applyBorder="1" applyAlignment="1">
      <alignment horizontal="right"/>
    </xf>
    <xf numFmtId="0" fontId="35" fillId="2" borderId="0" xfId="0" applyFont="1" applyFill="1" applyBorder="1" applyAlignment="1">
      <alignment horizontal="right"/>
    </xf>
    <xf numFmtId="43" fontId="4" fillId="23" borderId="0" xfId="1" applyFont="1" applyFill="1" applyBorder="1"/>
    <xf numFmtId="173" fontId="20" fillId="9" borderId="0" xfId="1" applyNumberFormat="1" applyFont="1" applyFill="1" applyBorder="1"/>
    <xf numFmtId="169" fontId="4" fillId="8" borderId="0" xfId="1" applyNumberFormat="1" applyFont="1" applyFill="1" applyBorder="1"/>
    <xf numFmtId="172" fontId="9" fillId="4" borderId="0" xfId="1" applyNumberFormat="1" applyFont="1" applyFill="1" applyBorder="1" applyAlignment="1">
      <alignment horizontal="center" vertical="center"/>
    </xf>
    <xf numFmtId="0" fontId="0" fillId="8" borderId="0" xfId="0" applyFill="1" applyBorder="1" applyAlignment="1">
      <alignment horizontal="center"/>
    </xf>
    <xf numFmtId="43" fontId="0" fillId="8" borderId="0" xfId="0" applyNumberFormat="1" applyFill="1"/>
    <xf numFmtId="172" fontId="9" fillId="4" borderId="12" xfId="1" applyNumberFormat="1" applyFont="1" applyFill="1" applyBorder="1"/>
    <xf numFmtId="172" fontId="0" fillId="8" borderId="0" xfId="1" applyNumberFormat="1" applyFont="1" applyFill="1" applyAlignment="1">
      <alignment horizontal="center"/>
    </xf>
    <xf numFmtId="0" fontId="9" fillId="8" borderId="14" xfId="0" applyFont="1" applyFill="1" applyBorder="1"/>
    <xf numFmtId="0" fontId="19" fillId="8" borderId="15" xfId="0" applyFont="1" applyFill="1" applyBorder="1" applyAlignment="1">
      <alignment horizontal="center"/>
    </xf>
    <xf numFmtId="168" fontId="19" fillId="8" borderId="15" xfId="0" applyNumberFormat="1" applyFont="1" applyFill="1" applyBorder="1" applyAlignment="1">
      <alignment horizontal="center" vertical="center"/>
    </xf>
    <xf numFmtId="0" fontId="9" fillId="8" borderId="0" xfId="0" applyFont="1" applyFill="1" applyBorder="1"/>
    <xf numFmtId="0" fontId="37" fillId="8" borderId="0" xfId="0" applyFont="1" applyFill="1" applyBorder="1"/>
    <xf numFmtId="0" fontId="9" fillId="8" borderId="0" xfId="0" applyFont="1" applyFill="1" applyBorder="1" applyAlignment="1">
      <alignment horizontal="center"/>
    </xf>
    <xf numFmtId="168" fontId="9" fillId="8" borderId="0" xfId="0" applyNumberFormat="1" applyFont="1" applyFill="1" applyBorder="1" applyAlignment="1">
      <alignment horizontal="center" vertical="center"/>
    </xf>
    <xf numFmtId="0" fontId="38" fillId="18" borderId="0" xfId="0" applyFont="1" applyFill="1" applyBorder="1"/>
    <xf numFmtId="0" fontId="9" fillId="18" borderId="0" xfId="0" applyFont="1" applyFill="1" applyBorder="1" applyAlignment="1">
      <alignment horizontal="center"/>
    </xf>
    <xf numFmtId="0" fontId="39" fillId="8" borderId="0" xfId="0" applyFont="1" applyFill="1" applyBorder="1"/>
    <xf numFmtId="0" fontId="39" fillId="8" borderId="0" xfId="0" applyFont="1" applyFill="1" applyBorder="1" applyAlignment="1">
      <alignment horizontal="center"/>
    </xf>
    <xf numFmtId="0" fontId="40" fillId="8" borderId="0" xfId="0" quotePrefix="1" applyFont="1" applyFill="1" applyBorder="1"/>
    <xf numFmtId="0" fontId="40" fillId="8" borderId="0" xfId="0" applyFont="1" applyFill="1" applyBorder="1" applyAlignment="1">
      <alignment horizontal="center"/>
    </xf>
    <xf numFmtId="0" fontId="9" fillId="21" borderId="0" xfId="0" applyFont="1" applyFill="1" applyBorder="1"/>
    <xf numFmtId="0" fontId="9" fillId="21" borderId="0" xfId="0" applyFont="1" applyFill="1" applyBorder="1" applyAlignment="1">
      <alignment horizontal="center"/>
    </xf>
    <xf numFmtId="171" fontId="9" fillId="8" borderId="0" xfId="0" applyNumberFormat="1" applyFont="1" applyFill="1" applyBorder="1"/>
    <xf numFmtId="0" fontId="39" fillId="18" borderId="0" xfId="0" applyFont="1" applyFill="1" applyBorder="1" applyAlignment="1">
      <alignment horizontal="center"/>
    </xf>
    <xf numFmtId="0" fontId="38" fillId="26" borderId="0" xfId="0" applyFont="1" applyFill="1" applyBorder="1"/>
    <xf numFmtId="0" fontId="9" fillId="26" borderId="0" xfId="0" applyFont="1" applyFill="1" applyBorder="1" applyAlignment="1">
      <alignment horizontal="center"/>
    </xf>
    <xf numFmtId="171" fontId="9" fillId="8" borderId="0" xfId="6" applyNumberFormat="1" applyFont="1" applyFill="1" applyBorder="1"/>
    <xf numFmtId="0" fontId="9" fillId="8" borderId="0" xfId="0" applyFont="1" applyFill="1" applyBorder="1" applyAlignment="1"/>
    <xf numFmtId="0" fontId="7" fillId="8" borderId="0" xfId="0" applyFont="1" applyFill="1" applyBorder="1"/>
    <xf numFmtId="168" fontId="7" fillId="8" borderId="0" xfId="0" applyNumberFormat="1" applyFont="1" applyFill="1" applyBorder="1"/>
    <xf numFmtId="171" fontId="7" fillId="8" borderId="0" xfId="0" applyNumberFormat="1" applyFont="1" applyFill="1" applyBorder="1"/>
    <xf numFmtId="43" fontId="6" fillId="0" borderId="0" xfId="1" applyFont="1"/>
    <xf numFmtId="43" fontId="20" fillId="9" borderId="0" xfId="1" applyFont="1" applyFill="1" applyBorder="1"/>
    <xf numFmtId="0" fontId="19" fillId="27" borderId="0" xfId="0" applyFont="1" applyFill="1" applyBorder="1" applyAlignment="1">
      <alignment horizontal="center"/>
    </xf>
    <xf numFmtId="0" fontId="19" fillId="8" borderId="0" xfId="0" applyFont="1" applyFill="1" applyBorder="1"/>
    <xf numFmtId="0" fontId="19" fillId="8" borderId="0" xfId="0" applyFont="1" applyFill="1" applyBorder="1" applyAlignment="1">
      <alignment horizontal="center"/>
    </xf>
    <xf numFmtId="172" fontId="19" fillId="8" borderId="0" xfId="1" applyNumberFormat="1" applyFont="1" applyFill="1" applyBorder="1"/>
    <xf numFmtId="172" fontId="5" fillId="8" borderId="0" xfId="1" applyNumberFormat="1" applyFont="1" applyFill="1" applyBorder="1"/>
    <xf numFmtId="172" fontId="19" fillId="27" borderId="0" xfId="1" applyNumberFormat="1" applyFont="1" applyFill="1" applyBorder="1"/>
    <xf numFmtId="172" fontId="9" fillId="18" borderId="0" xfId="1" applyNumberFormat="1" applyFont="1" applyFill="1" applyBorder="1"/>
    <xf numFmtId="172" fontId="10" fillId="8" borderId="0" xfId="1" applyNumberFormat="1" applyFont="1" applyFill="1" applyBorder="1"/>
    <xf numFmtId="172" fontId="39" fillId="8" borderId="0" xfId="1" applyNumberFormat="1" applyFont="1" applyFill="1" applyBorder="1"/>
    <xf numFmtId="172" fontId="10" fillId="21" borderId="0" xfId="1" applyNumberFormat="1" applyFont="1" applyFill="1" applyBorder="1"/>
    <xf numFmtId="172" fontId="9" fillId="8" borderId="0" xfId="1" applyNumberFormat="1" applyFont="1" applyFill="1" applyBorder="1" applyAlignment="1">
      <alignment horizontal="center" vertical="center"/>
    </xf>
    <xf numFmtId="172" fontId="9" fillId="8" borderId="0" xfId="1" applyNumberFormat="1" applyFont="1" applyFill="1" applyBorder="1"/>
    <xf numFmtId="172" fontId="39" fillId="18" borderId="0" xfId="1" applyNumberFormat="1" applyFont="1" applyFill="1" applyBorder="1"/>
    <xf numFmtId="172" fontId="40" fillId="8" borderId="0" xfId="1" applyNumberFormat="1" applyFont="1" applyFill="1" applyBorder="1"/>
    <xf numFmtId="172" fontId="9" fillId="26" borderId="0" xfId="1" applyNumberFormat="1" applyFont="1" applyFill="1" applyBorder="1"/>
    <xf numFmtId="172" fontId="9" fillId="21" borderId="0" xfId="1" applyNumberFormat="1" applyFont="1" applyFill="1" applyBorder="1"/>
    <xf numFmtId="9" fontId="16" fillId="21" borderId="4" xfId="2" applyFont="1" applyFill="1" applyBorder="1" applyAlignment="1">
      <alignment horizontal="center" vertical="center"/>
    </xf>
    <xf numFmtId="168" fontId="6" fillId="8" borderId="0" xfId="0" applyNumberFormat="1" applyFont="1" applyFill="1" applyBorder="1"/>
    <xf numFmtId="4" fontId="9" fillId="8" borderId="0" xfId="0" applyNumberFormat="1" applyFont="1" applyFill="1" applyBorder="1"/>
    <xf numFmtId="4" fontId="7" fillId="8" borderId="0" xfId="0" applyNumberFormat="1" applyFont="1" applyFill="1" applyBorder="1"/>
    <xf numFmtId="173" fontId="7" fillId="4" borderId="0" xfId="1" applyNumberFormat="1" applyFont="1" applyFill="1" applyBorder="1" applyAlignment="1">
      <alignment horizontal="center" vertical="center"/>
    </xf>
    <xf numFmtId="43" fontId="4" fillId="8" borderId="16" xfId="1" applyFont="1" applyFill="1" applyBorder="1"/>
    <xf numFmtId="43" fontId="4" fillId="5" borderId="0" xfId="1" applyFont="1" applyFill="1" applyBorder="1"/>
    <xf numFmtId="173" fontId="10" fillId="4" borderId="0" xfId="1" applyNumberFormat="1" applyFont="1" applyFill="1" applyBorder="1" applyAlignment="1">
      <alignment horizontal="center" vertical="center"/>
    </xf>
    <xf numFmtId="168" fontId="18" fillId="109" borderId="15" xfId="0" applyNumberFormat="1" applyFont="1" applyFill="1" applyBorder="1" applyAlignment="1">
      <alignment horizontal="center" vertical="center"/>
    </xf>
    <xf numFmtId="43" fontId="20" fillId="11" borderId="12" xfId="1" applyNumberFormat="1" applyFont="1" applyFill="1" applyBorder="1"/>
    <xf numFmtId="173" fontId="10" fillId="8" borderId="0" xfId="1" applyNumberFormat="1" applyFont="1" applyFill="1" applyBorder="1"/>
    <xf numFmtId="0" fontId="0" fillId="0" borderId="0" xfId="0" applyFill="1" applyBorder="1"/>
    <xf numFmtId="0" fontId="7" fillId="8" borderId="10" xfId="0" applyFont="1" applyFill="1" applyBorder="1" applyAlignment="1">
      <alignment horizontal="center" vertical="center"/>
    </xf>
    <xf numFmtId="0" fontId="6" fillId="8" borderId="9" xfId="0" applyFont="1" applyFill="1" applyBorder="1"/>
    <xf numFmtId="0" fontId="10" fillId="8" borderId="0" xfId="0" applyFont="1" applyFill="1" applyBorder="1" applyAlignment="1">
      <alignment horizontal="center" vertical="center"/>
    </xf>
    <xf numFmtId="0" fontId="6" fillId="8" borderId="29" xfId="0" applyFont="1" applyFill="1" applyBorder="1"/>
    <xf numFmtId="0" fontId="6" fillId="8" borderId="0" xfId="0" applyFont="1" applyFill="1" applyBorder="1"/>
    <xf numFmtId="0" fontId="6" fillId="8" borderId="11" xfId="0" applyFont="1" applyFill="1" applyBorder="1"/>
    <xf numFmtId="0" fontId="7" fillId="8" borderId="9" xfId="0" applyFont="1" applyFill="1" applyBorder="1" applyAlignment="1">
      <alignment horizontal="center"/>
    </xf>
    <xf numFmtId="0" fontId="7" fillId="8" borderId="34" xfId="0" applyFont="1" applyFill="1" applyBorder="1" applyAlignment="1">
      <alignment horizontal="center"/>
    </xf>
    <xf numFmtId="0" fontId="7" fillId="8" borderId="24" xfId="0" applyFont="1" applyFill="1" applyBorder="1" applyAlignment="1">
      <alignment horizontal="center"/>
    </xf>
    <xf numFmtId="0" fontId="7" fillId="8" borderId="23" xfId="0" applyFont="1" applyFill="1" applyBorder="1" applyAlignment="1">
      <alignment horizontal="center"/>
    </xf>
    <xf numFmtId="0" fontId="0" fillId="8" borderId="34" xfId="0" applyFill="1" applyBorder="1" applyAlignment="1">
      <alignment horizontal="center"/>
    </xf>
    <xf numFmtId="0" fontId="9" fillId="8" borderId="10" xfId="0" applyFont="1" applyFill="1" applyBorder="1" applyAlignment="1">
      <alignment horizontal="center" vertical="center"/>
    </xf>
    <xf numFmtId="0" fontId="0" fillId="0" borderId="27" xfId="0" applyBorder="1" applyAlignment="1">
      <alignment horizontal="center"/>
    </xf>
    <xf numFmtId="43" fontId="26" fillId="8" borderId="26" xfId="1" applyFont="1" applyFill="1" applyBorder="1"/>
    <xf numFmtId="0" fontId="20" fillId="9" borderId="6" xfId="0" applyFont="1" applyFill="1" applyBorder="1" applyAlignment="1">
      <alignment horizontal="left" indent="1"/>
    </xf>
    <xf numFmtId="171" fontId="20" fillId="9" borderId="7" xfId="1" applyNumberFormat="1" applyFont="1" applyFill="1" applyBorder="1"/>
    <xf numFmtId="172" fontId="7" fillId="12" borderId="0" xfId="1" applyNumberFormat="1" applyFont="1" applyFill="1" applyBorder="1" applyAlignment="1">
      <alignment horizontal="center" vertical="center"/>
    </xf>
    <xf numFmtId="43" fontId="7" fillId="8" borderId="0" xfId="0" applyNumberFormat="1" applyFont="1" applyFill="1" applyBorder="1"/>
    <xf numFmtId="43" fontId="9" fillId="8" borderId="0" xfId="0" applyNumberFormat="1" applyFont="1" applyFill="1" applyBorder="1"/>
    <xf numFmtId="43" fontId="3" fillId="12" borderId="0" xfId="1" applyFont="1" applyFill="1" applyBorder="1"/>
    <xf numFmtId="43" fontId="0" fillId="0" borderId="0" xfId="0" applyNumberFormat="1" applyAlignment="1">
      <alignment horizontal="center" vertical="center"/>
    </xf>
    <xf numFmtId="43" fontId="20" fillId="11" borderId="12" xfId="1" applyFont="1" applyFill="1" applyBorder="1"/>
    <xf numFmtId="43" fontId="0" fillId="23" borderId="0" xfId="1" applyFont="1" applyFill="1" applyBorder="1"/>
    <xf numFmtId="1" fontId="32" fillId="0" borderId="0" xfId="0" applyNumberFormat="1" applyFont="1" applyAlignment="1">
      <alignment horizontal="center" vertical="center"/>
    </xf>
    <xf numFmtId="43" fontId="19" fillId="12" borderId="5" xfId="1" applyFont="1" applyFill="1" applyBorder="1" applyAlignment="1">
      <alignment horizontal="center" vertical="center"/>
    </xf>
    <xf numFmtId="172" fontId="0" fillId="8" borderId="0" xfId="0" applyNumberFormat="1" applyFill="1"/>
    <xf numFmtId="43" fontId="4" fillId="12" borderId="0" xfId="1" applyFont="1" applyFill="1" applyBorder="1"/>
    <xf numFmtId="43" fontId="0" fillId="12" borderId="0" xfId="1" applyFont="1" applyFill="1" applyBorder="1"/>
    <xf numFmtId="43" fontId="4" fillId="23" borderId="0" xfId="1" applyFont="1" applyFill="1"/>
    <xf numFmtId="43" fontId="9" fillId="12" borderId="0" xfId="0" applyNumberFormat="1" applyFont="1" applyFill="1" applyBorder="1"/>
    <xf numFmtId="168" fontId="27" fillId="12" borderId="8" xfId="0" applyNumberFormat="1" applyFont="1" applyFill="1" applyBorder="1" applyAlignment="1">
      <alignment horizontal="center" vertical="center"/>
    </xf>
    <xf numFmtId="43" fontId="9" fillId="8" borderId="0" xfId="1" applyFont="1" applyFill="1" applyBorder="1"/>
    <xf numFmtId="43" fontId="0" fillId="0" borderId="0" xfId="0" applyNumberFormat="1"/>
    <xf numFmtId="43" fontId="10" fillId="8" borderId="0" xfId="0" applyNumberFormat="1" applyFont="1" applyFill="1"/>
    <xf numFmtId="0" fontId="18" fillId="7" borderId="15" xfId="0" applyFont="1" applyFill="1" applyBorder="1" applyAlignment="1">
      <alignment horizontal="center"/>
    </xf>
    <xf numFmtId="0" fontId="18" fillId="7" borderId="1" xfId="0" applyFont="1" applyFill="1" applyBorder="1" applyAlignment="1">
      <alignment horizontal="center"/>
    </xf>
    <xf numFmtId="169" fontId="26" fillId="8" borderId="0" xfId="1" applyNumberFormat="1" applyFont="1" applyFill="1" applyBorder="1"/>
    <xf numFmtId="168" fontId="18" fillId="7" borderId="0" xfId="0" applyNumberFormat="1" applyFont="1" applyFill="1" applyBorder="1" applyAlignment="1">
      <alignment horizontal="center" vertical="center"/>
    </xf>
    <xf numFmtId="0" fontId="0" fillId="8" borderId="12" xfId="0" applyFill="1" applyBorder="1" applyAlignment="1"/>
    <xf numFmtId="43" fontId="9" fillId="4" borderId="0" xfId="1" applyFont="1" applyFill="1" applyBorder="1" applyAlignment="1">
      <alignment horizontal="center" vertical="center"/>
    </xf>
    <xf numFmtId="43" fontId="0" fillId="8" borderId="0" xfId="0" applyNumberFormat="1" applyFill="1"/>
    <xf numFmtId="9" fontId="6" fillId="110" borderId="0" xfId="2" applyNumberFormat="1" applyFont="1" applyFill="1" applyBorder="1"/>
    <xf numFmtId="0" fontId="6"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18"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8" fillId="7" borderId="1" xfId="0" applyFont="1" applyFill="1" applyBorder="1" applyAlignment="1">
      <alignment horizontal="center"/>
    </xf>
    <xf numFmtId="172" fontId="7"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69" fontId="0" fillId="8" borderId="6" xfId="1" applyNumberFormat="1" applyFont="1" applyFill="1" applyBorder="1"/>
    <xf numFmtId="169" fontId="26" fillId="8" borderId="9" xfId="1" applyNumberFormat="1" applyFont="1" applyFill="1" applyBorder="1"/>
    <xf numFmtId="171" fontId="0" fillId="8" borderId="9" xfId="1" applyNumberFormat="1" applyFont="1" applyFill="1" applyBorder="1"/>
    <xf numFmtId="0" fontId="19" fillId="8" borderId="0" xfId="0" applyFont="1" applyFill="1"/>
    <xf numFmtId="0" fontId="7" fillId="8" borderId="7" xfId="0" applyFont="1" applyFill="1" applyBorder="1" applyAlignment="1">
      <alignment horizontal="center"/>
    </xf>
    <xf numFmtId="168" fontId="18" fillId="7" borderId="12" xfId="0" applyNumberFormat="1" applyFont="1" applyFill="1" applyBorder="1" applyAlignment="1">
      <alignment horizontal="center" vertical="center"/>
    </xf>
    <xf numFmtId="0" fontId="15" fillId="8" borderId="0" xfId="0" applyFont="1" applyFill="1" applyBorder="1"/>
    <xf numFmtId="169" fontId="19" fillId="8" borderId="0" xfId="1" applyNumberFormat="1" applyFont="1" applyFill="1" applyBorder="1"/>
    <xf numFmtId="0" fontId="6"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172"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7" fillId="8" borderId="7"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8" xfId="0" applyFont="1" applyFill="1" applyBorder="1" applyAlignment="1">
      <alignment horizontal="center" vertical="center"/>
    </xf>
    <xf numFmtId="9" fontId="6" fillId="24" borderId="11" xfId="2" applyNumberFormat="1" applyFont="1" applyFill="1" applyBorder="1"/>
    <xf numFmtId="9" fontId="6" fillId="24" borderId="12" xfId="2" applyNumberFormat="1" applyFont="1" applyFill="1" applyBorder="1"/>
    <xf numFmtId="43" fontId="0" fillId="109" borderId="0" xfId="1" applyFont="1" applyFill="1" applyBorder="1"/>
    <xf numFmtId="43" fontId="6" fillId="8" borderId="7" xfId="1" applyFont="1" applyFill="1" applyBorder="1"/>
    <xf numFmtId="172" fontId="6" fillId="8" borderId="14" xfId="1" applyNumberFormat="1" applyFont="1" applyFill="1" applyBorder="1"/>
    <xf numFmtId="172" fontId="6" fillId="8" borderId="15" xfId="1" applyNumberFormat="1" applyFont="1" applyFill="1" applyBorder="1"/>
    <xf numFmtId="43" fontId="0" fillId="0" borderId="0" xfId="1" applyFont="1" applyBorder="1"/>
    <xf numFmtId="43" fontId="0" fillId="109" borderId="2" xfId="1" applyFont="1" applyFill="1" applyBorder="1"/>
    <xf numFmtId="0" fontId="162" fillId="8" borderId="0" xfId="0" applyFont="1" applyFill="1" applyBorder="1" applyAlignment="1">
      <alignment horizontal="center" vertical="center"/>
    </xf>
    <xf numFmtId="0" fontId="161" fillId="8" borderId="10" xfId="0" applyFont="1" applyFill="1" applyBorder="1" applyAlignment="1">
      <alignment horizontal="center" vertical="center"/>
    </xf>
    <xf numFmtId="43" fontId="161" fillId="18" borderId="0" xfId="0" applyNumberFormat="1" applyFont="1" applyFill="1" applyBorder="1"/>
    <xf numFmtId="43" fontId="3" fillId="8" borderId="0" xfId="1" applyFont="1" applyFill="1"/>
    <xf numFmtId="43" fontId="9" fillId="21" borderId="0" xfId="0" applyNumberFormat="1" applyFont="1" applyFill="1" applyBorder="1"/>
    <xf numFmtId="43" fontId="0" fillId="0" borderId="0" xfId="1" applyFont="1" applyFill="1" applyBorder="1"/>
    <xf numFmtId="43" fontId="0" fillId="0" borderId="0" xfId="0" applyNumberFormat="1"/>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43" fontId="10" fillId="8" borderId="0" xfId="0" applyNumberFormat="1" applyFont="1" applyFill="1" applyBorder="1"/>
    <xf numFmtId="43" fontId="19" fillId="12" borderId="1" xfId="1" applyFont="1" applyFill="1" applyBorder="1" applyAlignment="1">
      <alignment horizontal="center" vertical="center"/>
    </xf>
    <xf numFmtId="0" fontId="25" fillId="8" borderId="11" xfId="0" applyFont="1" applyFill="1" applyBorder="1" applyAlignment="1">
      <alignment horizontal="left" indent="1"/>
    </xf>
    <xf numFmtId="43" fontId="0" fillId="0" borderId="0" xfId="0" applyNumberFormat="1"/>
    <xf numFmtId="43" fontId="0" fillId="0" borderId="0" xfId="0" applyNumberFormat="1"/>
    <xf numFmtId="0" fontId="19" fillId="111" borderId="2" xfId="0" applyFont="1" applyFill="1" applyBorder="1" applyAlignment="1">
      <alignment horizontal="center" vertical="center"/>
    </xf>
    <xf numFmtId="43" fontId="19" fillId="111" borderId="1" xfId="1" applyFont="1" applyFill="1" applyBorder="1" applyAlignment="1">
      <alignment horizontal="center" vertical="center"/>
    </xf>
    <xf numFmtId="43" fontId="24" fillId="5" borderId="0" xfId="1" applyFont="1" applyFill="1" applyBorder="1"/>
    <xf numFmtId="43" fontId="24" fillId="8" borderId="0" xfId="1" applyFont="1" applyFill="1" applyBorder="1"/>
    <xf numFmtId="43" fontId="20" fillId="11" borderId="12" xfId="1" applyNumberFormat="1" applyFont="1" applyFill="1" applyBorder="1"/>
    <xf numFmtId="43" fontId="0" fillId="0" borderId="0" xfId="0" applyNumberFormat="1" applyAlignment="1">
      <alignment horizontal="center" vertical="center"/>
    </xf>
    <xf numFmtId="43" fontId="26" fillId="0" borderId="0" xfId="1" applyFont="1" applyFill="1" applyBorder="1"/>
    <xf numFmtId="43" fontId="24" fillId="5" borderId="9" xfId="1" applyFont="1" applyFill="1" applyBorder="1"/>
    <xf numFmtId="43" fontId="24" fillId="8" borderId="9" xfId="1" applyFont="1" applyFill="1" applyBorder="1"/>
    <xf numFmtId="43" fontId="24" fillId="8" borderId="11" xfId="1" applyFont="1" applyFill="1" applyBorder="1"/>
    <xf numFmtId="0" fontId="18" fillId="8" borderId="0" xfId="0" applyFont="1" applyFill="1"/>
    <xf numFmtId="172" fontId="6" fillId="8" borderId="0" xfId="1" applyNumberFormat="1" applyFont="1" applyFill="1"/>
    <xf numFmtId="43" fontId="0" fillId="8" borderId="24" xfId="1" applyFont="1" applyFill="1" applyBorder="1"/>
    <xf numFmtId="43" fontId="0" fillId="8" borderId="34" xfId="1" applyFont="1" applyFill="1" applyBorder="1"/>
    <xf numFmtId="43" fontId="26" fillId="8" borderId="9" xfId="1" applyFont="1" applyFill="1" applyBorder="1"/>
    <xf numFmtId="43" fontId="26" fillId="8" borderId="24" xfId="1" applyFont="1" applyFill="1" applyBorder="1"/>
    <xf numFmtId="43" fontId="0" fillId="8" borderId="23" xfId="1" applyFont="1" applyFill="1" applyBorder="1"/>
    <xf numFmtId="43" fontId="4" fillId="8" borderId="23" xfId="1" applyFont="1" applyFill="1" applyBorder="1"/>
    <xf numFmtId="43" fontId="24" fillId="8" borderId="34" xfId="1" applyFont="1" applyFill="1" applyBorder="1"/>
    <xf numFmtId="172" fontId="20" fillId="11" borderId="12" xfId="1" applyNumberFormat="1" applyFont="1" applyFill="1" applyBorder="1"/>
    <xf numFmtId="0" fontId="13" fillId="8" borderId="0" xfId="0" applyFont="1" applyFill="1" applyBorder="1" applyAlignment="1">
      <alignment horizontal="center" vertical="center"/>
    </xf>
    <xf numFmtId="43" fontId="0" fillId="109" borderId="8" xfId="1" applyFont="1" applyFill="1" applyBorder="1"/>
    <xf numFmtId="0" fontId="6" fillId="8" borderId="6" xfId="0" applyFont="1" applyFill="1" applyBorder="1" applyAlignment="1">
      <alignment horizontal="center" vertical="center"/>
    </xf>
    <xf numFmtId="0" fontId="7" fillId="8" borderId="9" xfId="0" applyFont="1" applyFill="1" applyBorder="1" applyAlignment="1">
      <alignment horizontal="center" vertical="center"/>
    </xf>
    <xf numFmtId="0" fontId="161" fillId="8" borderId="9" xfId="0" applyFont="1" applyFill="1" applyBorder="1" applyAlignment="1">
      <alignment horizontal="center" vertical="center"/>
    </xf>
    <xf numFmtId="0" fontId="13" fillId="8" borderId="26" xfId="0" applyFont="1" applyFill="1" applyBorder="1" applyAlignment="1">
      <alignment horizontal="center" vertical="center"/>
    </xf>
    <xf numFmtId="43" fontId="0" fillId="0" borderId="0" xfId="0" applyNumberFormat="1"/>
    <xf numFmtId="43" fontId="164" fillId="8" borderId="0" xfId="1" applyFont="1" applyFill="1" applyBorder="1"/>
    <xf numFmtId="173" fontId="7"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43" fontId="0" fillId="0" borderId="0" xfId="0" applyNumberFormat="1" applyAlignment="1">
      <alignment horizontal="center" vertical="center"/>
    </xf>
    <xf numFmtId="43" fontId="26" fillId="5" borderId="9" xfId="1" applyFont="1" applyFill="1" applyBorder="1"/>
    <xf numFmtId="43" fontId="24" fillId="12" borderId="0" xfId="1" applyFont="1" applyFill="1" applyBorder="1"/>
    <xf numFmtId="43" fontId="6" fillId="0" borderId="0" xfId="0" applyNumberFormat="1" applyFont="1" applyAlignment="1">
      <alignment horizontal="center" vertical="center"/>
    </xf>
    <xf numFmtId="43" fontId="6" fillId="0" borderId="0" xfId="0" applyNumberFormat="1" applyFont="1" applyFill="1" applyAlignment="1">
      <alignment horizontal="center" vertical="center"/>
    </xf>
    <xf numFmtId="173" fontId="165" fillId="24" borderId="0" xfId="1" applyNumberFormat="1" applyFont="1" applyFill="1" applyBorder="1" applyAlignment="1">
      <alignment horizontal="center" vertical="center"/>
    </xf>
    <xf numFmtId="43" fontId="26" fillId="5" borderId="0" xfId="1" applyFont="1" applyFill="1" applyBorder="1"/>
    <xf numFmtId="43" fontId="0" fillId="0" borderId="0" xfId="0" applyNumberFormat="1"/>
    <xf numFmtId="43" fontId="10" fillId="21" borderId="0" xfId="0" applyNumberFormat="1" applyFont="1" applyFill="1" applyBorder="1"/>
    <xf numFmtId="43" fontId="0" fillId="0" borderId="0" xfId="0" applyNumberFormat="1" applyAlignment="1">
      <alignment horizontal="center" vertical="center"/>
    </xf>
    <xf numFmtId="43" fontId="4" fillId="8" borderId="9" xfId="1" applyFont="1" applyFill="1" applyBorder="1"/>
    <xf numFmtId="43" fontId="0" fillId="12" borderId="0" xfId="1" applyFont="1" applyFill="1" applyAlignment="1">
      <alignment horizontal="center" vertical="center"/>
    </xf>
    <xf numFmtId="43" fontId="10" fillId="12" borderId="0" xfId="0" applyNumberFormat="1" applyFont="1" applyFill="1" applyBorder="1"/>
    <xf numFmtId="43" fontId="33" fillId="8" borderId="16" xfId="1" applyFont="1" applyFill="1" applyBorder="1"/>
    <xf numFmtId="172" fontId="27" fillId="8" borderId="0" xfId="1" applyNumberFormat="1" applyFont="1" applyFill="1" applyBorder="1"/>
    <xf numFmtId="0" fontId="166" fillId="8" borderId="0" xfId="0" applyFont="1" applyFill="1" applyBorder="1" applyAlignment="1">
      <alignment horizontal="center"/>
    </xf>
    <xf numFmtId="0" fontId="167" fillId="0" borderId="0" xfId="0" applyFont="1" applyBorder="1"/>
    <xf numFmtId="0" fontId="168" fillId="0" borderId="0" xfId="0" applyFont="1" applyBorder="1" applyAlignment="1">
      <alignment vertical="center"/>
    </xf>
    <xf numFmtId="0" fontId="169" fillId="112" borderId="0" xfId="0" applyFont="1" applyFill="1" applyBorder="1" applyAlignment="1">
      <alignment horizontal="center" vertical="center"/>
    </xf>
    <xf numFmtId="168" fontId="169" fillId="3" borderId="0" xfId="0" applyNumberFormat="1" applyFont="1" applyFill="1" applyBorder="1" applyAlignment="1">
      <alignment horizontal="center" vertical="center"/>
    </xf>
    <xf numFmtId="168" fontId="169" fillId="12" borderId="0" xfId="0" applyNumberFormat="1" applyFont="1" applyFill="1" applyBorder="1" applyAlignment="1">
      <alignment horizontal="center" vertical="center"/>
    </xf>
    <xf numFmtId="168" fontId="169" fillId="112" borderId="0" xfId="0" applyNumberFormat="1" applyFont="1" applyFill="1" applyBorder="1" applyAlignment="1">
      <alignment horizontal="center" vertical="center"/>
    </xf>
    <xf numFmtId="0" fontId="170" fillId="0" borderId="0" xfId="0" applyFont="1" applyBorder="1"/>
    <xf numFmtId="0" fontId="0" fillId="0" borderId="0" xfId="0" applyBorder="1" applyAlignment="1">
      <alignment horizontal="center"/>
    </xf>
    <xf numFmtId="43" fontId="171" fillId="2" borderId="0" xfId="1" applyFont="1" applyFill="1" applyBorder="1"/>
    <xf numFmtId="43" fontId="26" fillId="0" borderId="0" xfId="1" applyFont="1" applyBorder="1"/>
    <xf numFmtId="171" fontId="0" fillId="0" borderId="0" xfId="1" applyNumberFormat="1" applyFont="1" applyBorder="1"/>
    <xf numFmtId="43" fontId="4" fillId="0" borderId="0" xfId="1" applyFont="1" applyBorder="1"/>
    <xf numFmtId="0" fontId="0" fillId="0" borderId="0" xfId="0" applyFont="1" applyBorder="1" applyAlignment="1">
      <alignment horizontal="center"/>
    </xf>
    <xf numFmtId="0" fontId="167" fillId="0" borderId="0" xfId="0" applyFont="1"/>
    <xf numFmtId="0" fontId="0" fillId="0" borderId="0" xfId="0" applyFill="1" applyBorder="1" applyAlignment="1">
      <alignment horizontal="center"/>
    </xf>
    <xf numFmtId="43" fontId="24" fillId="2" borderId="0" xfId="1" applyFont="1" applyFill="1" applyBorder="1"/>
    <xf numFmtId="43" fontId="171" fillId="0" borderId="0" xfId="1" applyFont="1" applyFill="1" applyBorder="1"/>
    <xf numFmtId="168" fontId="169" fillId="0" borderId="0" xfId="0" applyNumberFormat="1" applyFont="1" applyFill="1" applyBorder="1" applyAlignment="1">
      <alignment horizontal="center" vertical="center"/>
    </xf>
    <xf numFmtId="0" fontId="172" fillId="0" borderId="0" xfId="0" applyFont="1" applyBorder="1"/>
    <xf numFmtId="43" fontId="174" fillId="0" borderId="0" xfId="1" applyFont="1" applyBorder="1" applyAlignment="1">
      <alignment vertical="center"/>
    </xf>
    <xf numFmtId="43" fontId="0" fillId="0" borderId="0" xfId="1" applyFont="1" applyFill="1"/>
    <xf numFmtId="0" fontId="168" fillId="0" borderId="0" xfId="0" applyFont="1" applyFill="1" applyBorder="1" applyAlignment="1">
      <alignment vertical="center"/>
    </xf>
    <xf numFmtId="171" fontId="0" fillId="0" borderId="0" xfId="1" applyNumberFormat="1" applyFont="1" applyFill="1" applyBorder="1"/>
    <xf numFmtId="43" fontId="4" fillId="0" borderId="0" xfId="1" applyFont="1" applyFill="1" applyBorder="1"/>
    <xf numFmtId="0" fontId="18" fillId="7" borderId="14" xfId="0" applyFont="1" applyFill="1" applyBorder="1" applyAlignment="1">
      <alignment horizontal="center"/>
    </xf>
    <xf numFmtId="0" fontId="18" fillId="7" borderId="15" xfId="0" applyFont="1" applyFill="1" applyBorder="1" applyAlignment="1">
      <alignment horizontal="center"/>
    </xf>
    <xf numFmtId="43" fontId="0" fillId="8" borderId="58" xfId="1" applyFont="1" applyFill="1" applyBorder="1"/>
    <xf numFmtId="43" fontId="26" fillId="8" borderId="17" xfId="1" applyFont="1" applyFill="1" applyBorder="1"/>
    <xf numFmtId="43" fontId="26" fillId="8" borderId="60" xfId="1" applyFont="1" applyFill="1" applyBorder="1"/>
    <xf numFmtId="43" fontId="0" fillId="8" borderId="62" xfId="1" applyFont="1" applyFill="1" applyBorder="1"/>
    <xf numFmtId="43" fontId="0" fillId="8" borderId="63" xfId="1" applyFont="1" applyFill="1" applyBorder="1"/>
    <xf numFmtId="43" fontId="6" fillId="0" borderId="0" xfId="0" applyNumberFormat="1" applyFont="1" applyFill="1" applyBorder="1"/>
    <xf numFmtId="0" fontId="10" fillId="8" borderId="0" xfId="0" applyFont="1" applyFill="1" applyBorder="1" applyAlignment="1">
      <alignment horizontal="center"/>
    </xf>
    <xf numFmtId="3" fontId="0" fillId="0" borderId="0" xfId="0" applyNumberFormat="1" applyAlignment="1">
      <alignment horizontal="center" vertical="center"/>
    </xf>
    <xf numFmtId="172" fontId="177" fillId="0" borderId="0" xfId="1" applyNumberFormat="1" applyFont="1" applyAlignment="1">
      <alignment horizontal="center" vertical="center"/>
    </xf>
    <xf numFmtId="43" fontId="0" fillId="0" borderId="0" xfId="0" applyNumberFormat="1"/>
    <xf numFmtId="43" fontId="4" fillId="12" borderId="11" xfId="1" applyFont="1" applyFill="1" applyBorder="1"/>
    <xf numFmtId="0" fontId="178" fillId="0" borderId="0" xfId="0" applyFont="1" applyBorder="1"/>
    <xf numFmtId="173" fontId="9" fillId="24" borderId="0" xfId="1" applyNumberFormat="1" applyFont="1" applyFill="1" applyBorder="1" applyAlignment="1">
      <alignment horizontal="center" vertical="center"/>
    </xf>
    <xf numFmtId="172" fontId="7"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43" fontId="9" fillId="5" borderId="7" xfId="0" applyNumberFormat="1" applyFont="1" applyFill="1" applyBorder="1"/>
    <xf numFmtId="43" fontId="9" fillId="5" borderId="6" xfId="0" applyNumberFormat="1" applyFont="1" applyFill="1" applyBorder="1"/>
    <xf numFmtId="0" fontId="7" fillId="6" borderId="19" xfId="0" applyFont="1" applyFill="1" applyBorder="1" applyAlignment="1">
      <alignment horizontal="center" vertical="center"/>
    </xf>
    <xf numFmtId="0" fontId="8" fillId="8" borderId="7" xfId="0" applyFont="1" applyFill="1" applyBorder="1" applyAlignment="1">
      <alignment horizontal="center" vertical="center"/>
    </xf>
    <xf numFmtId="0" fontId="0" fillId="8" borderId="11" xfId="0" applyFill="1" applyBorder="1" applyAlignment="1">
      <alignment horizontal="center"/>
    </xf>
    <xf numFmtId="0" fontId="13" fillId="8" borderId="12" xfId="0" applyFont="1" applyFill="1" applyBorder="1" applyAlignment="1">
      <alignment horizontal="center" vertical="center"/>
    </xf>
    <xf numFmtId="43" fontId="26" fillId="8" borderId="6" xfId="1" applyFont="1" applyFill="1" applyBorder="1"/>
    <xf numFmtId="43" fontId="26" fillId="8" borderId="7" xfId="1" applyFont="1" applyFill="1" applyBorder="1"/>
    <xf numFmtId="43" fontId="26" fillId="8" borderId="11" xfId="1" applyFont="1" applyFill="1" applyBorder="1"/>
    <xf numFmtId="43" fontId="26" fillId="8" borderId="12" xfId="1" applyFont="1" applyFill="1" applyBorder="1"/>
    <xf numFmtId="173" fontId="10" fillId="24" borderId="0" xfId="1" applyNumberFormat="1" applyFont="1" applyFill="1" applyBorder="1" applyAlignment="1">
      <alignment horizontal="center" vertical="center"/>
    </xf>
    <xf numFmtId="0" fontId="164" fillId="8" borderId="0" xfId="0" applyFont="1" applyFill="1" applyAlignment="1">
      <alignment horizontal="center"/>
    </xf>
    <xf numFmtId="0" fontId="161" fillId="8" borderId="0" xfId="0" applyFont="1" applyFill="1" applyBorder="1" applyAlignment="1">
      <alignment horizontal="center"/>
    </xf>
    <xf numFmtId="0" fontId="7" fillId="26" borderId="0" xfId="0" applyFont="1" applyFill="1" applyBorder="1" applyAlignment="1">
      <alignment horizontal="center"/>
    </xf>
    <xf numFmtId="43" fontId="0" fillId="0" borderId="0" xfId="0" applyNumberFormat="1" applyAlignment="1">
      <alignment horizontal="center" vertical="center"/>
    </xf>
    <xf numFmtId="43" fontId="24" fillId="23" borderId="0" xfId="1" applyFont="1" applyFill="1" applyBorder="1"/>
    <xf numFmtId="43" fontId="4" fillId="12" borderId="9" xfId="1" applyFont="1" applyFill="1" applyBorder="1"/>
    <xf numFmtId="43" fontId="0" fillId="8" borderId="6" xfId="1" applyFont="1" applyFill="1" applyBorder="1"/>
    <xf numFmtId="43" fontId="26" fillId="8" borderId="23" xfId="1" applyFont="1" applyFill="1" applyBorder="1"/>
    <xf numFmtId="0" fontId="5" fillId="2" borderId="8" xfId="0" applyNumberFormat="1" applyFont="1" applyFill="1" applyBorder="1" applyAlignment="1">
      <alignment horizontal="center" vertical="center"/>
    </xf>
    <xf numFmtId="0" fontId="4" fillId="8" borderId="0" xfId="0" applyFont="1" applyFill="1"/>
    <xf numFmtId="0" fontId="4" fillId="8" borderId="0" xfId="0" applyFont="1" applyFill="1" applyAlignment="1">
      <alignment horizontal="right"/>
    </xf>
    <xf numFmtId="0" fontId="179" fillId="0" borderId="0" xfId="0" applyFont="1" applyBorder="1" applyAlignment="1">
      <alignment vertical="center"/>
    </xf>
    <xf numFmtId="0" fontId="180"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43" fontId="4" fillId="5" borderId="7" xfId="0" applyNumberFormat="1" applyFont="1" applyFill="1" applyBorder="1"/>
    <xf numFmtId="0" fontId="7" fillId="8" borderId="9" xfId="0" applyFont="1" applyFill="1" applyBorder="1" applyAlignment="1"/>
    <xf numFmtId="9" fontId="6" fillId="113" borderId="12" xfId="2" applyNumberFormat="1" applyFont="1" applyFill="1" applyBorder="1"/>
    <xf numFmtId="172" fontId="161" fillId="4" borderId="0" xfId="1" applyNumberFormat="1" applyFont="1" applyFill="1" applyBorder="1" applyAlignment="1">
      <alignment horizontal="center" vertical="center"/>
    </xf>
    <xf numFmtId="172" fontId="8" fillId="4" borderId="0" xfId="1" applyNumberFormat="1" applyFont="1" applyFill="1" applyBorder="1" applyAlignment="1">
      <alignment horizontal="center" vertical="center"/>
    </xf>
    <xf numFmtId="0" fontId="181"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8" fillId="24" borderId="15" xfId="0" applyFont="1" applyFill="1" applyBorder="1" applyAlignment="1">
      <alignment horizontal="center"/>
    </xf>
    <xf numFmtId="0" fontId="18" fillId="24" borderId="1" xfId="0" applyFont="1" applyFill="1" applyBorder="1" applyAlignment="1">
      <alignment horizontal="center"/>
    </xf>
    <xf numFmtId="0" fontId="6"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6"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6"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2" fontId="9" fillId="0" borderId="0" xfId="1" applyNumberFormat="1" applyFont="1" applyBorder="1" applyAlignment="1">
      <alignment vertical="center"/>
    </xf>
    <xf numFmtId="172" fontId="161" fillId="0" borderId="0" xfId="1" applyNumberFormat="1" applyFont="1" applyBorder="1" applyAlignment="1">
      <alignment vertical="center"/>
    </xf>
    <xf numFmtId="0" fontId="26" fillId="0" borderId="0" xfId="0" applyFont="1" applyBorder="1" applyAlignment="1">
      <alignment horizontal="center"/>
    </xf>
    <xf numFmtId="43" fontId="182" fillId="0" borderId="0" xfId="1" applyFont="1" applyBorder="1" applyAlignment="1">
      <alignment vertical="center"/>
    </xf>
    <xf numFmtId="43" fontId="7" fillId="0" borderId="0" xfId="1" applyFont="1" applyBorder="1" applyAlignment="1">
      <alignment vertical="center"/>
    </xf>
    <xf numFmtId="0" fontId="175" fillId="0" borderId="0" xfId="0" applyFont="1" applyBorder="1" applyAlignment="1">
      <alignment horizontal="left" vertical="center"/>
    </xf>
    <xf numFmtId="0" fontId="164" fillId="0" borderId="0" xfId="0" applyFont="1" applyBorder="1" applyAlignment="1">
      <alignment horizontal="center"/>
    </xf>
    <xf numFmtId="43" fontId="173" fillId="0" borderId="0" xfId="1" applyFont="1" applyBorder="1" applyAlignment="1">
      <alignment vertical="center"/>
    </xf>
    <xf numFmtId="43" fontId="161" fillId="0" borderId="0" xfId="1" applyFont="1" applyBorder="1" applyAlignment="1">
      <alignment vertical="center"/>
    </xf>
    <xf numFmtId="43" fontId="164" fillId="2" borderId="0" xfId="1" applyFont="1" applyFill="1" applyBorder="1"/>
    <xf numFmtId="43" fontId="161" fillId="0" borderId="0" xfId="1" applyFont="1" applyFill="1" applyBorder="1"/>
    <xf numFmtId="0" fontId="183" fillId="0" borderId="0" xfId="0" applyFont="1" applyBorder="1"/>
    <xf numFmtId="172" fontId="164" fillId="0" borderId="0" xfId="1" applyNumberFormat="1" applyFont="1" applyBorder="1" applyAlignment="1">
      <alignment vertical="center"/>
    </xf>
    <xf numFmtId="43" fontId="175" fillId="0" borderId="0" xfId="1" applyFont="1" applyBorder="1" applyAlignment="1">
      <alignment horizontal="left" vertical="center"/>
    </xf>
    <xf numFmtId="43" fontId="184" fillId="0" borderId="0" xfId="1" applyFont="1" applyBorder="1" applyAlignment="1">
      <alignment horizontal="left" vertical="center"/>
    </xf>
    <xf numFmtId="43" fontId="175" fillId="0" borderId="0" xfId="0" applyNumberFormat="1" applyFont="1" applyBorder="1" applyAlignment="1">
      <alignment horizontal="left" vertical="center"/>
    </xf>
    <xf numFmtId="172" fontId="169" fillId="0" borderId="0" xfId="1" applyNumberFormat="1" applyFont="1" applyBorder="1" applyAlignment="1">
      <alignment vertical="center"/>
    </xf>
    <xf numFmtId="172" fontId="0" fillId="0" borderId="0" xfId="1" applyNumberFormat="1" applyFont="1" applyBorder="1"/>
    <xf numFmtId="0" fontId="172" fillId="0" borderId="0" xfId="0" applyFont="1"/>
    <xf numFmtId="0" fontId="164" fillId="0" borderId="0" xfId="0" applyFont="1" applyFill="1" applyBorder="1" applyAlignment="1">
      <alignment horizontal="center"/>
    </xf>
    <xf numFmtId="43" fontId="0" fillId="0" borderId="0" xfId="0" applyNumberFormat="1"/>
    <xf numFmtId="171" fontId="0" fillId="0" borderId="0" xfId="0" applyNumberFormat="1"/>
    <xf numFmtId="43" fontId="4" fillId="8" borderId="12" xfId="1" applyFont="1" applyFill="1" applyBorder="1"/>
    <xf numFmtId="172" fontId="5" fillId="12" borderId="0" xfId="1" applyNumberFormat="1" applyFont="1" applyFill="1" applyBorder="1"/>
    <xf numFmtId="43" fontId="26" fillId="23" borderId="0" xfId="1" applyFont="1" applyFill="1" applyBorder="1"/>
    <xf numFmtId="43" fontId="26" fillId="23" borderId="0" xfId="0" applyNumberFormat="1" applyFont="1" applyFill="1" applyBorder="1"/>
    <xf numFmtId="0" fontId="6" fillId="23" borderId="0" xfId="0" applyFont="1" applyFill="1" applyBorder="1" applyAlignment="1"/>
    <xf numFmtId="168" fontId="18" fillId="7" borderId="15" xfId="0" applyNumberFormat="1" applyFont="1" applyFill="1" applyBorder="1" applyAlignment="1">
      <alignment horizontal="center" vertical="center"/>
    </xf>
    <xf numFmtId="172" fontId="9" fillId="23" borderId="0" xfId="4109" applyNumberFormat="1" applyFont="1" applyFill="1" applyBorder="1"/>
    <xf numFmtId="173" fontId="9" fillId="23" borderId="0" xfId="4109" applyNumberFormat="1" applyFont="1" applyFill="1" applyBorder="1"/>
    <xf numFmtId="43" fontId="3" fillId="5" borderId="0" xfId="1" applyFont="1" applyFill="1" applyBorder="1"/>
    <xf numFmtId="43" fontId="9" fillId="0" borderId="0" xfId="1" applyFont="1" applyBorder="1" applyAlignment="1">
      <alignment vertical="center"/>
    </xf>
    <xf numFmtId="0" fontId="26" fillId="0" borderId="0" xfId="0" applyFont="1"/>
    <xf numFmtId="172" fontId="26" fillId="0" borderId="0" xfId="1" applyNumberFormat="1" applyFont="1"/>
    <xf numFmtId="172" fontId="183" fillId="0" borderId="0" xfId="1" applyNumberFormat="1" applyFont="1"/>
    <xf numFmtId="0" fontId="183" fillId="0" borderId="0" xfId="0" applyFont="1" applyBorder="1" applyAlignment="1">
      <alignment horizontal="center"/>
    </xf>
    <xf numFmtId="43" fontId="10" fillId="0" borderId="0" xfId="1" applyFont="1" applyBorder="1" applyAlignment="1">
      <alignment vertical="center"/>
    </xf>
    <xf numFmtId="43" fontId="19" fillId="14" borderId="5" xfId="1" applyFont="1" applyFill="1" applyBorder="1" applyAlignment="1">
      <alignment horizontal="center" vertical="center"/>
    </xf>
    <xf numFmtId="0" fontId="4" fillId="0" borderId="0" xfId="0" applyFont="1" applyAlignment="1">
      <alignment horizontal="center" vertical="center"/>
    </xf>
    <xf numFmtId="43" fontId="10" fillId="5" borderId="7" xfId="0" applyNumberFormat="1" applyFont="1" applyFill="1" applyBorder="1"/>
    <xf numFmtId="43" fontId="9" fillId="23" borderId="0" xfId="0" applyNumberFormat="1" applyFont="1" applyFill="1" applyBorder="1"/>
    <xf numFmtId="173" fontId="19" fillId="8" borderId="0" xfId="1" applyNumberFormat="1" applyFont="1" applyFill="1" applyBorder="1"/>
    <xf numFmtId="172" fontId="10" fillId="8" borderId="0" xfId="1" applyNumberFormat="1" applyFont="1" applyFill="1" applyBorder="1" applyAlignment="1">
      <alignment horizontal="center" vertical="center"/>
    </xf>
    <xf numFmtId="43" fontId="10" fillId="8" borderId="0" xfId="1" applyFont="1" applyFill="1" applyBorder="1"/>
    <xf numFmtId="43" fontId="24" fillId="0" borderId="0" xfId="1" applyFont="1" applyFill="1" applyBorder="1"/>
    <xf numFmtId="43" fontId="10" fillId="0" borderId="0" xfId="1" applyFont="1" applyFill="1" applyBorder="1"/>
    <xf numFmtId="43" fontId="10" fillId="12" borderId="7" xfId="0" applyNumberFormat="1" applyFont="1" applyFill="1" applyBorder="1"/>
    <xf numFmtId="43" fontId="10" fillId="12" borderId="0" xfId="1" applyFont="1" applyFill="1" applyBorder="1"/>
    <xf numFmtId="0" fontId="24" fillId="0" borderId="0" xfId="0" applyFont="1" applyBorder="1" applyAlignment="1">
      <alignment horizontal="center"/>
    </xf>
    <xf numFmtId="43" fontId="185" fillId="0" borderId="0" xfId="1" applyFont="1" applyBorder="1" applyAlignment="1">
      <alignment vertical="center"/>
    </xf>
    <xf numFmtId="172" fontId="8" fillId="0" borderId="0" xfId="1" applyNumberFormat="1" applyFont="1" applyBorder="1" applyAlignment="1">
      <alignment vertical="center"/>
    </xf>
    <xf numFmtId="0" fontId="24" fillId="0" borderId="0" xfId="0" applyFont="1" applyFill="1"/>
    <xf numFmtId="172" fontId="176" fillId="0" borderId="0" xfId="1" applyNumberFormat="1" applyFont="1" applyBorder="1" applyAlignment="1">
      <alignment vertical="center"/>
    </xf>
    <xf numFmtId="0" fontId="24" fillId="0" borderId="0" xfId="0" applyFont="1"/>
    <xf numFmtId="0" fontId="186" fillId="0" borderId="0" xfId="0" applyFont="1" applyBorder="1" applyAlignment="1">
      <alignment horizontal="left" vertical="center"/>
    </xf>
    <xf numFmtId="0" fontId="187" fillId="0" borderId="0" xfId="0" applyFont="1" applyBorder="1" applyAlignment="1">
      <alignment horizontal="center"/>
    </xf>
    <xf numFmtId="43" fontId="187" fillId="2" borderId="0" xfId="1" applyFont="1" applyFill="1" applyBorder="1"/>
    <xf numFmtId="172" fontId="187" fillId="2" borderId="0" xfId="1" applyNumberFormat="1" applyFont="1" applyFill="1" applyBorder="1"/>
    <xf numFmtId="43" fontId="187" fillId="0" borderId="0" xfId="1" applyFont="1" applyFill="1" applyBorder="1"/>
    <xf numFmtId="172" fontId="187" fillId="0" borderId="0" xfId="1" applyNumberFormat="1" applyFont="1" applyBorder="1"/>
    <xf numFmtId="0" fontId="187" fillId="0" borderId="0" xfId="0" applyFont="1"/>
    <xf numFmtId="43" fontId="0" fillId="114" borderId="0" xfId="1" applyFont="1" applyFill="1"/>
    <xf numFmtId="43" fontId="9" fillId="5" borderId="0" xfId="1" applyFont="1" applyFill="1" applyBorder="1"/>
    <xf numFmtId="43" fontId="12" fillId="8" borderId="0" xfId="0" applyNumberFormat="1" applyFont="1" applyFill="1"/>
    <xf numFmtId="0" fontId="0" fillId="8" borderId="0" xfId="0" applyNumberFormat="1" applyFill="1"/>
    <xf numFmtId="43" fontId="0" fillId="8" borderId="0" xfId="0" applyNumberFormat="1" applyFill="1"/>
    <xf numFmtId="43" fontId="9" fillId="8" borderId="0" xfId="1" applyNumberFormat="1" applyFont="1" applyFill="1" applyBorder="1"/>
    <xf numFmtId="9" fontId="161" fillId="0" borderId="0" xfId="2" applyFont="1" applyBorder="1" applyAlignment="1">
      <alignment vertical="center"/>
    </xf>
    <xf numFmtId="43" fontId="26" fillId="8" borderId="0" xfId="1" applyNumberFormat="1" applyFont="1" applyFill="1" applyBorder="1"/>
    <xf numFmtId="0" fontId="189" fillId="0" borderId="0" xfId="0" applyFont="1" applyAlignment="1">
      <alignment horizontal="center" vertical="center"/>
    </xf>
    <xf numFmtId="43" fontId="9" fillId="24" borderId="0" xfId="1" applyNumberFormat="1" applyFont="1" applyFill="1" applyBorder="1" applyAlignment="1">
      <alignment horizontal="center" vertical="center"/>
    </xf>
    <xf numFmtId="43" fontId="9" fillId="4" borderId="0" xfId="1" applyNumberFormat="1" applyFont="1" applyFill="1" applyBorder="1" applyAlignment="1">
      <alignment horizontal="center" vertical="center"/>
    </xf>
    <xf numFmtId="43" fontId="7" fillId="4" borderId="0" xfId="1" applyNumberFormat="1" applyFont="1" applyFill="1" applyBorder="1"/>
    <xf numFmtId="43" fontId="9" fillId="4" borderId="0" xfId="1" applyNumberFormat="1" applyFont="1" applyFill="1" applyBorder="1"/>
    <xf numFmtId="43" fontId="0" fillId="0" borderId="0" xfId="0" applyNumberFormat="1" applyAlignment="1">
      <alignment horizontal="center" vertical="center"/>
    </xf>
    <xf numFmtId="194" fontId="0" fillId="0" borderId="0" xfId="0" applyNumberFormat="1"/>
    <xf numFmtId="195" fontId="0" fillId="0" borderId="0" xfId="0" applyNumberFormat="1"/>
    <xf numFmtId="43" fontId="7" fillId="8" borderId="0" xfId="1" applyNumberFormat="1" applyFont="1" applyFill="1" applyBorder="1"/>
    <xf numFmtId="43" fontId="0" fillId="0" borderId="0" xfId="0" applyNumberFormat="1" applyAlignment="1">
      <alignment horizontal="center" vertical="center"/>
    </xf>
    <xf numFmtId="43" fontId="10" fillId="8" borderId="0" xfId="1" applyNumberFormat="1" applyFont="1" applyFill="1" applyBorder="1"/>
    <xf numFmtId="43" fontId="6" fillId="8" borderId="9" xfId="0" applyNumberFormat="1" applyFont="1" applyFill="1" applyBorder="1"/>
    <xf numFmtId="196" fontId="19" fillId="8" borderId="0" xfId="1" applyNumberFormat="1" applyFont="1" applyFill="1" applyBorder="1"/>
    <xf numFmtId="43" fontId="0" fillId="8" borderId="0" xfId="0" applyNumberFormat="1" applyFill="1" applyBorder="1" applyAlignment="1">
      <alignment horizontal="right"/>
    </xf>
    <xf numFmtId="43" fontId="10" fillId="0" borderId="0" xfId="1" applyNumberFormat="1" applyFont="1" applyFill="1" applyBorder="1"/>
    <xf numFmtId="43" fontId="7" fillId="4" borderId="0" xfId="1" applyNumberFormat="1" applyFont="1" applyFill="1" applyBorder="1" applyAlignment="1">
      <alignment horizontal="center" vertical="center"/>
    </xf>
    <xf numFmtId="43" fontId="26" fillId="0" borderId="0" xfId="1" applyNumberFormat="1" applyFont="1"/>
    <xf numFmtId="0" fontId="6" fillId="22" borderId="0" xfId="0" applyFont="1" applyFill="1" applyBorder="1"/>
    <xf numFmtId="1" fontId="6" fillId="22" borderId="0" xfId="0" applyNumberFormat="1" applyFont="1" applyFill="1" applyBorder="1"/>
    <xf numFmtId="194" fontId="26" fillId="8" borderId="0" xfId="1" applyNumberFormat="1" applyFont="1" applyFill="1" applyBorder="1"/>
    <xf numFmtId="43" fontId="10" fillId="4" borderId="0" xfId="1" applyNumberFormat="1" applyFont="1" applyFill="1" applyBorder="1"/>
    <xf numFmtId="1" fontId="7" fillId="8" borderId="0" xfId="0" applyNumberFormat="1" applyFont="1" applyFill="1" applyBorder="1"/>
    <xf numFmtId="43" fontId="6" fillId="8" borderId="0" xfId="0" applyNumberFormat="1" applyFont="1" applyFill="1" applyBorder="1" applyAlignment="1">
      <alignment horizontal="center"/>
    </xf>
    <xf numFmtId="43" fontId="10" fillId="4" borderId="0" xfId="1" applyNumberFormat="1" applyFont="1" applyFill="1" applyBorder="1" applyAlignment="1">
      <alignment horizontal="center" vertical="center"/>
    </xf>
    <xf numFmtId="172" fontId="9" fillId="23" borderId="0" xfId="1" applyNumberFormat="1" applyFont="1" applyFill="1" applyBorder="1"/>
    <xf numFmtId="43" fontId="0" fillId="8" borderId="0" xfId="0" applyNumberFormat="1" applyFill="1" applyBorder="1"/>
    <xf numFmtId="3" fontId="187" fillId="0" borderId="0" xfId="0" applyNumberFormat="1" applyFont="1"/>
    <xf numFmtId="43" fontId="26" fillId="5" borderId="0" xfId="1" applyNumberFormat="1" applyFont="1" applyFill="1" applyBorder="1"/>
    <xf numFmtId="43" fontId="0" fillId="0" borderId="0" xfId="0" applyNumberFormat="1" applyAlignment="1">
      <alignment horizontal="center" vertical="center"/>
    </xf>
    <xf numFmtId="43" fontId="19" fillId="8" borderId="0" xfId="1" applyNumberFormat="1" applyFont="1" applyFill="1" applyBorder="1"/>
    <xf numFmtId="43" fontId="28" fillId="115" borderId="3" xfId="1" applyFont="1" applyFill="1" applyBorder="1" applyAlignment="1">
      <alignment horizontal="center" vertical="center"/>
    </xf>
    <xf numFmtId="43" fontId="28" fillId="115" borderId="3" xfId="1" applyNumberFormat="1" applyFont="1" applyFill="1" applyBorder="1" applyAlignment="1">
      <alignment horizontal="center" vertical="center"/>
    </xf>
    <xf numFmtId="43" fontId="26" fillId="114" borderId="0" xfId="1" applyFont="1" applyFill="1" applyBorder="1"/>
    <xf numFmtId="43" fontId="26" fillId="116" borderId="0" xfId="1" applyFont="1" applyFill="1" applyBorder="1"/>
    <xf numFmtId="172" fontId="190" fillId="0" borderId="0" xfId="0" applyNumberFormat="1" applyFont="1"/>
    <xf numFmtId="174" fontId="4" fillId="0" borderId="0" xfId="0" applyNumberFormat="1" applyFont="1"/>
    <xf numFmtId="1" fontId="0" fillId="0" borderId="0" xfId="0" applyNumberFormat="1"/>
    <xf numFmtId="43" fontId="5" fillId="111" borderId="1" xfId="1" applyFont="1" applyFill="1" applyBorder="1" applyAlignment="1">
      <alignment horizontal="center" vertical="center"/>
    </xf>
    <xf numFmtId="9" fontId="0" fillId="8" borderId="0" xfId="2" applyFont="1" applyFill="1"/>
    <xf numFmtId="43" fontId="28" fillId="17" borderId="3" xfId="1" applyNumberFormat="1" applyFont="1" applyFill="1" applyBorder="1" applyAlignment="1">
      <alignment horizontal="center" vertical="center"/>
    </xf>
    <xf numFmtId="171" fontId="7" fillId="12" borderId="0" xfId="0" applyNumberFormat="1" applyFont="1" applyFill="1" applyBorder="1"/>
    <xf numFmtId="43" fontId="0" fillId="8" borderId="0" xfId="0" applyNumberFormat="1" applyFill="1"/>
    <xf numFmtId="0" fontId="0" fillId="0" borderId="28" xfId="0" applyBorder="1"/>
    <xf numFmtId="43" fontId="3" fillId="8" borderId="0" xfId="1" applyNumberFormat="1" applyFont="1" applyFill="1" applyBorder="1"/>
    <xf numFmtId="9" fontId="12" fillId="8" borderId="0" xfId="2" applyFont="1" applyFill="1"/>
    <xf numFmtId="172" fontId="6" fillId="8" borderId="0" xfId="0" applyNumberFormat="1" applyFont="1" applyFill="1" applyBorder="1"/>
    <xf numFmtId="9" fontId="0" fillId="0" borderId="0" xfId="2" applyFont="1" applyBorder="1"/>
    <xf numFmtId="43" fontId="26" fillId="0" borderId="0" xfId="1" applyNumberFormat="1" applyFont="1"/>
    <xf numFmtId="43" fontId="4" fillId="117" borderId="18" xfId="1" applyFont="1" applyFill="1" applyBorder="1"/>
    <xf numFmtId="197" fontId="6" fillId="8" borderId="0" xfId="0" applyNumberFormat="1" applyFont="1" applyFill="1" applyBorder="1"/>
    <xf numFmtId="173" fontId="26" fillId="0" borderId="0" xfId="1" applyNumberFormat="1" applyFont="1"/>
    <xf numFmtId="43" fontId="0" fillId="0" borderId="0" xfId="0" applyNumberFormat="1" applyAlignment="1">
      <alignment horizontal="center" vertical="center"/>
    </xf>
    <xf numFmtId="43" fontId="0" fillId="0" borderId="0" xfId="0" applyNumberFormat="1"/>
    <xf numFmtId="168" fontId="6" fillId="22" borderId="8" xfId="0" applyNumberFormat="1" applyFont="1" applyFill="1" applyBorder="1" applyAlignment="1">
      <alignment horizontal="center" vertical="center"/>
    </xf>
    <xf numFmtId="43" fontId="9" fillId="5" borderId="0" xfId="1" applyNumberFormat="1" applyFont="1" applyFill="1" applyBorder="1"/>
    <xf numFmtId="0" fontId="192" fillId="0" borderId="0" xfId="0" applyFont="1"/>
    <xf numFmtId="17" fontId="0" fillId="0" borderId="28" xfId="0" applyNumberFormat="1" applyBorder="1" applyAlignment="1">
      <alignment horizontal="center"/>
    </xf>
    <xf numFmtId="0" fontId="0" fillId="0" borderId="28" xfId="0" applyBorder="1" applyAlignment="1">
      <alignment horizontal="center"/>
    </xf>
    <xf numFmtId="0" fontId="4" fillId="0" borderId="28" xfId="0" applyFont="1" applyBorder="1" applyAlignment="1">
      <alignment horizontal="center" wrapText="1"/>
    </xf>
    <xf numFmtId="0" fontId="4" fillId="0" borderId="28" xfId="0" applyFont="1" applyBorder="1" applyAlignment="1">
      <alignment horizontal="center"/>
    </xf>
    <xf numFmtId="172" fontId="0" fillId="0" borderId="28" xfId="4" applyNumberFormat="1" applyFont="1" applyBorder="1" applyAlignment="1">
      <alignment horizontal="center"/>
    </xf>
    <xf numFmtId="172" fontId="26" fillId="0" borderId="28" xfId="4" applyNumberFormat="1" applyFont="1" applyBorder="1" applyAlignment="1">
      <alignment horizontal="center"/>
    </xf>
    <xf numFmtId="172" fontId="4" fillId="0" borderId="28" xfId="4" applyNumberFormat="1" applyFont="1" applyBorder="1" applyAlignment="1">
      <alignment horizontal="center"/>
    </xf>
    <xf numFmtId="0" fontId="164" fillId="0" borderId="0" xfId="0" applyFont="1" applyFill="1" applyBorder="1"/>
    <xf numFmtId="172" fontId="164" fillId="0" borderId="0" xfId="0" applyNumberFormat="1" applyFont="1" applyAlignment="1">
      <alignment horizontal="center"/>
    </xf>
    <xf numFmtId="43" fontId="164" fillId="0" borderId="0" xfId="1" applyFont="1"/>
    <xf numFmtId="0" fontId="0" fillId="0" borderId="0" xfId="0" applyAlignment="1">
      <alignment horizontal="center" vertical="center" wrapText="1"/>
    </xf>
    <xf numFmtId="0" fontId="193" fillId="0" borderId="5" xfId="0" applyFont="1" applyBorder="1" applyAlignment="1">
      <alignment horizontal="center" vertical="center"/>
    </xf>
    <xf numFmtId="168" fontId="193" fillId="0" borderId="1" xfId="0" applyNumberFormat="1" applyFont="1" applyBorder="1" applyAlignment="1">
      <alignment horizontal="center" vertical="center"/>
    </xf>
    <xf numFmtId="0" fontId="193" fillId="0" borderId="1" xfId="0" applyFont="1" applyBorder="1" applyAlignment="1">
      <alignment horizontal="center" vertical="center"/>
    </xf>
    <xf numFmtId="0" fontId="193" fillId="0" borderId="4" xfId="0" applyFont="1" applyBorder="1" applyAlignment="1">
      <alignment horizontal="center" vertical="center"/>
    </xf>
    <xf numFmtId="0" fontId="193" fillId="0" borderId="13" xfId="0" applyFont="1" applyBorder="1" applyAlignment="1">
      <alignment horizontal="center" vertical="center"/>
    </xf>
    <xf numFmtId="0" fontId="193" fillId="0" borderId="0" xfId="0" applyFont="1" applyAlignment="1">
      <alignment vertical="center"/>
    </xf>
    <xf numFmtId="0" fontId="194" fillId="0" borderId="0" xfId="0" applyFont="1"/>
    <xf numFmtId="3" fontId="193" fillId="0" borderId="13" xfId="0" applyNumberFormat="1" applyFont="1" applyBorder="1" applyAlignment="1">
      <alignment horizontal="right" vertical="center"/>
    </xf>
    <xf numFmtId="2" fontId="194" fillId="0" borderId="0" xfId="0" applyNumberFormat="1" applyFont="1"/>
    <xf numFmtId="0" fontId="193" fillId="119" borderId="5" xfId="0" applyFont="1" applyFill="1" applyBorder="1" applyAlignment="1">
      <alignment horizontal="center" vertical="center"/>
    </xf>
    <xf numFmtId="168" fontId="193" fillId="119" borderId="1" xfId="0" applyNumberFormat="1" applyFont="1" applyFill="1" applyBorder="1" applyAlignment="1">
      <alignment horizontal="center" vertical="center"/>
    </xf>
    <xf numFmtId="0" fontId="193" fillId="119" borderId="1" xfId="0" applyFont="1" applyFill="1" applyBorder="1" applyAlignment="1">
      <alignment horizontal="center" vertical="center"/>
    </xf>
    <xf numFmtId="0" fontId="193" fillId="119" borderId="4" xfId="0" applyFont="1" applyFill="1" applyBorder="1" applyAlignment="1">
      <alignment horizontal="center" vertical="center"/>
    </xf>
    <xf numFmtId="3" fontId="193" fillId="0" borderId="13" xfId="0" applyNumberFormat="1" applyFont="1" applyBorder="1" applyAlignment="1">
      <alignment horizontal="center" vertical="center"/>
    </xf>
    <xf numFmtId="2" fontId="195" fillId="0" borderId="0" xfId="0" applyNumberFormat="1" applyFont="1"/>
    <xf numFmtId="172" fontId="195" fillId="0" borderId="0" xfId="1" applyNumberFormat="1" applyFont="1"/>
    <xf numFmtId="173" fontId="195" fillId="0" borderId="0" xfId="1" applyNumberFormat="1" applyFont="1"/>
    <xf numFmtId="0" fontId="193" fillId="120" borderId="5" xfId="0" applyFont="1" applyFill="1" applyBorder="1" applyAlignment="1">
      <alignment horizontal="center" vertical="center"/>
    </xf>
    <xf numFmtId="168" fontId="193" fillId="120" borderId="1" xfId="0" applyNumberFormat="1" applyFont="1" applyFill="1" applyBorder="1" applyAlignment="1">
      <alignment horizontal="center" vertical="center"/>
    </xf>
    <xf numFmtId="0" fontId="193" fillId="120" borderId="1" xfId="0" applyFont="1" applyFill="1" applyBorder="1" applyAlignment="1">
      <alignment horizontal="center" vertical="center"/>
    </xf>
    <xf numFmtId="0" fontId="193" fillId="120" borderId="4" xfId="0" applyFont="1" applyFill="1" applyBorder="1" applyAlignment="1">
      <alignment horizontal="center" vertical="center"/>
    </xf>
    <xf numFmtId="0" fontId="193" fillId="120" borderId="13" xfId="0" applyFont="1" applyFill="1" applyBorder="1" applyAlignment="1">
      <alignment horizontal="center" vertical="center"/>
    </xf>
    <xf numFmtId="0" fontId="193" fillId="120" borderId="0" xfId="0" applyFont="1" applyFill="1" applyAlignment="1">
      <alignment vertical="center"/>
    </xf>
    <xf numFmtId="0" fontId="0" fillId="120" borderId="0" xfId="0" applyFill="1"/>
    <xf numFmtId="3" fontId="193" fillId="120" borderId="13" xfId="0" applyNumberFormat="1" applyFont="1" applyFill="1" applyBorder="1" applyAlignment="1">
      <alignment horizontal="right" vertical="center"/>
    </xf>
    <xf numFmtId="191" fontId="196" fillId="122" borderId="28" xfId="131" applyNumberFormat="1" applyFont="1" applyFill="1" applyBorder="1" applyAlignment="1">
      <alignment horizontal="center" vertical="center"/>
    </xf>
    <xf numFmtId="0" fontId="196" fillId="122" borderId="28" xfId="131" applyNumberFormat="1" applyFont="1" applyFill="1" applyBorder="1" applyAlignment="1">
      <alignment horizontal="center" vertical="center"/>
    </xf>
    <xf numFmtId="0" fontId="196" fillId="112" borderId="29" xfId="131" applyFont="1" applyFill="1" applyBorder="1" applyAlignment="1">
      <alignment vertical="center" wrapText="1"/>
    </xf>
    <xf numFmtId="0" fontId="196" fillId="112" borderId="30" xfId="131" applyFont="1" applyFill="1" applyBorder="1" applyAlignment="1">
      <alignment vertical="center" wrapText="1"/>
    </xf>
    <xf numFmtId="3" fontId="196" fillId="112" borderId="30" xfId="131" applyNumberFormat="1" applyFont="1" applyFill="1" applyBorder="1" applyAlignment="1">
      <alignment horizontal="right" vertical="center"/>
    </xf>
    <xf numFmtId="0" fontId="197" fillId="117" borderId="17" xfId="131" applyFont="1" applyFill="1" applyBorder="1" applyAlignment="1">
      <alignment vertical="center"/>
    </xf>
    <xf numFmtId="0" fontId="197" fillId="117" borderId="59" xfId="131" applyFont="1" applyFill="1" applyBorder="1" applyAlignment="1">
      <alignment vertical="center"/>
    </xf>
    <xf numFmtId="3" fontId="198" fillId="117" borderId="59" xfId="131" applyNumberFormat="1" applyFont="1" applyFill="1" applyBorder="1" applyAlignment="1">
      <alignment vertical="center"/>
    </xf>
    <xf numFmtId="0" fontId="199" fillId="0" borderId="17" xfId="131" applyFont="1" applyBorder="1" applyAlignment="1">
      <alignment vertical="center"/>
    </xf>
    <xf numFmtId="0" fontId="199" fillId="0" borderId="59" xfId="131" applyFont="1" applyFill="1" applyBorder="1" applyAlignment="1">
      <alignment vertical="center"/>
    </xf>
    <xf numFmtId="3" fontId="199" fillId="0" borderId="59" xfId="131" applyNumberFormat="1" applyFont="1" applyBorder="1" applyAlignment="1">
      <alignment vertical="center"/>
    </xf>
    <xf numFmtId="3" fontId="197" fillId="0" borderId="59" xfId="131" applyNumberFormat="1" applyFont="1" applyBorder="1" applyAlignment="1">
      <alignment vertical="center"/>
    </xf>
    <xf numFmtId="3" fontId="200" fillId="0" borderId="59" xfId="131" applyNumberFormat="1" applyFont="1" applyBorder="1" applyAlignment="1">
      <alignment vertical="center"/>
    </xf>
    <xf numFmtId="3" fontId="197" fillId="117" borderId="59" xfId="131" applyNumberFormat="1" applyFont="1" applyFill="1" applyBorder="1" applyAlignment="1">
      <alignment vertical="center"/>
    </xf>
    <xf numFmtId="0" fontId="201" fillId="0" borderId="17" xfId="131" applyFont="1" applyFill="1" applyBorder="1" applyAlignment="1">
      <alignment vertical="center"/>
    </xf>
    <xf numFmtId="0" fontId="201" fillId="0" borderId="59" xfId="131" quotePrefix="1" applyFont="1" applyFill="1" applyBorder="1" applyAlignment="1">
      <alignment vertical="center"/>
    </xf>
    <xf numFmtId="3" fontId="200" fillId="0" borderId="59" xfId="131" applyNumberFormat="1" applyFont="1" applyFill="1" applyBorder="1" applyAlignment="1">
      <alignment vertical="center"/>
    </xf>
    <xf numFmtId="0" fontId="201" fillId="0" borderId="59" xfId="131" quotePrefix="1" applyFont="1" applyFill="1" applyBorder="1" applyAlignment="1">
      <alignment horizontal="left" vertical="center" indent="2"/>
    </xf>
    <xf numFmtId="3" fontId="160" fillId="0" borderId="59" xfId="131" applyNumberFormat="1" applyFont="1" applyFill="1" applyBorder="1" applyAlignment="1">
      <alignment vertical="center"/>
    </xf>
    <xf numFmtId="0" fontId="160" fillId="0" borderId="17" xfId="131" applyFont="1" applyFill="1" applyBorder="1" applyAlignment="1">
      <alignment vertical="center"/>
    </xf>
    <xf numFmtId="0" fontId="197" fillId="117" borderId="60" xfId="131" applyFont="1" applyFill="1" applyBorder="1" applyAlignment="1">
      <alignment vertical="center"/>
    </xf>
    <xf numFmtId="0" fontId="197" fillId="117" borderId="61" xfId="131" applyFont="1" applyFill="1" applyBorder="1" applyAlignment="1">
      <alignment vertical="center"/>
    </xf>
    <xf numFmtId="3" fontId="197" fillId="117" borderId="61" xfId="131" applyNumberFormat="1" applyFont="1" applyFill="1" applyBorder="1" applyAlignment="1">
      <alignment vertical="center"/>
    </xf>
    <xf numFmtId="172" fontId="159" fillId="8" borderId="6" xfId="1" applyNumberFormat="1" applyFont="1" applyFill="1" applyBorder="1"/>
    <xf numFmtId="9" fontId="159" fillId="8" borderId="8" xfId="2" applyFont="1" applyFill="1" applyBorder="1"/>
    <xf numFmtId="172" fontId="159" fillId="8" borderId="9" xfId="1" applyNumberFormat="1" applyFont="1" applyFill="1" applyBorder="1"/>
    <xf numFmtId="0" fontId="159" fillId="8" borderId="10" xfId="0" applyFont="1" applyFill="1" applyBorder="1"/>
    <xf numFmtId="9" fontId="159" fillId="8" borderId="10" xfId="2" applyFont="1" applyFill="1" applyBorder="1"/>
    <xf numFmtId="172" fontId="159" fillId="8" borderId="11" xfId="1" applyNumberFormat="1" applyFont="1" applyFill="1" applyBorder="1"/>
    <xf numFmtId="0" fontId="159" fillId="8" borderId="13" xfId="0" applyFont="1" applyFill="1" applyBorder="1"/>
    <xf numFmtId="43" fontId="8" fillId="5" borderId="7" xfId="1" applyNumberFormat="1" applyFont="1" applyFill="1" applyBorder="1"/>
    <xf numFmtId="43" fontId="8" fillId="5" borderId="8" xfId="1" applyNumberFormat="1" applyFont="1" applyFill="1" applyBorder="1"/>
    <xf numFmtId="43" fontId="202" fillId="24" borderId="0" xfId="1" applyNumberFormat="1" applyFont="1" applyFill="1" applyBorder="1"/>
    <xf numFmtId="43" fontId="202" fillId="8" borderId="0" xfId="1" applyNumberFormat="1" applyFont="1" applyFill="1" applyBorder="1"/>
    <xf numFmtId="43" fontId="8" fillId="5" borderId="0" xfId="1" applyNumberFormat="1" applyFont="1" applyFill="1" applyBorder="1"/>
    <xf numFmtId="43" fontId="8" fillId="5" borderId="10" xfId="1" applyNumberFormat="1" applyFont="1" applyFill="1" applyBorder="1"/>
    <xf numFmtId="173" fontId="161" fillId="0" borderId="0" xfId="1" applyNumberFormat="1" applyFont="1" applyBorder="1" applyAlignment="1">
      <alignment vertical="center"/>
    </xf>
    <xf numFmtId="43" fontId="161" fillId="0" borderId="0" xfId="1" applyNumberFormat="1" applyFont="1" applyBorder="1" applyAlignment="1">
      <alignment vertical="center"/>
    </xf>
    <xf numFmtId="43" fontId="26" fillId="23" borderId="0" xfId="1" applyNumberFormat="1" applyFont="1" applyFill="1" applyBorder="1"/>
    <xf numFmtId="172" fontId="0" fillId="8" borderId="0" xfId="1" applyNumberFormat="1" applyFont="1" applyFill="1"/>
    <xf numFmtId="43" fontId="12" fillId="0" borderId="0" xfId="0" applyNumberFormat="1" applyFont="1"/>
    <xf numFmtId="43" fontId="0" fillId="0" borderId="0" xfId="0" applyNumberFormat="1" applyFill="1"/>
    <xf numFmtId="9" fontId="12" fillId="0" borderId="0" xfId="2" applyFont="1"/>
    <xf numFmtId="0" fontId="19" fillId="27" borderId="0" xfId="0" applyFont="1" applyFill="1" applyBorder="1" applyAlignment="1">
      <alignment wrapText="1"/>
    </xf>
    <xf numFmtId="172" fontId="19" fillId="5" borderId="0" xfId="1" applyNumberFormat="1" applyFont="1" applyFill="1" applyBorder="1"/>
    <xf numFmtId="43" fontId="9" fillId="5" borderId="6" xfId="1" applyNumberFormat="1" applyFont="1" applyFill="1" applyBorder="1"/>
    <xf numFmtId="43" fontId="9" fillId="5" borderId="7" xfId="1" applyNumberFormat="1" applyFont="1" applyFill="1" applyBorder="1"/>
    <xf numFmtId="0" fontId="7" fillId="8" borderId="0" xfId="0" applyFont="1" applyFill="1" applyBorder="1" applyAlignment="1">
      <alignment horizontal="right"/>
    </xf>
    <xf numFmtId="168" fontId="203" fillId="23" borderId="15" xfId="0" applyNumberFormat="1" applyFont="1" applyFill="1" applyBorder="1" applyAlignment="1">
      <alignment horizontal="center" vertical="center"/>
    </xf>
    <xf numFmtId="172" fontId="164" fillId="0" borderId="0" xfId="1" applyNumberFormat="1" applyFont="1" applyFill="1" applyBorder="1" applyAlignment="1">
      <alignment vertical="center"/>
    </xf>
    <xf numFmtId="43" fontId="0" fillId="0" borderId="0" xfId="0" applyNumberFormat="1" applyAlignment="1">
      <alignment horizontal="center"/>
    </xf>
    <xf numFmtId="0" fontId="204" fillId="8" borderId="0" xfId="0" applyFont="1" applyFill="1" applyBorder="1" applyAlignment="1">
      <alignment horizontal="center"/>
    </xf>
    <xf numFmtId="0" fontId="204" fillId="8" borderId="0" xfId="0" applyFont="1" applyFill="1" applyBorder="1" applyAlignment="1">
      <alignment horizontal="center" vertical="center"/>
    </xf>
    <xf numFmtId="43" fontId="204" fillId="8" borderId="0" xfId="1" applyFont="1" applyFill="1" applyBorder="1"/>
    <xf numFmtId="43" fontId="204" fillId="8" borderId="0" xfId="1" applyNumberFormat="1" applyFont="1" applyFill="1" applyBorder="1"/>
    <xf numFmtId="173" fontId="7" fillId="8" borderId="0" xfId="1" applyNumberFormat="1" applyFont="1" applyFill="1" applyBorder="1"/>
    <xf numFmtId="43" fontId="10" fillId="8" borderId="12" xfId="1" applyFont="1" applyFill="1" applyBorder="1"/>
    <xf numFmtId="43" fontId="7" fillId="5" borderId="0" xfId="1" applyNumberFormat="1" applyFont="1" applyFill="1" applyBorder="1"/>
    <xf numFmtId="2" fontId="195" fillId="22" borderId="0" xfId="0" applyNumberFormat="1" applyFont="1" applyFill="1"/>
    <xf numFmtId="172" fontId="0" fillId="119" borderId="0" xfId="1" applyNumberFormat="1" applyFont="1" applyFill="1"/>
    <xf numFmtId="168" fontId="18" fillId="7" borderId="1" xfId="0" applyNumberFormat="1" applyFont="1" applyFill="1" applyBorder="1" applyAlignment="1">
      <alignment horizontal="center" vertical="center"/>
    </xf>
    <xf numFmtId="43" fontId="24" fillId="5" borderId="10" xfId="1" applyFont="1" applyFill="1" applyBorder="1"/>
    <xf numFmtId="43" fontId="10" fillId="8" borderId="10" xfId="1" applyNumberFormat="1" applyFont="1" applyFill="1" applyBorder="1"/>
    <xf numFmtId="0" fontId="5" fillId="8" borderId="0" xfId="0" applyFont="1" applyFill="1" applyBorder="1"/>
    <xf numFmtId="0" fontId="7" fillId="114" borderId="0" xfId="0" applyFont="1" applyFill="1" applyBorder="1" applyAlignment="1">
      <alignment horizontal="center"/>
    </xf>
    <xf numFmtId="1" fontId="7" fillId="27" borderId="0" xfId="0" applyNumberFormat="1" applyFont="1" applyFill="1" applyBorder="1"/>
    <xf numFmtId="16" fontId="7" fillId="8" borderId="0" xfId="0" quotePrefix="1" applyNumberFormat="1" applyFont="1" applyFill="1" applyBorder="1" applyAlignment="1">
      <alignment horizontal="right"/>
    </xf>
    <xf numFmtId="171" fontId="4" fillId="8" borderId="0" xfId="1" applyNumberFormat="1" applyFont="1" applyFill="1" applyBorder="1"/>
    <xf numFmtId="191" fontId="180" fillId="122" borderId="28" xfId="131" applyNumberFormat="1" applyFont="1" applyFill="1" applyBorder="1" applyAlignment="1">
      <alignment horizontal="center" vertical="center"/>
    </xf>
    <xf numFmtId="3" fontId="205" fillId="0" borderId="59" xfId="131" applyNumberFormat="1" applyFont="1" applyFill="1" applyBorder="1" applyAlignment="1">
      <alignment vertical="center"/>
    </xf>
    <xf numFmtId="17" fontId="4" fillId="0" borderId="28" xfId="0" applyNumberFormat="1" applyFont="1" applyBorder="1" applyAlignment="1">
      <alignment horizontal="center"/>
    </xf>
    <xf numFmtId="43" fontId="10" fillId="12" borderId="0" xfId="1" applyNumberFormat="1" applyFont="1" applyFill="1" applyBorder="1"/>
    <xf numFmtId="43" fontId="8" fillId="12" borderId="0" xfId="1" applyNumberFormat="1" applyFont="1" applyFill="1" applyBorder="1"/>
    <xf numFmtId="43" fontId="10" fillId="12" borderId="12" xfId="1" applyFont="1" applyFill="1" applyBorder="1"/>
    <xf numFmtId="43" fontId="10" fillId="12" borderId="13" xfId="1" applyFont="1" applyFill="1" applyBorder="1"/>
    <xf numFmtId="43" fontId="27" fillId="8" borderId="0" xfId="0" applyNumberFormat="1" applyFont="1" applyFill="1"/>
    <xf numFmtId="43" fontId="10" fillId="123" borderId="0" xfId="1" applyNumberFormat="1" applyFont="1" applyFill="1" applyBorder="1"/>
    <xf numFmtId="43" fontId="8" fillId="123" borderId="0" xfId="1" applyNumberFormat="1" applyFont="1" applyFill="1" applyBorder="1"/>
    <xf numFmtId="43" fontId="10" fillId="123" borderId="10" xfId="1" applyNumberFormat="1" applyFont="1" applyFill="1" applyBorder="1"/>
    <xf numFmtId="168" fontId="18" fillId="123" borderId="15" xfId="0" applyNumberFormat="1" applyFont="1" applyFill="1" applyBorder="1" applyAlignment="1">
      <alignment horizontal="center" vertical="center"/>
    </xf>
    <xf numFmtId="171" fontId="27" fillId="8" borderId="0" xfId="0" applyNumberFormat="1" applyFont="1" applyFill="1"/>
    <xf numFmtId="0" fontId="6" fillId="0" borderId="11" xfId="0" applyFont="1" applyBorder="1" applyAlignment="1">
      <alignment horizontal="center" vertical="center"/>
    </xf>
    <xf numFmtId="0" fontId="6" fillId="0" borderId="13" xfId="0" applyFont="1" applyBorder="1" applyAlignment="1">
      <alignment horizontal="center" vertical="center"/>
    </xf>
    <xf numFmtId="172" fontId="6" fillId="0" borderId="9" xfId="1" applyNumberFormat="1" applyFont="1" applyBorder="1" applyAlignment="1">
      <alignment horizontal="center" vertical="center"/>
    </xf>
    <xf numFmtId="172" fontId="6" fillId="0" borderId="10" xfId="1" applyNumberFormat="1" applyFont="1" applyBorder="1" applyAlignment="1">
      <alignment horizontal="center" vertical="center"/>
    </xf>
    <xf numFmtId="172" fontId="27" fillId="0" borderId="9" xfId="1" applyNumberFormat="1" applyFont="1" applyBorder="1" applyAlignment="1">
      <alignment horizontal="center" vertical="center"/>
    </xf>
    <xf numFmtId="172" fontId="27" fillId="0" borderId="10" xfId="1" applyNumberFormat="1" applyFont="1" applyBorder="1" applyAlignment="1">
      <alignment horizontal="center" vertical="center"/>
    </xf>
    <xf numFmtId="172" fontId="6" fillId="0" borderId="11" xfId="1" applyNumberFormat="1" applyFont="1" applyBorder="1" applyAlignment="1">
      <alignment horizontal="center" vertical="center"/>
    </xf>
    <xf numFmtId="172" fontId="6" fillId="0" borderId="13" xfId="1" applyNumberFormat="1" applyFont="1" applyBorder="1" applyAlignment="1">
      <alignment horizontal="center" vertical="center"/>
    </xf>
    <xf numFmtId="172" fontId="27" fillId="0" borderId="11" xfId="1" applyNumberFormat="1" applyFont="1" applyBorder="1" applyAlignment="1">
      <alignment horizontal="center" vertical="center"/>
    </xf>
    <xf numFmtId="172" fontId="27" fillId="0" borderId="13" xfId="1" applyNumberFormat="1" applyFont="1" applyBorder="1" applyAlignment="1">
      <alignment horizontal="center" vertical="center"/>
    </xf>
    <xf numFmtId="43" fontId="0" fillId="8" borderId="19" xfId="1" applyFont="1" applyFill="1" applyBorder="1"/>
    <xf numFmtId="43" fontId="0" fillId="8" borderId="20" xfId="1" applyFont="1" applyFill="1" applyBorder="1"/>
    <xf numFmtId="43" fontId="0" fillId="8" borderId="10" xfId="1" applyFont="1" applyFill="1" applyBorder="1"/>
    <xf numFmtId="43" fontId="0" fillId="8" borderId="27" xfId="1" applyFont="1" applyFill="1" applyBorder="1"/>
    <xf numFmtId="43" fontId="4" fillId="8" borderId="19" xfId="1" applyFont="1" applyFill="1" applyBorder="1"/>
    <xf numFmtId="43" fontId="0" fillId="8" borderId="8" xfId="1" applyFont="1" applyFill="1" applyBorder="1"/>
    <xf numFmtId="43" fontId="26" fillId="8" borderId="10" xfId="1" applyFont="1" applyFill="1" applyBorder="1"/>
    <xf numFmtId="43" fontId="26" fillId="8" borderId="13" xfId="1" applyFont="1" applyFill="1" applyBorder="1"/>
    <xf numFmtId="43" fontId="24" fillId="8" borderId="10" xfId="1" applyFont="1" applyFill="1" applyBorder="1"/>
    <xf numFmtId="43" fontId="26" fillId="8" borderId="20" xfId="1" applyFont="1" applyFill="1" applyBorder="1"/>
    <xf numFmtId="43" fontId="24" fillId="8" borderId="27" xfId="1" applyFont="1" applyFill="1" applyBorder="1"/>
    <xf numFmtId="43" fontId="24" fillId="8" borderId="13" xfId="1" applyFont="1" applyFill="1" applyBorder="1"/>
    <xf numFmtId="43" fontId="10" fillId="5" borderId="0" xfId="1" applyNumberFormat="1" applyFont="1" applyFill="1" applyBorder="1"/>
    <xf numFmtId="172" fontId="6" fillId="0" borderId="0" xfId="0" applyNumberFormat="1" applyFont="1" applyAlignment="1">
      <alignment horizontal="center" vertical="center"/>
    </xf>
    <xf numFmtId="43" fontId="6" fillId="0" borderId="0" xfId="0" applyNumberFormat="1" applyFont="1" applyAlignment="1">
      <alignment horizontal="center" vertical="center"/>
    </xf>
    <xf numFmtId="0" fontId="9" fillId="12" borderId="0" xfId="0" applyFont="1" applyFill="1" applyBorder="1"/>
    <xf numFmtId="0" fontId="9" fillId="2" borderId="0" xfId="0" applyFont="1" applyFill="1" applyBorder="1"/>
    <xf numFmtId="197" fontId="9" fillId="8" borderId="9" xfId="1" applyNumberFormat="1" applyFont="1" applyFill="1" applyBorder="1"/>
    <xf numFmtId="43" fontId="9" fillId="8" borderId="9" xfId="1" applyNumberFormat="1" applyFont="1" applyFill="1" applyBorder="1"/>
    <xf numFmtId="43" fontId="19" fillId="8" borderId="0" xfId="1" applyFont="1" applyFill="1" applyBorder="1" applyAlignment="1">
      <alignment horizontal="left" indent="1"/>
    </xf>
    <xf numFmtId="43" fontId="10" fillId="5" borderId="9" xfId="1" applyNumberFormat="1" applyFont="1" applyFill="1" applyBorder="1"/>
    <xf numFmtId="43" fontId="10" fillId="12" borderId="7" xfId="1" applyNumberFormat="1" applyFont="1" applyFill="1" applyBorder="1"/>
    <xf numFmtId="43" fontId="13" fillId="124" borderId="9" xfId="1" applyNumberFormat="1" applyFont="1" applyFill="1" applyBorder="1"/>
    <xf numFmtId="43" fontId="13" fillId="124" borderId="9" xfId="1" applyFont="1" applyFill="1" applyBorder="1"/>
    <xf numFmtId="9" fontId="19" fillId="110" borderId="0" xfId="2" applyNumberFormat="1" applyFont="1" applyFill="1" applyBorder="1"/>
    <xf numFmtId="0" fontId="164" fillId="8" borderId="0" xfId="0" applyFont="1" applyFill="1"/>
    <xf numFmtId="43" fontId="9" fillId="26" borderId="0" xfId="0" applyNumberFormat="1" applyFont="1" applyFill="1" applyBorder="1"/>
    <xf numFmtId="43" fontId="13" fillId="124" borderId="11" xfId="1" applyFont="1" applyFill="1" applyBorder="1"/>
    <xf numFmtId="0" fontId="206" fillId="0" borderId="0" xfId="4111" applyFont="1"/>
    <xf numFmtId="168" fontId="207" fillId="112" borderId="14" xfId="4111" applyNumberFormat="1" applyFont="1" applyFill="1" applyBorder="1" applyAlignment="1">
      <alignment horizontal="center" vertical="center"/>
    </xf>
    <xf numFmtId="168" fontId="207" fillId="112" borderId="5" xfId="4111" applyNumberFormat="1" applyFont="1" applyFill="1" applyBorder="1" applyAlignment="1">
      <alignment horizontal="center" vertical="center"/>
    </xf>
    <xf numFmtId="168" fontId="207" fillId="112" borderId="15" xfId="4111" applyNumberFormat="1" applyFont="1" applyFill="1" applyBorder="1" applyAlignment="1">
      <alignment horizontal="center" vertical="center"/>
    </xf>
    <xf numFmtId="0" fontId="208" fillId="0" borderId="0" xfId="4111" applyFont="1"/>
    <xf numFmtId="0" fontId="208" fillId="0" borderId="9" xfId="4111" applyFont="1" applyBorder="1"/>
    <xf numFmtId="0" fontId="208" fillId="0" borderId="3" xfId="4111" applyFont="1" applyBorder="1" applyAlignment="1">
      <alignment horizontal="center"/>
    </xf>
    <xf numFmtId="43" fontId="208" fillId="0" borderId="0" xfId="4112" applyFont="1" applyBorder="1"/>
    <xf numFmtId="43" fontId="209" fillId="0" borderId="3" xfId="4111" applyNumberFormat="1" applyFont="1" applyBorder="1"/>
    <xf numFmtId="0" fontId="210" fillId="5" borderId="9" xfId="4111" applyFont="1" applyFill="1" applyBorder="1"/>
    <xf numFmtId="0" fontId="210" fillId="5" borderId="3" xfId="4111" applyFont="1" applyFill="1" applyBorder="1" applyAlignment="1">
      <alignment horizontal="center"/>
    </xf>
    <xf numFmtId="43" fontId="210" fillId="5" borderId="0" xfId="4112" applyFont="1" applyFill="1" applyBorder="1"/>
    <xf numFmtId="43" fontId="28" fillId="5" borderId="3" xfId="4111" applyNumberFormat="1" applyFont="1" applyFill="1" applyBorder="1"/>
    <xf numFmtId="0" fontId="210" fillId="5" borderId="11" xfId="4111" applyFont="1" applyFill="1" applyBorder="1"/>
    <xf numFmtId="0" fontId="210" fillId="5" borderId="4" xfId="4111" applyFont="1" applyFill="1" applyBorder="1" applyAlignment="1">
      <alignment horizontal="center"/>
    </xf>
    <xf numFmtId="43" fontId="210" fillId="5" borderId="12" xfId="4112" applyFont="1" applyFill="1" applyBorder="1"/>
    <xf numFmtId="43" fontId="28" fillId="5" borderId="4" xfId="4111" applyNumberFormat="1" applyFont="1" applyFill="1" applyBorder="1"/>
    <xf numFmtId="0" fontId="208" fillId="0" borderId="11" xfId="4111" applyFont="1" applyBorder="1"/>
    <xf numFmtId="0" fontId="208" fillId="0" borderId="4" xfId="4111" applyFont="1" applyBorder="1" applyAlignment="1">
      <alignment horizontal="center"/>
    </xf>
    <xf numFmtId="43" fontId="208" fillId="0" borderId="12" xfId="4112" applyFont="1" applyBorder="1"/>
    <xf numFmtId="43" fontId="209" fillId="0" borderId="4" xfId="4111" applyNumberFormat="1" applyFont="1" applyBorder="1"/>
    <xf numFmtId="43" fontId="211" fillId="12" borderId="0" xfId="4112" applyFont="1" applyFill="1" applyBorder="1"/>
    <xf numFmtId="43" fontId="209" fillId="12" borderId="3" xfId="4112" applyFont="1" applyFill="1" applyBorder="1"/>
    <xf numFmtId="43" fontId="209" fillId="0" borderId="3" xfId="4112" applyFont="1" applyBorder="1"/>
    <xf numFmtId="43" fontId="28" fillId="12" borderId="3" xfId="4112" applyFont="1" applyFill="1" applyBorder="1"/>
    <xf numFmtId="43" fontId="28" fillId="5" borderId="4" xfId="4112" applyFont="1" applyFill="1" applyBorder="1"/>
    <xf numFmtId="43" fontId="208" fillId="4" borderId="0" xfId="4112" applyFont="1" applyFill="1" applyBorder="1"/>
    <xf numFmtId="43" fontId="209" fillId="4" borderId="3" xfId="4112" applyFont="1" applyFill="1" applyBorder="1"/>
    <xf numFmtId="43" fontId="209" fillId="0" borderId="4" xfId="4112" applyFont="1" applyBorder="1"/>
    <xf numFmtId="0" fontId="208" fillId="0" borderId="0" xfId="4111" applyFont="1" applyAlignment="1">
      <alignment horizontal="center"/>
    </xf>
    <xf numFmtId="0" fontId="6" fillId="26" borderId="0" xfId="0" applyFont="1" applyFill="1" applyBorder="1" applyAlignment="1">
      <alignment horizontal="right"/>
    </xf>
    <xf numFmtId="0" fontId="6" fillId="26" borderId="0" xfId="0" applyFont="1" applyFill="1" applyBorder="1" applyAlignment="1">
      <alignment horizontal="center"/>
    </xf>
    <xf numFmtId="9" fontId="208" fillId="0" borderId="0" xfId="4111" applyNumberFormat="1" applyFont="1"/>
    <xf numFmtId="43" fontId="208" fillId="0" borderId="0" xfId="4111" applyNumberFormat="1" applyFont="1"/>
    <xf numFmtId="168" fontId="207" fillId="12" borderId="15" xfId="4111" applyNumberFormat="1" applyFont="1" applyFill="1" applyBorder="1" applyAlignment="1">
      <alignment horizontal="center" vertical="center"/>
    </xf>
    <xf numFmtId="43" fontId="0" fillId="0" borderId="0" xfId="0" applyNumberFormat="1"/>
    <xf numFmtId="172" fontId="26" fillId="18" borderId="0" xfId="1" applyNumberFormat="1" applyFont="1" applyFill="1"/>
    <xf numFmtId="0" fontId="7" fillId="109" borderId="0" xfId="0" applyFont="1" applyFill="1" applyBorder="1" applyAlignment="1">
      <alignment horizontal="center"/>
    </xf>
    <xf numFmtId="0" fontId="6" fillId="109" borderId="0" xfId="0" applyFont="1" applyFill="1" applyBorder="1" applyAlignment="1">
      <alignment horizontal="center"/>
    </xf>
    <xf numFmtId="43" fontId="7" fillId="109" borderId="0" xfId="0" applyNumberFormat="1" applyFont="1" applyFill="1" applyBorder="1"/>
    <xf numFmtId="3" fontId="180" fillId="117" borderId="61" xfId="131" applyNumberFormat="1" applyFont="1" applyFill="1" applyBorder="1" applyAlignment="1">
      <alignment vertical="center"/>
    </xf>
    <xf numFmtId="3" fontId="205" fillId="0" borderId="59" xfId="131" applyNumberFormat="1" applyFont="1" applyBorder="1" applyAlignment="1">
      <alignment vertical="center"/>
    </xf>
    <xf numFmtId="43" fontId="26" fillId="111" borderId="0" xfId="1" applyFont="1" applyFill="1" applyBorder="1"/>
    <xf numFmtId="0" fontId="0" fillId="8" borderId="0" xfId="0" applyFill="1" applyBorder="1" applyAlignment="1">
      <alignment horizontal="center"/>
    </xf>
    <xf numFmtId="43" fontId="4" fillId="8" borderId="0" xfId="1" applyNumberFormat="1" applyFont="1" applyFill="1" applyBorder="1"/>
    <xf numFmtId="43" fontId="4" fillId="124" borderId="0" xfId="1" applyNumberFormat="1" applyFont="1" applyFill="1" applyBorder="1"/>
    <xf numFmtId="43" fontId="4" fillId="113" borderId="0" xfId="1" applyNumberFormat="1" applyFont="1" applyFill="1" applyBorder="1"/>
    <xf numFmtId="43" fontId="207" fillId="17" borderId="3" xfId="1" applyFont="1" applyFill="1" applyBorder="1" applyAlignment="1">
      <alignment horizontal="center" vertical="center"/>
    </xf>
    <xf numFmtId="172" fontId="27" fillId="8" borderId="0" xfId="0" applyNumberFormat="1" applyFont="1" applyFill="1"/>
    <xf numFmtId="0" fontId="6" fillId="13" borderId="3" xfId="0" applyFont="1" applyFill="1" applyBorder="1" applyAlignment="1">
      <alignment horizontal="center" vertical="center"/>
    </xf>
    <xf numFmtId="0" fontId="19" fillId="112" borderId="0" xfId="0" applyFont="1" applyFill="1" applyBorder="1"/>
    <xf numFmtId="0" fontId="19" fillId="112" borderId="0" xfId="0" applyFont="1" applyFill="1" applyBorder="1" applyAlignment="1">
      <alignment horizontal="center"/>
    </xf>
    <xf numFmtId="0" fontId="213" fillId="8" borderId="0" xfId="0" applyFont="1" applyFill="1" applyBorder="1" applyAlignment="1">
      <alignment horizontal="center"/>
    </xf>
    <xf numFmtId="172" fontId="160" fillId="8" borderId="0" xfId="1" applyNumberFormat="1" applyFont="1" applyFill="1" applyBorder="1"/>
    <xf numFmtId="172" fontId="180" fillId="8" borderId="0" xfId="1" applyNumberFormat="1" applyFont="1" applyFill="1" applyBorder="1"/>
    <xf numFmtId="173" fontId="213" fillId="8" borderId="0" xfId="1" applyNumberFormat="1" applyFont="1" applyFill="1" applyBorder="1"/>
    <xf numFmtId="0" fontId="160" fillId="8" borderId="0" xfId="0" applyFont="1" applyFill="1" applyBorder="1"/>
    <xf numFmtId="172" fontId="5" fillId="22" borderId="0" xfId="1" applyNumberFormat="1" applyFont="1" applyFill="1" applyBorder="1"/>
    <xf numFmtId="172" fontId="27" fillId="124" borderId="0" xfId="1" applyNumberFormat="1" applyFont="1" applyFill="1" applyBorder="1"/>
    <xf numFmtId="172" fontId="27" fillId="0" borderId="0" xfId="1" applyNumberFormat="1" applyFont="1" applyFill="1" applyBorder="1"/>
    <xf numFmtId="172" fontId="27" fillId="8" borderId="14" xfId="1" applyNumberFormat="1" applyFont="1" applyFill="1" applyBorder="1"/>
    <xf numFmtId="172" fontId="27" fillId="8" borderId="15" xfId="1" applyNumberFormat="1" applyFont="1" applyFill="1" applyBorder="1"/>
    <xf numFmtId="172" fontId="27" fillId="8" borderId="1" xfId="1" applyNumberFormat="1" applyFont="1" applyFill="1" applyBorder="1"/>
    <xf numFmtId="173" fontId="213" fillId="117" borderId="0" xfId="1" applyNumberFormat="1" applyFont="1" applyFill="1" applyBorder="1"/>
    <xf numFmtId="173" fontId="213" fillId="124" borderId="0" xfId="1" applyNumberFormat="1" applyFont="1" applyFill="1" applyBorder="1"/>
    <xf numFmtId="172" fontId="27" fillId="117" borderId="0" xfId="1" applyNumberFormat="1" applyFont="1" applyFill="1" applyBorder="1"/>
    <xf numFmtId="0" fontId="191" fillId="118" borderId="0" xfId="0" applyFont="1" applyFill="1" applyAlignment="1">
      <alignment horizontal="center"/>
    </xf>
    <xf numFmtId="0" fontId="9" fillId="12" borderId="0" xfId="0" applyFont="1" applyFill="1" applyBorder="1" applyAlignment="1">
      <alignment horizontal="center" wrapText="1"/>
    </xf>
    <xf numFmtId="0" fontId="9" fillId="8" borderId="0" xfId="0" applyFont="1" applyFill="1" applyBorder="1" applyAlignment="1">
      <alignment horizontal="center"/>
    </xf>
    <xf numFmtId="170" fontId="0" fillId="8" borderId="0" xfId="0" applyNumberFormat="1" applyFill="1" applyBorder="1" applyAlignment="1">
      <alignment horizontal="center"/>
    </xf>
    <xf numFmtId="0" fontId="0" fillId="8" borderId="0" xfId="0" applyFill="1" applyBorder="1" applyAlignment="1">
      <alignment horizontal="center"/>
    </xf>
    <xf numFmtId="170" fontId="0" fillId="8" borderId="12" xfId="0" applyNumberFormat="1" applyFill="1" applyBorder="1" applyAlignment="1">
      <alignment horizontal="center"/>
    </xf>
    <xf numFmtId="0" fontId="0" fillId="8" borderId="12" xfId="0" applyFill="1" applyBorder="1" applyAlignment="1">
      <alignment horizontal="center"/>
    </xf>
    <xf numFmtId="0" fontId="0" fillId="8" borderId="10" xfId="0" applyFill="1" applyBorder="1" applyAlignment="1">
      <alignment horizontal="center"/>
    </xf>
    <xf numFmtId="170" fontId="0" fillId="8" borderId="10" xfId="0" applyNumberFormat="1" applyFill="1" applyBorder="1" applyAlignment="1">
      <alignment horizontal="center"/>
    </xf>
    <xf numFmtId="0" fontId="18" fillId="7" borderId="6" xfId="0" applyFont="1" applyFill="1" applyBorder="1" applyAlignment="1">
      <alignment horizontal="center"/>
    </xf>
    <xf numFmtId="0" fontId="18" fillId="7" borderId="7"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8" fillId="7" borderId="14" xfId="0" applyFont="1" applyFill="1" applyBorder="1" applyAlignment="1">
      <alignment horizontal="center"/>
    </xf>
    <xf numFmtId="0" fontId="18" fillId="7" borderId="15" xfId="0" applyFont="1" applyFill="1" applyBorder="1" applyAlignment="1">
      <alignment horizontal="center"/>
    </xf>
    <xf numFmtId="0" fontId="18" fillId="7" borderId="8" xfId="0" applyFont="1" applyFill="1" applyBorder="1" applyAlignment="1">
      <alignment horizontal="center"/>
    </xf>
    <xf numFmtId="0" fontId="18" fillId="24" borderId="14" xfId="0" applyFont="1" applyFill="1" applyBorder="1" applyAlignment="1">
      <alignment horizontal="center"/>
    </xf>
    <xf numFmtId="0" fontId="18" fillId="24" borderId="15" xfId="0" applyFont="1" applyFill="1" applyBorder="1" applyAlignment="1">
      <alignment horizontal="center"/>
    </xf>
    <xf numFmtId="172" fontId="25" fillId="116" borderId="0" xfId="1" applyNumberFormat="1" applyFont="1" applyFill="1" applyAlignment="1">
      <alignment horizontal="center" wrapText="1"/>
    </xf>
    <xf numFmtId="0" fontId="0" fillId="8" borderId="13" xfId="0"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0" fontId="164" fillId="8" borderId="0" xfId="0" applyFont="1" applyFill="1" applyBorder="1" applyAlignment="1">
      <alignment horizontal="center"/>
    </xf>
    <xf numFmtId="0" fontId="164" fillId="8" borderId="10" xfId="0" applyFont="1" applyFill="1" applyBorder="1" applyAlignment="1">
      <alignment horizontal="center"/>
    </xf>
    <xf numFmtId="170" fontId="0" fillId="8" borderId="13" xfId="0" applyNumberFormat="1" applyFill="1" applyBorder="1" applyAlignment="1">
      <alignment horizontal="center"/>
    </xf>
    <xf numFmtId="0" fontId="6" fillId="8" borderId="13" xfId="0" applyFont="1" applyFill="1" applyBorder="1" applyAlignment="1">
      <alignment horizontal="center"/>
    </xf>
    <xf numFmtId="0" fontId="6" fillId="12" borderId="14" xfId="0" applyFont="1" applyFill="1" applyBorder="1" applyAlignment="1">
      <alignment horizontal="center" vertical="center"/>
    </xf>
    <xf numFmtId="0" fontId="6" fillId="12" borderId="1" xfId="0" applyFont="1" applyFill="1" applyBorder="1" applyAlignment="1">
      <alignment horizontal="center" vertical="center"/>
    </xf>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0" fontId="6" fillId="21" borderId="2" xfId="0" applyFont="1" applyFill="1" applyBorder="1" applyAlignment="1">
      <alignment horizontal="center" vertical="center"/>
    </xf>
    <xf numFmtId="0" fontId="6" fillId="21" borderId="4" xfId="0" applyFont="1" applyFill="1" applyBorder="1" applyAlignment="1">
      <alignment horizontal="center" vertical="center"/>
    </xf>
    <xf numFmtId="0" fontId="196" fillId="121" borderId="28" xfId="131" applyFont="1" applyFill="1" applyBorder="1" applyAlignment="1">
      <alignment vertical="center" wrapText="1"/>
    </xf>
    <xf numFmtId="171" fontId="0" fillId="0" borderId="28" xfId="1" applyNumberFormat="1" applyFont="1" applyBorder="1" applyAlignment="1">
      <alignment horizontal="center" vertical="center"/>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171" fontId="6" fillId="0" borderId="28" xfId="1" applyNumberFormat="1" applyFont="1" applyBorder="1" applyAlignment="1">
      <alignment horizontal="center" vertical="center"/>
    </xf>
    <xf numFmtId="43" fontId="27" fillId="4" borderId="9" xfId="1" applyFont="1" applyFill="1" applyBorder="1" applyAlignment="1">
      <alignment horizontal="center" vertical="center"/>
    </xf>
    <xf numFmtId="43" fontId="27" fillId="4" borderId="3" xfId="1" applyFont="1" applyFill="1" applyBorder="1" applyAlignment="1">
      <alignment horizontal="center" vertical="center"/>
    </xf>
    <xf numFmtId="43" fontId="27" fillId="18" borderId="3" xfId="1" applyFont="1" applyFill="1" applyBorder="1" applyAlignment="1">
      <alignment horizontal="center" vertical="center"/>
    </xf>
    <xf numFmtId="43" fontId="27" fillId="18" borderId="10" xfId="1" applyFont="1" applyFill="1" applyBorder="1" applyAlignment="1">
      <alignment horizontal="center" vertical="center"/>
    </xf>
    <xf numFmtId="43" fontId="27" fillId="18" borderId="0" xfId="1" applyFont="1" applyFill="1" applyBorder="1" applyAlignment="1">
      <alignment horizontal="center" vertical="center"/>
    </xf>
    <xf numFmtId="43" fontId="31" fillId="18" borderId="3" xfId="1" applyFont="1" applyFill="1" applyBorder="1" applyAlignment="1">
      <alignment horizontal="center" vertical="center"/>
    </xf>
    <xf numFmtId="43" fontId="5" fillId="18" borderId="3" xfId="1" applyFont="1" applyFill="1" applyBorder="1" applyAlignment="1">
      <alignment horizontal="center" vertical="center"/>
    </xf>
    <xf numFmtId="43" fontId="28" fillId="19" borderId="3" xfId="1" applyFont="1" applyFill="1" applyBorder="1" applyAlignment="1">
      <alignment horizontal="center" vertical="center"/>
    </xf>
    <xf numFmtId="43" fontId="29" fillId="19" borderId="3" xfId="1" applyFont="1" applyFill="1" applyBorder="1" applyAlignment="1">
      <alignment horizontal="center" vertical="center"/>
    </xf>
    <xf numFmtId="43" fontId="29" fillId="20" borderId="3" xfId="1" applyFont="1" applyFill="1" applyBorder="1" applyAlignment="1">
      <alignment horizontal="center" vertical="center"/>
    </xf>
  </cellXfs>
  <cellStyles count="4113">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76" xfId="4112" xr:uid="{00000000-0005-0000-0000-000055090000}"/>
    <cellStyle name="Comma 8" xfId="237" xr:uid="{00000000-0005-0000-0000-000056090000}"/>
    <cellStyle name="Comma 8 2" xfId="312" xr:uid="{00000000-0005-0000-0000-000057090000}"/>
    <cellStyle name="Comma 8 2 2" xfId="3083" xr:uid="{00000000-0005-0000-0000-000058090000}"/>
    <cellStyle name="Comma 8 3" xfId="1217" xr:uid="{00000000-0005-0000-0000-000059090000}"/>
    <cellStyle name="Comma 8 4" xfId="3082" xr:uid="{00000000-0005-0000-0000-00005A090000}"/>
    <cellStyle name="Comma 8 5" xfId="4078" xr:uid="{00000000-0005-0000-0000-00005B090000}"/>
    <cellStyle name="Comma 8 6" xfId="4089" xr:uid="{00000000-0005-0000-0000-00005C090000}"/>
    <cellStyle name="Comma 8 7" xfId="4095" xr:uid="{00000000-0005-0000-0000-00005D090000}"/>
    <cellStyle name="Comma 8 8" xfId="4102" xr:uid="{00000000-0005-0000-0000-00005E090000}"/>
    <cellStyle name="Comma 9" xfId="227" xr:uid="{00000000-0005-0000-0000-00005F090000}"/>
    <cellStyle name="Comma 9 2" xfId="313" xr:uid="{00000000-0005-0000-0000-000060090000}"/>
    <cellStyle name="Comma 9 3" xfId="1218" xr:uid="{00000000-0005-0000-0000-000061090000}"/>
    <cellStyle name="comma zerodec" xfId="95" xr:uid="{00000000-0005-0000-0000-000062090000}"/>
    <cellStyle name="comma zerodec 2" xfId="166" xr:uid="{00000000-0005-0000-0000-000063090000}"/>
    <cellStyle name="comma zerodec 2 2" xfId="3084" xr:uid="{00000000-0005-0000-0000-000064090000}"/>
    <cellStyle name="comma zerodec 3" xfId="3085" xr:uid="{00000000-0005-0000-0000-000065090000}"/>
    <cellStyle name="comma zerodec 4" xfId="3086" xr:uid="{00000000-0005-0000-0000-000066090000}"/>
    <cellStyle name="Curren - Style3" xfId="314" xr:uid="{00000000-0005-0000-0000-000067090000}"/>
    <cellStyle name="Curren - Style4" xfId="315" xr:uid="{00000000-0005-0000-0000-000068090000}"/>
    <cellStyle name="Currency 2" xfId="1222" xr:uid="{00000000-0005-0000-0000-000069090000}"/>
    <cellStyle name="Currency1" xfId="96" xr:uid="{00000000-0005-0000-0000-00006A090000}"/>
    <cellStyle name="Currency1 2" xfId="167" xr:uid="{00000000-0005-0000-0000-00006B090000}"/>
    <cellStyle name="Days" xfId="3087" xr:uid="{00000000-0005-0000-0000-00006C090000}"/>
    <cellStyle name="Dollar (zero dec)" xfId="97" xr:uid="{00000000-0005-0000-0000-00006D090000}"/>
    <cellStyle name="Dollar (zero dec) 2" xfId="168" xr:uid="{00000000-0005-0000-0000-00006E090000}"/>
    <cellStyle name="Emphasis 1" xfId="1225" xr:uid="{00000000-0005-0000-0000-00006F090000}"/>
    <cellStyle name="Emphasis 2" xfId="1226" xr:uid="{00000000-0005-0000-0000-000070090000}"/>
    <cellStyle name="Emphasis 3" xfId="1227" xr:uid="{00000000-0005-0000-0000-000071090000}"/>
    <cellStyle name="Explanatory Text 10" xfId="3088" xr:uid="{00000000-0005-0000-0000-000072090000}"/>
    <cellStyle name="Explanatory Text 11" xfId="3089" xr:uid="{00000000-0005-0000-0000-000073090000}"/>
    <cellStyle name="Explanatory Text 12" xfId="3090" xr:uid="{00000000-0005-0000-0000-000074090000}"/>
    <cellStyle name="Explanatory Text 13" xfId="3091" xr:uid="{00000000-0005-0000-0000-000075090000}"/>
    <cellStyle name="Explanatory Text 14" xfId="3092" xr:uid="{00000000-0005-0000-0000-000076090000}"/>
    <cellStyle name="Explanatory Text 15" xfId="3093" xr:uid="{00000000-0005-0000-0000-000077090000}"/>
    <cellStyle name="Explanatory Text 16" xfId="98" xr:uid="{00000000-0005-0000-0000-000078090000}"/>
    <cellStyle name="Explanatory Text 2" xfId="99" xr:uid="{00000000-0005-0000-0000-000079090000}"/>
    <cellStyle name="Explanatory Text 2 10" xfId="3095" xr:uid="{00000000-0005-0000-0000-00007A090000}"/>
    <cellStyle name="Explanatory Text 2 11" xfId="3096" xr:uid="{00000000-0005-0000-0000-00007B090000}"/>
    <cellStyle name="Explanatory Text 2 12" xfId="3094" xr:uid="{00000000-0005-0000-0000-00007C090000}"/>
    <cellStyle name="Explanatory Text 2 2" xfId="1228" xr:uid="{00000000-0005-0000-0000-00007D090000}"/>
    <cellStyle name="Explanatory Text 2 2 2" xfId="3097" xr:uid="{00000000-0005-0000-0000-00007E090000}"/>
    <cellStyle name="Explanatory Text 2 3" xfId="3098" xr:uid="{00000000-0005-0000-0000-00007F090000}"/>
    <cellStyle name="Explanatory Text 2 4" xfId="3099" xr:uid="{00000000-0005-0000-0000-000080090000}"/>
    <cellStyle name="Explanatory Text 2 5" xfId="3100" xr:uid="{00000000-0005-0000-0000-000081090000}"/>
    <cellStyle name="Explanatory Text 2 6" xfId="3101" xr:uid="{00000000-0005-0000-0000-000082090000}"/>
    <cellStyle name="Explanatory Text 2 7" xfId="3102" xr:uid="{00000000-0005-0000-0000-000083090000}"/>
    <cellStyle name="Explanatory Text 2 8" xfId="3103" xr:uid="{00000000-0005-0000-0000-000084090000}"/>
    <cellStyle name="Explanatory Text 2 9" xfId="3104" xr:uid="{00000000-0005-0000-0000-000085090000}"/>
    <cellStyle name="Explanatory Text 3" xfId="100" xr:uid="{00000000-0005-0000-0000-000086090000}"/>
    <cellStyle name="Explanatory Text 3 10" xfId="3106" xr:uid="{00000000-0005-0000-0000-000087090000}"/>
    <cellStyle name="Explanatory Text 3 11" xfId="3107" xr:uid="{00000000-0005-0000-0000-000088090000}"/>
    <cellStyle name="Explanatory Text 3 12" xfId="3105" xr:uid="{00000000-0005-0000-0000-000089090000}"/>
    <cellStyle name="Explanatory Text 3 2" xfId="3108" xr:uid="{00000000-0005-0000-0000-00008A090000}"/>
    <cellStyle name="Explanatory Text 3 3" xfId="3109" xr:uid="{00000000-0005-0000-0000-00008B090000}"/>
    <cellStyle name="Explanatory Text 3 4" xfId="3110" xr:uid="{00000000-0005-0000-0000-00008C090000}"/>
    <cellStyle name="Explanatory Text 3 5" xfId="3111" xr:uid="{00000000-0005-0000-0000-00008D090000}"/>
    <cellStyle name="Explanatory Text 3 6" xfId="3112" xr:uid="{00000000-0005-0000-0000-00008E090000}"/>
    <cellStyle name="Explanatory Text 3 7" xfId="3113" xr:uid="{00000000-0005-0000-0000-00008F090000}"/>
    <cellStyle name="Explanatory Text 3 8" xfId="3114" xr:uid="{00000000-0005-0000-0000-000090090000}"/>
    <cellStyle name="Explanatory Text 3 9" xfId="3115" xr:uid="{00000000-0005-0000-0000-000091090000}"/>
    <cellStyle name="Explanatory Text 4" xfId="3116" xr:uid="{00000000-0005-0000-0000-000092090000}"/>
    <cellStyle name="Explanatory Text 4 10" xfId="3117" xr:uid="{00000000-0005-0000-0000-000093090000}"/>
    <cellStyle name="Explanatory Text 4 11" xfId="3118" xr:uid="{00000000-0005-0000-0000-000094090000}"/>
    <cellStyle name="Explanatory Text 4 2" xfId="3119" xr:uid="{00000000-0005-0000-0000-000095090000}"/>
    <cellStyle name="Explanatory Text 4 3" xfId="3120" xr:uid="{00000000-0005-0000-0000-000096090000}"/>
    <cellStyle name="Explanatory Text 4 4" xfId="3121" xr:uid="{00000000-0005-0000-0000-000097090000}"/>
    <cellStyle name="Explanatory Text 4 5" xfId="3122" xr:uid="{00000000-0005-0000-0000-000098090000}"/>
    <cellStyle name="Explanatory Text 4 6" xfId="3123" xr:uid="{00000000-0005-0000-0000-000099090000}"/>
    <cellStyle name="Explanatory Text 4 7" xfId="3124" xr:uid="{00000000-0005-0000-0000-00009A090000}"/>
    <cellStyle name="Explanatory Text 4 8" xfId="3125" xr:uid="{00000000-0005-0000-0000-00009B090000}"/>
    <cellStyle name="Explanatory Text 4 9" xfId="3126" xr:uid="{00000000-0005-0000-0000-00009C090000}"/>
    <cellStyle name="Explanatory Text 5" xfId="3127" xr:uid="{00000000-0005-0000-0000-00009D090000}"/>
    <cellStyle name="Explanatory Text 5 10" xfId="3128" xr:uid="{00000000-0005-0000-0000-00009E090000}"/>
    <cellStyle name="Explanatory Text 5 11" xfId="3129" xr:uid="{00000000-0005-0000-0000-00009F090000}"/>
    <cellStyle name="Explanatory Text 5 2" xfId="3130" xr:uid="{00000000-0005-0000-0000-0000A0090000}"/>
    <cellStyle name="Explanatory Text 5 3" xfId="3131" xr:uid="{00000000-0005-0000-0000-0000A1090000}"/>
    <cellStyle name="Explanatory Text 5 4" xfId="3132" xr:uid="{00000000-0005-0000-0000-0000A2090000}"/>
    <cellStyle name="Explanatory Text 5 5" xfId="3133" xr:uid="{00000000-0005-0000-0000-0000A3090000}"/>
    <cellStyle name="Explanatory Text 5 6" xfId="3134" xr:uid="{00000000-0005-0000-0000-0000A4090000}"/>
    <cellStyle name="Explanatory Text 5 7" xfId="3135" xr:uid="{00000000-0005-0000-0000-0000A5090000}"/>
    <cellStyle name="Explanatory Text 5 8" xfId="3136" xr:uid="{00000000-0005-0000-0000-0000A6090000}"/>
    <cellStyle name="Explanatory Text 5 9" xfId="3137" xr:uid="{00000000-0005-0000-0000-0000A7090000}"/>
    <cellStyle name="Explanatory Text 6" xfId="3138" xr:uid="{00000000-0005-0000-0000-0000A8090000}"/>
    <cellStyle name="Explanatory Text 7" xfId="3139" xr:uid="{00000000-0005-0000-0000-0000A9090000}"/>
    <cellStyle name="Explanatory Text 8" xfId="3140" xr:uid="{00000000-0005-0000-0000-0000AA090000}"/>
    <cellStyle name="Explanatory Text 9" xfId="3141" xr:uid="{00000000-0005-0000-0000-0000AB090000}"/>
    <cellStyle name="Good 10" xfId="3142" xr:uid="{00000000-0005-0000-0000-0000AC090000}"/>
    <cellStyle name="Good 11" xfId="3143" xr:uid="{00000000-0005-0000-0000-0000AD090000}"/>
    <cellStyle name="Good 12" xfId="3144" xr:uid="{00000000-0005-0000-0000-0000AE090000}"/>
    <cellStyle name="Good 13" xfId="3145" xr:uid="{00000000-0005-0000-0000-0000AF090000}"/>
    <cellStyle name="Good 14" xfId="3146" xr:uid="{00000000-0005-0000-0000-0000B0090000}"/>
    <cellStyle name="Good 15" xfId="3147" xr:uid="{00000000-0005-0000-0000-0000B1090000}"/>
    <cellStyle name="Good 16" xfId="101" xr:uid="{00000000-0005-0000-0000-0000B2090000}"/>
    <cellStyle name="Good 2" xfId="102" xr:uid="{00000000-0005-0000-0000-0000B3090000}"/>
    <cellStyle name="Good 2 10" xfId="3149" xr:uid="{00000000-0005-0000-0000-0000B4090000}"/>
    <cellStyle name="Good 2 11" xfId="3150" xr:uid="{00000000-0005-0000-0000-0000B5090000}"/>
    <cellStyle name="Good 2 12" xfId="3148" xr:uid="{00000000-0005-0000-0000-0000B6090000}"/>
    <cellStyle name="Good 2 2" xfId="1230" xr:uid="{00000000-0005-0000-0000-0000B7090000}"/>
    <cellStyle name="Good 2 2 2" xfId="3151" xr:uid="{00000000-0005-0000-0000-0000B8090000}"/>
    <cellStyle name="Good 2 3" xfId="3152" xr:uid="{00000000-0005-0000-0000-0000B9090000}"/>
    <cellStyle name="Good 2 4" xfId="3153" xr:uid="{00000000-0005-0000-0000-0000BA090000}"/>
    <cellStyle name="Good 2 5" xfId="3154" xr:uid="{00000000-0005-0000-0000-0000BB090000}"/>
    <cellStyle name="Good 2 6" xfId="3155" xr:uid="{00000000-0005-0000-0000-0000BC090000}"/>
    <cellStyle name="Good 2 7" xfId="3156" xr:uid="{00000000-0005-0000-0000-0000BD090000}"/>
    <cellStyle name="Good 2 8" xfId="3157" xr:uid="{00000000-0005-0000-0000-0000BE090000}"/>
    <cellStyle name="Good 2 9" xfId="3158" xr:uid="{00000000-0005-0000-0000-0000BF090000}"/>
    <cellStyle name="Good 3" xfId="103" xr:uid="{00000000-0005-0000-0000-0000C0090000}"/>
    <cellStyle name="Good 3 10" xfId="3160" xr:uid="{00000000-0005-0000-0000-0000C1090000}"/>
    <cellStyle name="Good 3 11" xfId="3161" xr:uid="{00000000-0005-0000-0000-0000C2090000}"/>
    <cellStyle name="Good 3 12" xfId="3159" xr:uid="{00000000-0005-0000-0000-0000C3090000}"/>
    <cellStyle name="Good 3 2" xfId="3162" xr:uid="{00000000-0005-0000-0000-0000C4090000}"/>
    <cellStyle name="Good 3 3" xfId="3163" xr:uid="{00000000-0005-0000-0000-0000C5090000}"/>
    <cellStyle name="Good 3 4" xfId="3164" xr:uid="{00000000-0005-0000-0000-0000C6090000}"/>
    <cellStyle name="Good 3 5" xfId="3165" xr:uid="{00000000-0005-0000-0000-0000C7090000}"/>
    <cellStyle name="Good 3 6" xfId="3166" xr:uid="{00000000-0005-0000-0000-0000C8090000}"/>
    <cellStyle name="Good 3 7" xfId="3167" xr:uid="{00000000-0005-0000-0000-0000C9090000}"/>
    <cellStyle name="Good 3 8" xfId="3168" xr:uid="{00000000-0005-0000-0000-0000CA090000}"/>
    <cellStyle name="Good 3 9" xfId="3169" xr:uid="{00000000-0005-0000-0000-0000CB090000}"/>
    <cellStyle name="Good 4" xfId="1232" xr:uid="{00000000-0005-0000-0000-0000CC090000}"/>
    <cellStyle name="Good 4 10" xfId="3171" xr:uid="{00000000-0005-0000-0000-0000CD090000}"/>
    <cellStyle name="Good 4 11" xfId="3172" xr:uid="{00000000-0005-0000-0000-0000CE090000}"/>
    <cellStyle name="Good 4 12" xfId="3170" xr:uid="{00000000-0005-0000-0000-0000CF090000}"/>
    <cellStyle name="Good 4 2" xfId="3173" xr:uid="{00000000-0005-0000-0000-0000D0090000}"/>
    <cellStyle name="Good 4 3" xfId="3174" xr:uid="{00000000-0005-0000-0000-0000D1090000}"/>
    <cellStyle name="Good 4 4" xfId="3175" xr:uid="{00000000-0005-0000-0000-0000D2090000}"/>
    <cellStyle name="Good 4 5" xfId="3176" xr:uid="{00000000-0005-0000-0000-0000D3090000}"/>
    <cellStyle name="Good 4 6" xfId="3177" xr:uid="{00000000-0005-0000-0000-0000D4090000}"/>
    <cellStyle name="Good 4 7" xfId="3178" xr:uid="{00000000-0005-0000-0000-0000D5090000}"/>
    <cellStyle name="Good 4 8" xfId="3179" xr:uid="{00000000-0005-0000-0000-0000D6090000}"/>
    <cellStyle name="Good 4 9" xfId="3180" xr:uid="{00000000-0005-0000-0000-0000D7090000}"/>
    <cellStyle name="Good 5" xfId="3181" xr:uid="{00000000-0005-0000-0000-0000D8090000}"/>
    <cellStyle name="Good 5 10" xfId="3182" xr:uid="{00000000-0005-0000-0000-0000D9090000}"/>
    <cellStyle name="Good 5 11" xfId="3183" xr:uid="{00000000-0005-0000-0000-0000DA090000}"/>
    <cellStyle name="Good 5 2" xfId="3184" xr:uid="{00000000-0005-0000-0000-0000DB090000}"/>
    <cellStyle name="Good 5 3" xfId="3185" xr:uid="{00000000-0005-0000-0000-0000DC090000}"/>
    <cellStyle name="Good 5 4" xfId="3186" xr:uid="{00000000-0005-0000-0000-0000DD090000}"/>
    <cellStyle name="Good 5 5" xfId="3187" xr:uid="{00000000-0005-0000-0000-0000DE090000}"/>
    <cellStyle name="Good 5 6" xfId="3188" xr:uid="{00000000-0005-0000-0000-0000DF090000}"/>
    <cellStyle name="Good 5 7" xfId="3189" xr:uid="{00000000-0005-0000-0000-0000E0090000}"/>
    <cellStyle name="Good 5 8" xfId="3190" xr:uid="{00000000-0005-0000-0000-0000E1090000}"/>
    <cellStyle name="Good 5 9" xfId="3191" xr:uid="{00000000-0005-0000-0000-0000E2090000}"/>
    <cellStyle name="Good 6" xfId="3192" xr:uid="{00000000-0005-0000-0000-0000E3090000}"/>
    <cellStyle name="Good 7" xfId="3193" xr:uid="{00000000-0005-0000-0000-0000E4090000}"/>
    <cellStyle name="Good 8" xfId="3194" xr:uid="{00000000-0005-0000-0000-0000E5090000}"/>
    <cellStyle name="Good 9" xfId="3195" xr:uid="{00000000-0005-0000-0000-0000E6090000}"/>
    <cellStyle name="Grey" xfId="316" xr:uid="{00000000-0005-0000-0000-0000E7090000}"/>
    <cellStyle name="Head1" xfId="3196" xr:uid="{00000000-0005-0000-0000-0000E8090000}"/>
    <cellStyle name="Head2" xfId="3197" xr:uid="{00000000-0005-0000-0000-0000E9090000}"/>
    <cellStyle name="Header1" xfId="104" xr:uid="{00000000-0005-0000-0000-0000EA090000}"/>
    <cellStyle name="Header2" xfId="105" xr:uid="{00000000-0005-0000-0000-0000EB090000}"/>
    <cellStyle name="Heading" xfId="3198" xr:uid="{00000000-0005-0000-0000-0000EC090000}"/>
    <cellStyle name="Heading 1 10" xfId="3199" xr:uid="{00000000-0005-0000-0000-0000ED090000}"/>
    <cellStyle name="Heading 1 11" xfId="3200" xr:uid="{00000000-0005-0000-0000-0000EE090000}"/>
    <cellStyle name="Heading 1 12" xfId="3201" xr:uid="{00000000-0005-0000-0000-0000EF090000}"/>
    <cellStyle name="Heading 1 13" xfId="3202" xr:uid="{00000000-0005-0000-0000-0000F0090000}"/>
    <cellStyle name="Heading 1 14" xfId="3203" xr:uid="{00000000-0005-0000-0000-0000F1090000}"/>
    <cellStyle name="Heading 1 15" xfId="3204" xr:uid="{00000000-0005-0000-0000-0000F2090000}"/>
    <cellStyle name="Heading 1 16" xfId="106" xr:uid="{00000000-0005-0000-0000-0000F3090000}"/>
    <cellStyle name="Heading 1 2" xfId="107" xr:uid="{00000000-0005-0000-0000-0000F4090000}"/>
    <cellStyle name="Heading 1 2 10" xfId="3206" xr:uid="{00000000-0005-0000-0000-0000F5090000}"/>
    <cellStyle name="Heading 1 2 11" xfId="3207" xr:uid="{00000000-0005-0000-0000-0000F6090000}"/>
    <cellStyle name="Heading 1 2 12" xfId="3205" xr:uid="{00000000-0005-0000-0000-0000F7090000}"/>
    <cellStyle name="Heading 1 2 2" xfId="1236" xr:uid="{00000000-0005-0000-0000-0000F8090000}"/>
    <cellStyle name="Heading 1 2 2 2" xfId="3208" xr:uid="{00000000-0005-0000-0000-0000F9090000}"/>
    <cellStyle name="Heading 1 2 3" xfId="3209" xr:uid="{00000000-0005-0000-0000-0000FA090000}"/>
    <cellStyle name="Heading 1 2 4" xfId="3210" xr:uid="{00000000-0005-0000-0000-0000FB090000}"/>
    <cellStyle name="Heading 1 2 5" xfId="3211" xr:uid="{00000000-0005-0000-0000-0000FC090000}"/>
    <cellStyle name="Heading 1 2 6" xfId="3212" xr:uid="{00000000-0005-0000-0000-0000FD090000}"/>
    <cellStyle name="Heading 1 2 7" xfId="3213" xr:uid="{00000000-0005-0000-0000-0000FE090000}"/>
    <cellStyle name="Heading 1 2 8" xfId="3214" xr:uid="{00000000-0005-0000-0000-0000FF090000}"/>
    <cellStyle name="Heading 1 2 9" xfId="3215" xr:uid="{00000000-0005-0000-0000-0000000A0000}"/>
    <cellStyle name="Heading 1 3" xfId="108" xr:uid="{00000000-0005-0000-0000-0000010A0000}"/>
    <cellStyle name="Heading 1 3 10" xfId="3217" xr:uid="{00000000-0005-0000-0000-0000020A0000}"/>
    <cellStyle name="Heading 1 3 11" xfId="3218" xr:uid="{00000000-0005-0000-0000-0000030A0000}"/>
    <cellStyle name="Heading 1 3 12" xfId="3216" xr:uid="{00000000-0005-0000-0000-0000040A0000}"/>
    <cellStyle name="Heading 1 3 2" xfId="3219" xr:uid="{00000000-0005-0000-0000-0000050A0000}"/>
    <cellStyle name="Heading 1 3 3" xfId="3220" xr:uid="{00000000-0005-0000-0000-0000060A0000}"/>
    <cellStyle name="Heading 1 3 4" xfId="3221" xr:uid="{00000000-0005-0000-0000-0000070A0000}"/>
    <cellStyle name="Heading 1 3 5" xfId="3222" xr:uid="{00000000-0005-0000-0000-0000080A0000}"/>
    <cellStyle name="Heading 1 3 6" xfId="3223" xr:uid="{00000000-0005-0000-0000-0000090A0000}"/>
    <cellStyle name="Heading 1 3 7" xfId="3224" xr:uid="{00000000-0005-0000-0000-00000A0A0000}"/>
    <cellStyle name="Heading 1 3 8" xfId="3225" xr:uid="{00000000-0005-0000-0000-00000B0A0000}"/>
    <cellStyle name="Heading 1 3 9" xfId="3226" xr:uid="{00000000-0005-0000-0000-00000C0A0000}"/>
    <cellStyle name="Heading 1 4" xfId="1238" xr:uid="{00000000-0005-0000-0000-00000D0A0000}"/>
    <cellStyle name="Heading 1 4 10" xfId="3228" xr:uid="{00000000-0005-0000-0000-00000E0A0000}"/>
    <cellStyle name="Heading 1 4 11" xfId="3229" xr:uid="{00000000-0005-0000-0000-00000F0A0000}"/>
    <cellStyle name="Heading 1 4 12" xfId="3227" xr:uid="{00000000-0005-0000-0000-0000100A0000}"/>
    <cellStyle name="Heading 1 4 2" xfId="3230" xr:uid="{00000000-0005-0000-0000-0000110A0000}"/>
    <cellStyle name="Heading 1 4 3" xfId="3231" xr:uid="{00000000-0005-0000-0000-0000120A0000}"/>
    <cellStyle name="Heading 1 4 4" xfId="3232" xr:uid="{00000000-0005-0000-0000-0000130A0000}"/>
    <cellStyle name="Heading 1 4 5" xfId="3233" xr:uid="{00000000-0005-0000-0000-0000140A0000}"/>
    <cellStyle name="Heading 1 4 6" xfId="3234" xr:uid="{00000000-0005-0000-0000-0000150A0000}"/>
    <cellStyle name="Heading 1 4 7" xfId="3235" xr:uid="{00000000-0005-0000-0000-0000160A0000}"/>
    <cellStyle name="Heading 1 4 8" xfId="3236" xr:uid="{00000000-0005-0000-0000-0000170A0000}"/>
    <cellStyle name="Heading 1 4 9" xfId="3237" xr:uid="{00000000-0005-0000-0000-0000180A0000}"/>
    <cellStyle name="Heading 1 5" xfId="3238" xr:uid="{00000000-0005-0000-0000-0000190A0000}"/>
    <cellStyle name="Heading 1 5 10" xfId="3239" xr:uid="{00000000-0005-0000-0000-00001A0A0000}"/>
    <cellStyle name="Heading 1 5 11" xfId="3240" xr:uid="{00000000-0005-0000-0000-00001B0A0000}"/>
    <cellStyle name="Heading 1 5 2" xfId="3241" xr:uid="{00000000-0005-0000-0000-00001C0A0000}"/>
    <cellStyle name="Heading 1 5 3" xfId="3242" xr:uid="{00000000-0005-0000-0000-00001D0A0000}"/>
    <cellStyle name="Heading 1 5 4" xfId="3243" xr:uid="{00000000-0005-0000-0000-00001E0A0000}"/>
    <cellStyle name="Heading 1 5 5" xfId="3244" xr:uid="{00000000-0005-0000-0000-00001F0A0000}"/>
    <cellStyle name="Heading 1 5 6" xfId="3245" xr:uid="{00000000-0005-0000-0000-0000200A0000}"/>
    <cellStyle name="Heading 1 5 7" xfId="3246" xr:uid="{00000000-0005-0000-0000-0000210A0000}"/>
    <cellStyle name="Heading 1 5 8" xfId="3247" xr:uid="{00000000-0005-0000-0000-0000220A0000}"/>
    <cellStyle name="Heading 1 5 9" xfId="3248" xr:uid="{00000000-0005-0000-0000-0000230A0000}"/>
    <cellStyle name="Heading 1 6" xfId="3249" xr:uid="{00000000-0005-0000-0000-0000240A0000}"/>
    <cellStyle name="Heading 1 7" xfId="3250" xr:uid="{00000000-0005-0000-0000-0000250A0000}"/>
    <cellStyle name="Heading 1 8" xfId="3251" xr:uid="{00000000-0005-0000-0000-0000260A0000}"/>
    <cellStyle name="Heading 1 9" xfId="3252" xr:uid="{00000000-0005-0000-0000-0000270A0000}"/>
    <cellStyle name="Heading 2 10" xfId="3253" xr:uid="{00000000-0005-0000-0000-0000280A0000}"/>
    <cellStyle name="Heading 2 11" xfId="3254" xr:uid="{00000000-0005-0000-0000-0000290A0000}"/>
    <cellStyle name="Heading 2 12" xfId="3255" xr:uid="{00000000-0005-0000-0000-00002A0A0000}"/>
    <cellStyle name="Heading 2 13" xfId="3256" xr:uid="{00000000-0005-0000-0000-00002B0A0000}"/>
    <cellStyle name="Heading 2 14" xfId="3257" xr:uid="{00000000-0005-0000-0000-00002C0A0000}"/>
    <cellStyle name="Heading 2 15" xfId="3258" xr:uid="{00000000-0005-0000-0000-00002D0A0000}"/>
    <cellStyle name="Heading 2 16" xfId="109" xr:uid="{00000000-0005-0000-0000-00002E0A0000}"/>
    <cellStyle name="Heading 2 2" xfId="110" xr:uid="{00000000-0005-0000-0000-00002F0A0000}"/>
    <cellStyle name="Heading 2 2 10" xfId="3260" xr:uid="{00000000-0005-0000-0000-0000300A0000}"/>
    <cellStyle name="Heading 2 2 11" xfId="3261" xr:uid="{00000000-0005-0000-0000-0000310A0000}"/>
    <cellStyle name="Heading 2 2 12" xfId="3259" xr:uid="{00000000-0005-0000-0000-0000320A0000}"/>
    <cellStyle name="Heading 2 2 2" xfId="1239" xr:uid="{00000000-0005-0000-0000-0000330A0000}"/>
    <cellStyle name="Heading 2 2 2 2" xfId="3262" xr:uid="{00000000-0005-0000-0000-0000340A0000}"/>
    <cellStyle name="Heading 2 2 3" xfId="3263" xr:uid="{00000000-0005-0000-0000-0000350A0000}"/>
    <cellStyle name="Heading 2 2 4" xfId="3264" xr:uid="{00000000-0005-0000-0000-0000360A0000}"/>
    <cellStyle name="Heading 2 2 5" xfId="3265" xr:uid="{00000000-0005-0000-0000-0000370A0000}"/>
    <cellStyle name="Heading 2 2 6" xfId="3266" xr:uid="{00000000-0005-0000-0000-0000380A0000}"/>
    <cellStyle name="Heading 2 2 7" xfId="3267" xr:uid="{00000000-0005-0000-0000-0000390A0000}"/>
    <cellStyle name="Heading 2 2 8" xfId="3268" xr:uid="{00000000-0005-0000-0000-00003A0A0000}"/>
    <cellStyle name="Heading 2 2 9" xfId="3269" xr:uid="{00000000-0005-0000-0000-00003B0A0000}"/>
    <cellStyle name="Heading 2 3" xfId="111" xr:uid="{00000000-0005-0000-0000-00003C0A0000}"/>
    <cellStyle name="Heading 2 3 10" xfId="3271" xr:uid="{00000000-0005-0000-0000-00003D0A0000}"/>
    <cellStyle name="Heading 2 3 11" xfId="3272" xr:uid="{00000000-0005-0000-0000-00003E0A0000}"/>
    <cellStyle name="Heading 2 3 12" xfId="3270" xr:uid="{00000000-0005-0000-0000-00003F0A0000}"/>
    <cellStyle name="Heading 2 3 2" xfId="3273" xr:uid="{00000000-0005-0000-0000-0000400A0000}"/>
    <cellStyle name="Heading 2 3 3" xfId="3274" xr:uid="{00000000-0005-0000-0000-0000410A0000}"/>
    <cellStyle name="Heading 2 3 4" xfId="3275" xr:uid="{00000000-0005-0000-0000-0000420A0000}"/>
    <cellStyle name="Heading 2 3 5" xfId="3276" xr:uid="{00000000-0005-0000-0000-0000430A0000}"/>
    <cellStyle name="Heading 2 3 6" xfId="3277" xr:uid="{00000000-0005-0000-0000-0000440A0000}"/>
    <cellStyle name="Heading 2 3 7" xfId="3278" xr:uid="{00000000-0005-0000-0000-0000450A0000}"/>
    <cellStyle name="Heading 2 3 8" xfId="3279" xr:uid="{00000000-0005-0000-0000-0000460A0000}"/>
    <cellStyle name="Heading 2 3 9" xfId="3280" xr:uid="{00000000-0005-0000-0000-0000470A0000}"/>
    <cellStyle name="Heading 2 4" xfId="1241" xr:uid="{00000000-0005-0000-0000-0000480A0000}"/>
    <cellStyle name="Heading 2 4 10" xfId="3282" xr:uid="{00000000-0005-0000-0000-0000490A0000}"/>
    <cellStyle name="Heading 2 4 11" xfId="3283" xr:uid="{00000000-0005-0000-0000-00004A0A0000}"/>
    <cellStyle name="Heading 2 4 12" xfId="3281" xr:uid="{00000000-0005-0000-0000-00004B0A0000}"/>
    <cellStyle name="Heading 2 4 2" xfId="3284" xr:uid="{00000000-0005-0000-0000-00004C0A0000}"/>
    <cellStyle name="Heading 2 4 3" xfId="3285" xr:uid="{00000000-0005-0000-0000-00004D0A0000}"/>
    <cellStyle name="Heading 2 4 4" xfId="3286" xr:uid="{00000000-0005-0000-0000-00004E0A0000}"/>
    <cellStyle name="Heading 2 4 5" xfId="3287" xr:uid="{00000000-0005-0000-0000-00004F0A0000}"/>
    <cellStyle name="Heading 2 4 6" xfId="3288" xr:uid="{00000000-0005-0000-0000-0000500A0000}"/>
    <cellStyle name="Heading 2 4 7" xfId="3289" xr:uid="{00000000-0005-0000-0000-0000510A0000}"/>
    <cellStyle name="Heading 2 4 8" xfId="3290" xr:uid="{00000000-0005-0000-0000-0000520A0000}"/>
    <cellStyle name="Heading 2 4 9" xfId="3291" xr:uid="{00000000-0005-0000-0000-0000530A0000}"/>
    <cellStyle name="Heading 2 5" xfId="3292" xr:uid="{00000000-0005-0000-0000-0000540A0000}"/>
    <cellStyle name="Heading 2 5 10" xfId="3293" xr:uid="{00000000-0005-0000-0000-0000550A0000}"/>
    <cellStyle name="Heading 2 5 11" xfId="3294" xr:uid="{00000000-0005-0000-0000-0000560A0000}"/>
    <cellStyle name="Heading 2 5 2" xfId="3295" xr:uid="{00000000-0005-0000-0000-0000570A0000}"/>
    <cellStyle name="Heading 2 5 3" xfId="3296" xr:uid="{00000000-0005-0000-0000-0000580A0000}"/>
    <cellStyle name="Heading 2 5 4" xfId="3297" xr:uid="{00000000-0005-0000-0000-0000590A0000}"/>
    <cellStyle name="Heading 2 5 5" xfId="3298" xr:uid="{00000000-0005-0000-0000-00005A0A0000}"/>
    <cellStyle name="Heading 2 5 6" xfId="3299" xr:uid="{00000000-0005-0000-0000-00005B0A0000}"/>
    <cellStyle name="Heading 2 5 7" xfId="3300" xr:uid="{00000000-0005-0000-0000-00005C0A0000}"/>
    <cellStyle name="Heading 2 5 8" xfId="3301" xr:uid="{00000000-0005-0000-0000-00005D0A0000}"/>
    <cellStyle name="Heading 2 5 9" xfId="3302" xr:uid="{00000000-0005-0000-0000-00005E0A0000}"/>
    <cellStyle name="Heading 2 6" xfId="3303" xr:uid="{00000000-0005-0000-0000-00005F0A0000}"/>
    <cellStyle name="Heading 2 7" xfId="3304" xr:uid="{00000000-0005-0000-0000-0000600A0000}"/>
    <cellStyle name="Heading 2 8" xfId="3305" xr:uid="{00000000-0005-0000-0000-0000610A0000}"/>
    <cellStyle name="Heading 2 9" xfId="3306" xr:uid="{00000000-0005-0000-0000-0000620A0000}"/>
    <cellStyle name="Heading 3 10" xfId="3307" xr:uid="{00000000-0005-0000-0000-0000630A0000}"/>
    <cellStyle name="Heading 3 11" xfId="3308" xr:uid="{00000000-0005-0000-0000-0000640A0000}"/>
    <cellStyle name="Heading 3 12" xfId="3309" xr:uid="{00000000-0005-0000-0000-0000650A0000}"/>
    <cellStyle name="Heading 3 13" xfId="3310" xr:uid="{00000000-0005-0000-0000-0000660A0000}"/>
    <cellStyle name="Heading 3 14" xfId="3311" xr:uid="{00000000-0005-0000-0000-0000670A0000}"/>
    <cellStyle name="Heading 3 15" xfId="3312" xr:uid="{00000000-0005-0000-0000-0000680A0000}"/>
    <cellStyle name="Heading 3 16" xfId="112" xr:uid="{00000000-0005-0000-0000-0000690A0000}"/>
    <cellStyle name="Heading 3 2" xfId="113" xr:uid="{00000000-0005-0000-0000-00006A0A0000}"/>
    <cellStyle name="Heading 3 2 10" xfId="3314" xr:uid="{00000000-0005-0000-0000-00006B0A0000}"/>
    <cellStyle name="Heading 3 2 11" xfId="3315" xr:uid="{00000000-0005-0000-0000-00006C0A0000}"/>
    <cellStyle name="Heading 3 2 12" xfId="3313" xr:uid="{00000000-0005-0000-0000-00006D0A0000}"/>
    <cellStyle name="Heading 3 2 2" xfId="1242" xr:uid="{00000000-0005-0000-0000-00006E0A0000}"/>
    <cellStyle name="Heading 3 2 2 2" xfId="3316" xr:uid="{00000000-0005-0000-0000-00006F0A0000}"/>
    <cellStyle name="Heading 3 2 3" xfId="3317" xr:uid="{00000000-0005-0000-0000-0000700A0000}"/>
    <cellStyle name="Heading 3 2 4" xfId="3318" xr:uid="{00000000-0005-0000-0000-0000710A0000}"/>
    <cellStyle name="Heading 3 2 5" xfId="3319" xr:uid="{00000000-0005-0000-0000-0000720A0000}"/>
    <cellStyle name="Heading 3 2 6" xfId="3320" xr:uid="{00000000-0005-0000-0000-0000730A0000}"/>
    <cellStyle name="Heading 3 2 7" xfId="3321" xr:uid="{00000000-0005-0000-0000-0000740A0000}"/>
    <cellStyle name="Heading 3 2 8" xfId="3322" xr:uid="{00000000-0005-0000-0000-0000750A0000}"/>
    <cellStyle name="Heading 3 2 9" xfId="3323" xr:uid="{00000000-0005-0000-0000-0000760A0000}"/>
    <cellStyle name="Heading 3 3" xfId="114" xr:uid="{00000000-0005-0000-0000-0000770A0000}"/>
    <cellStyle name="Heading 3 3 10" xfId="3325" xr:uid="{00000000-0005-0000-0000-0000780A0000}"/>
    <cellStyle name="Heading 3 3 11" xfId="3326" xr:uid="{00000000-0005-0000-0000-0000790A0000}"/>
    <cellStyle name="Heading 3 3 12" xfId="3324" xr:uid="{00000000-0005-0000-0000-00007A0A0000}"/>
    <cellStyle name="Heading 3 3 2" xfId="3327" xr:uid="{00000000-0005-0000-0000-00007B0A0000}"/>
    <cellStyle name="Heading 3 3 3" xfId="3328" xr:uid="{00000000-0005-0000-0000-00007C0A0000}"/>
    <cellStyle name="Heading 3 3 4" xfId="3329" xr:uid="{00000000-0005-0000-0000-00007D0A0000}"/>
    <cellStyle name="Heading 3 3 5" xfId="3330" xr:uid="{00000000-0005-0000-0000-00007E0A0000}"/>
    <cellStyle name="Heading 3 3 6" xfId="3331" xr:uid="{00000000-0005-0000-0000-00007F0A0000}"/>
    <cellStyle name="Heading 3 3 7" xfId="3332" xr:uid="{00000000-0005-0000-0000-0000800A0000}"/>
    <cellStyle name="Heading 3 3 8" xfId="3333" xr:uid="{00000000-0005-0000-0000-0000810A0000}"/>
    <cellStyle name="Heading 3 3 9" xfId="3334" xr:uid="{00000000-0005-0000-0000-0000820A0000}"/>
    <cellStyle name="Heading 3 4" xfId="1244" xr:uid="{00000000-0005-0000-0000-0000830A0000}"/>
    <cellStyle name="Heading 3 4 10" xfId="3336" xr:uid="{00000000-0005-0000-0000-0000840A0000}"/>
    <cellStyle name="Heading 3 4 11" xfId="3337" xr:uid="{00000000-0005-0000-0000-0000850A0000}"/>
    <cellStyle name="Heading 3 4 12" xfId="3335" xr:uid="{00000000-0005-0000-0000-0000860A0000}"/>
    <cellStyle name="Heading 3 4 2" xfId="3338" xr:uid="{00000000-0005-0000-0000-0000870A0000}"/>
    <cellStyle name="Heading 3 4 3" xfId="3339" xr:uid="{00000000-0005-0000-0000-0000880A0000}"/>
    <cellStyle name="Heading 3 4 4" xfId="3340" xr:uid="{00000000-0005-0000-0000-0000890A0000}"/>
    <cellStyle name="Heading 3 4 5" xfId="3341" xr:uid="{00000000-0005-0000-0000-00008A0A0000}"/>
    <cellStyle name="Heading 3 4 6" xfId="3342" xr:uid="{00000000-0005-0000-0000-00008B0A0000}"/>
    <cellStyle name="Heading 3 4 7" xfId="3343" xr:uid="{00000000-0005-0000-0000-00008C0A0000}"/>
    <cellStyle name="Heading 3 4 8" xfId="3344" xr:uid="{00000000-0005-0000-0000-00008D0A0000}"/>
    <cellStyle name="Heading 3 4 9" xfId="3345" xr:uid="{00000000-0005-0000-0000-00008E0A0000}"/>
    <cellStyle name="Heading 3 5" xfId="3346" xr:uid="{00000000-0005-0000-0000-00008F0A0000}"/>
    <cellStyle name="Heading 3 5 10" xfId="3347" xr:uid="{00000000-0005-0000-0000-0000900A0000}"/>
    <cellStyle name="Heading 3 5 11" xfId="3348" xr:uid="{00000000-0005-0000-0000-0000910A0000}"/>
    <cellStyle name="Heading 3 5 2" xfId="3349" xr:uid="{00000000-0005-0000-0000-0000920A0000}"/>
    <cellStyle name="Heading 3 5 3" xfId="3350" xr:uid="{00000000-0005-0000-0000-0000930A0000}"/>
    <cellStyle name="Heading 3 5 4" xfId="3351" xr:uid="{00000000-0005-0000-0000-0000940A0000}"/>
    <cellStyle name="Heading 3 5 5" xfId="3352" xr:uid="{00000000-0005-0000-0000-0000950A0000}"/>
    <cellStyle name="Heading 3 5 6" xfId="3353" xr:uid="{00000000-0005-0000-0000-0000960A0000}"/>
    <cellStyle name="Heading 3 5 7" xfId="3354" xr:uid="{00000000-0005-0000-0000-0000970A0000}"/>
    <cellStyle name="Heading 3 5 8" xfId="3355" xr:uid="{00000000-0005-0000-0000-0000980A0000}"/>
    <cellStyle name="Heading 3 5 9" xfId="3356" xr:uid="{00000000-0005-0000-0000-0000990A0000}"/>
    <cellStyle name="Heading 3 6" xfId="3357" xr:uid="{00000000-0005-0000-0000-00009A0A0000}"/>
    <cellStyle name="Heading 3 7" xfId="3358" xr:uid="{00000000-0005-0000-0000-00009B0A0000}"/>
    <cellStyle name="Heading 3 8" xfId="3359" xr:uid="{00000000-0005-0000-0000-00009C0A0000}"/>
    <cellStyle name="Heading 3 9" xfId="3360" xr:uid="{00000000-0005-0000-0000-00009D0A0000}"/>
    <cellStyle name="Heading 4 10" xfId="3361" xr:uid="{00000000-0005-0000-0000-00009E0A0000}"/>
    <cellStyle name="Heading 4 11" xfId="3362" xr:uid="{00000000-0005-0000-0000-00009F0A0000}"/>
    <cellStyle name="Heading 4 12" xfId="3363" xr:uid="{00000000-0005-0000-0000-0000A00A0000}"/>
    <cellStyle name="Heading 4 13" xfId="3364" xr:uid="{00000000-0005-0000-0000-0000A10A0000}"/>
    <cellStyle name="Heading 4 14" xfId="3365" xr:uid="{00000000-0005-0000-0000-0000A20A0000}"/>
    <cellStyle name="Heading 4 15" xfId="3366" xr:uid="{00000000-0005-0000-0000-0000A30A0000}"/>
    <cellStyle name="Heading 4 16" xfId="115" xr:uid="{00000000-0005-0000-0000-0000A40A0000}"/>
    <cellStyle name="Heading 4 2" xfId="116" xr:uid="{00000000-0005-0000-0000-0000A50A0000}"/>
    <cellStyle name="Heading 4 2 10" xfId="3368" xr:uid="{00000000-0005-0000-0000-0000A60A0000}"/>
    <cellStyle name="Heading 4 2 11" xfId="3369" xr:uid="{00000000-0005-0000-0000-0000A70A0000}"/>
    <cellStyle name="Heading 4 2 12" xfId="3367" xr:uid="{00000000-0005-0000-0000-0000A80A0000}"/>
    <cellStyle name="Heading 4 2 2" xfId="1245" xr:uid="{00000000-0005-0000-0000-0000A90A0000}"/>
    <cellStyle name="Heading 4 2 2 2" xfId="3370" xr:uid="{00000000-0005-0000-0000-0000AA0A0000}"/>
    <cellStyle name="Heading 4 2 3" xfId="3371" xr:uid="{00000000-0005-0000-0000-0000AB0A0000}"/>
    <cellStyle name="Heading 4 2 4" xfId="3372" xr:uid="{00000000-0005-0000-0000-0000AC0A0000}"/>
    <cellStyle name="Heading 4 2 5" xfId="3373" xr:uid="{00000000-0005-0000-0000-0000AD0A0000}"/>
    <cellStyle name="Heading 4 2 6" xfId="3374" xr:uid="{00000000-0005-0000-0000-0000AE0A0000}"/>
    <cellStyle name="Heading 4 2 7" xfId="3375" xr:uid="{00000000-0005-0000-0000-0000AF0A0000}"/>
    <cellStyle name="Heading 4 2 8" xfId="3376" xr:uid="{00000000-0005-0000-0000-0000B00A0000}"/>
    <cellStyle name="Heading 4 2 9" xfId="3377" xr:uid="{00000000-0005-0000-0000-0000B10A0000}"/>
    <cellStyle name="Heading 4 3" xfId="117" xr:uid="{00000000-0005-0000-0000-0000B20A0000}"/>
    <cellStyle name="Heading 4 3 10" xfId="3379" xr:uid="{00000000-0005-0000-0000-0000B30A0000}"/>
    <cellStyle name="Heading 4 3 11" xfId="3380" xr:uid="{00000000-0005-0000-0000-0000B40A0000}"/>
    <cellStyle name="Heading 4 3 12" xfId="3378" xr:uid="{00000000-0005-0000-0000-0000B50A0000}"/>
    <cellStyle name="Heading 4 3 2" xfId="3381" xr:uid="{00000000-0005-0000-0000-0000B60A0000}"/>
    <cellStyle name="Heading 4 3 3" xfId="3382" xr:uid="{00000000-0005-0000-0000-0000B70A0000}"/>
    <cellStyle name="Heading 4 3 4" xfId="3383" xr:uid="{00000000-0005-0000-0000-0000B80A0000}"/>
    <cellStyle name="Heading 4 3 5" xfId="3384" xr:uid="{00000000-0005-0000-0000-0000B90A0000}"/>
    <cellStyle name="Heading 4 3 6" xfId="3385" xr:uid="{00000000-0005-0000-0000-0000BA0A0000}"/>
    <cellStyle name="Heading 4 3 7" xfId="3386" xr:uid="{00000000-0005-0000-0000-0000BB0A0000}"/>
    <cellStyle name="Heading 4 3 8" xfId="3387" xr:uid="{00000000-0005-0000-0000-0000BC0A0000}"/>
    <cellStyle name="Heading 4 3 9" xfId="3388" xr:uid="{00000000-0005-0000-0000-0000BD0A0000}"/>
    <cellStyle name="Heading 4 4" xfId="1247" xr:uid="{00000000-0005-0000-0000-0000BE0A0000}"/>
    <cellStyle name="Heading 4 4 10" xfId="3390" xr:uid="{00000000-0005-0000-0000-0000BF0A0000}"/>
    <cellStyle name="Heading 4 4 11" xfId="3391" xr:uid="{00000000-0005-0000-0000-0000C00A0000}"/>
    <cellStyle name="Heading 4 4 12" xfId="3389" xr:uid="{00000000-0005-0000-0000-0000C10A0000}"/>
    <cellStyle name="Heading 4 4 2" xfId="3392" xr:uid="{00000000-0005-0000-0000-0000C20A0000}"/>
    <cellStyle name="Heading 4 4 3" xfId="3393" xr:uid="{00000000-0005-0000-0000-0000C30A0000}"/>
    <cellStyle name="Heading 4 4 4" xfId="3394" xr:uid="{00000000-0005-0000-0000-0000C40A0000}"/>
    <cellStyle name="Heading 4 4 5" xfId="3395" xr:uid="{00000000-0005-0000-0000-0000C50A0000}"/>
    <cellStyle name="Heading 4 4 6" xfId="3396" xr:uid="{00000000-0005-0000-0000-0000C60A0000}"/>
    <cellStyle name="Heading 4 4 7" xfId="3397" xr:uid="{00000000-0005-0000-0000-0000C70A0000}"/>
    <cellStyle name="Heading 4 4 8" xfId="3398" xr:uid="{00000000-0005-0000-0000-0000C80A0000}"/>
    <cellStyle name="Heading 4 4 9" xfId="3399" xr:uid="{00000000-0005-0000-0000-0000C90A0000}"/>
    <cellStyle name="Heading 4 5" xfId="3400" xr:uid="{00000000-0005-0000-0000-0000CA0A0000}"/>
    <cellStyle name="Heading 4 5 10" xfId="3401" xr:uid="{00000000-0005-0000-0000-0000CB0A0000}"/>
    <cellStyle name="Heading 4 5 11" xfId="3402" xr:uid="{00000000-0005-0000-0000-0000CC0A0000}"/>
    <cellStyle name="Heading 4 5 2" xfId="3403" xr:uid="{00000000-0005-0000-0000-0000CD0A0000}"/>
    <cellStyle name="Heading 4 5 3" xfId="3404" xr:uid="{00000000-0005-0000-0000-0000CE0A0000}"/>
    <cellStyle name="Heading 4 5 4" xfId="3405" xr:uid="{00000000-0005-0000-0000-0000CF0A0000}"/>
    <cellStyle name="Heading 4 5 5" xfId="3406" xr:uid="{00000000-0005-0000-0000-0000D00A0000}"/>
    <cellStyle name="Heading 4 5 6" xfId="3407" xr:uid="{00000000-0005-0000-0000-0000D10A0000}"/>
    <cellStyle name="Heading 4 5 7" xfId="3408" xr:uid="{00000000-0005-0000-0000-0000D20A0000}"/>
    <cellStyle name="Heading 4 5 8" xfId="3409" xr:uid="{00000000-0005-0000-0000-0000D30A0000}"/>
    <cellStyle name="Heading 4 5 9" xfId="3410" xr:uid="{00000000-0005-0000-0000-0000D40A0000}"/>
    <cellStyle name="Heading 4 6" xfId="3411" xr:uid="{00000000-0005-0000-0000-0000D50A0000}"/>
    <cellStyle name="Heading 4 7" xfId="3412" xr:uid="{00000000-0005-0000-0000-0000D60A0000}"/>
    <cellStyle name="Heading 4 8" xfId="3413" xr:uid="{00000000-0005-0000-0000-0000D70A0000}"/>
    <cellStyle name="Heading 4 9" xfId="3414" xr:uid="{00000000-0005-0000-0000-0000D80A0000}"/>
    <cellStyle name="Hyperlink 10" xfId="317" xr:uid="{00000000-0005-0000-0000-0000D90A0000}"/>
    <cellStyle name="Hyperlink 11" xfId="318" xr:uid="{00000000-0005-0000-0000-0000DA0A0000}"/>
    <cellStyle name="Hyperlink 12" xfId="319" xr:uid="{00000000-0005-0000-0000-0000DB0A0000}"/>
    <cellStyle name="Hyperlink 13" xfId="320" xr:uid="{00000000-0005-0000-0000-0000DC0A0000}"/>
    <cellStyle name="Hyperlink 14" xfId="321" xr:uid="{00000000-0005-0000-0000-0000DD0A0000}"/>
    <cellStyle name="Hyperlink 15" xfId="322" xr:uid="{00000000-0005-0000-0000-0000DE0A0000}"/>
    <cellStyle name="Hyperlink 15 2" xfId="1253" xr:uid="{00000000-0005-0000-0000-0000DF0A0000}"/>
    <cellStyle name="Hyperlink 16" xfId="1254" xr:uid="{00000000-0005-0000-0000-0000E00A0000}"/>
    <cellStyle name="Hyperlink 17" xfId="1255" xr:uid="{00000000-0005-0000-0000-0000E10A0000}"/>
    <cellStyle name="Hyperlink 2" xfId="323" xr:uid="{00000000-0005-0000-0000-0000E20A0000}"/>
    <cellStyle name="Hyperlink 2 2" xfId="3415" xr:uid="{00000000-0005-0000-0000-0000E30A0000}"/>
    <cellStyle name="Hyperlink 3" xfId="324" xr:uid="{00000000-0005-0000-0000-0000E40A0000}"/>
    <cellStyle name="Hyperlink 4" xfId="325" xr:uid="{00000000-0005-0000-0000-0000E50A0000}"/>
    <cellStyle name="Hyperlink 5" xfId="326" xr:uid="{00000000-0005-0000-0000-0000E60A0000}"/>
    <cellStyle name="Hyperlink 6" xfId="327" xr:uid="{00000000-0005-0000-0000-0000E70A0000}"/>
    <cellStyle name="Hyperlink 7" xfId="328" xr:uid="{00000000-0005-0000-0000-0000E80A0000}"/>
    <cellStyle name="Hyperlink 8" xfId="329" xr:uid="{00000000-0005-0000-0000-0000E90A0000}"/>
    <cellStyle name="Hyperlink 9" xfId="330" xr:uid="{00000000-0005-0000-0000-0000EA0A0000}"/>
    <cellStyle name="Input [yellow]" xfId="331" xr:uid="{00000000-0005-0000-0000-0000EB0A0000}"/>
    <cellStyle name="Input 10" xfId="1265" xr:uid="{00000000-0005-0000-0000-0000EC0A0000}"/>
    <cellStyle name="Input 10 2" xfId="3416" xr:uid="{00000000-0005-0000-0000-0000ED0A0000}"/>
    <cellStyle name="Input 100" xfId="1266" xr:uid="{00000000-0005-0000-0000-0000EE0A0000}"/>
    <cellStyle name="Input 101" xfId="1267" xr:uid="{00000000-0005-0000-0000-0000EF0A0000}"/>
    <cellStyle name="Input 102" xfId="1268" xr:uid="{00000000-0005-0000-0000-0000F00A0000}"/>
    <cellStyle name="Input 103" xfId="1269" xr:uid="{00000000-0005-0000-0000-0000F10A0000}"/>
    <cellStyle name="Input 104" xfId="1270" xr:uid="{00000000-0005-0000-0000-0000F20A0000}"/>
    <cellStyle name="Input 105" xfId="1271" xr:uid="{00000000-0005-0000-0000-0000F30A0000}"/>
    <cellStyle name="Input 106" xfId="1272" xr:uid="{00000000-0005-0000-0000-0000F40A0000}"/>
    <cellStyle name="Input 107" xfId="1273" xr:uid="{00000000-0005-0000-0000-0000F50A0000}"/>
    <cellStyle name="Input 108" xfId="118" xr:uid="{00000000-0005-0000-0000-0000F60A0000}"/>
    <cellStyle name="Input 11" xfId="1274" xr:uid="{00000000-0005-0000-0000-0000F70A0000}"/>
    <cellStyle name="Input 11 2" xfId="3417" xr:uid="{00000000-0005-0000-0000-0000F80A0000}"/>
    <cellStyle name="Input 12" xfId="1275" xr:uid="{00000000-0005-0000-0000-0000F90A0000}"/>
    <cellStyle name="Input 12 2" xfId="3418" xr:uid="{00000000-0005-0000-0000-0000FA0A0000}"/>
    <cellStyle name="Input 13" xfId="1276" xr:uid="{00000000-0005-0000-0000-0000FB0A0000}"/>
    <cellStyle name="Input 13 2" xfId="3419" xr:uid="{00000000-0005-0000-0000-0000FC0A0000}"/>
    <cellStyle name="Input 14" xfId="1277" xr:uid="{00000000-0005-0000-0000-0000FD0A0000}"/>
    <cellStyle name="Input 14 2" xfId="3420" xr:uid="{00000000-0005-0000-0000-0000FE0A0000}"/>
    <cellStyle name="Input 15" xfId="1278" xr:uid="{00000000-0005-0000-0000-0000FF0A0000}"/>
    <cellStyle name="Input 15 2" xfId="3421" xr:uid="{00000000-0005-0000-0000-0000000B0000}"/>
    <cellStyle name="Input 16" xfId="1279" xr:uid="{00000000-0005-0000-0000-0000010B0000}"/>
    <cellStyle name="Input 17" xfId="1280" xr:uid="{00000000-0005-0000-0000-0000020B0000}"/>
    <cellStyle name="Input 18" xfId="1281" xr:uid="{00000000-0005-0000-0000-0000030B0000}"/>
    <cellStyle name="Input 19" xfId="1282" xr:uid="{00000000-0005-0000-0000-0000040B0000}"/>
    <cellStyle name="Input 2" xfId="119" xr:uid="{00000000-0005-0000-0000-0000050B0000}"/>
    <cellStyle name="Input 2 10" xfId="3423" xr:uid="{00000000-0005-0000-0000-0000060B0000}"/>
    <cellStyle name="Input 2 11" xfId="3424" xr:uid="{00000000-0005-0000-0000-0000070B0000}"/>
    <cellStyle name="Input 2 12" xfId="3422" xr:uid="{00000000-0005-0000-0000-0000080B0000}"/>
    <cellStyle name="Input 2 2" xfId="1283" xr:uid="{00000000-0005-0000-0000-0000090B0000}"/>
    <cellStyle name="Input 2 2 2" xfId="3425" xr:uid="{00000000-0005-0000-0000-00000A0B0000}"/>
    <cellStyle name="Input 2 3" xfId="3426" xr:uid="{00000000-0005-0000-0000-00000B0B0000}"/>
    <cellStyle name="Input 2 4" xfId="3427" xr:uid="{00000000-0005-0000-0000-00000C0B0000}"/>
    <cellStyle name="Input 2 5" xfId="3428" xr:uid="{00000000-0005-0000-0000-00000D0B0000}"/>
    <cellStyle name="Input 2 6" xfId="3429" xr:uid="{00000000-0005-0000-0000-00000E0B0000}"/>
    <cellStyle name="Input 2 7" xfId="3430" xr:uid="{00000000-0005-0000-0000-00000F0B0000}"/>
    <cellStyle name="Input 2 8" xfId="3431" xr:uid="{00000000-0005-0000-0000-0000100B0000}"/>
    <cellStyle name="Input 2 9" xfId="3432" xr:uid="{00000000-0005-0000-0000-0000110B0000}"/>
    <cellStyle name="Input 20" xfId="1284" xr:uid="{00000000-0005-0000-0000-0000120B0000}"/>
    <cellStyle name="Input 21" xfId="1285" xr:uid="{00000000-0005-0000-0000-0000130B0000}"/>
    <cellStyle name="Input 22" xfId="1286" xr:uid="{00000000-0005-0000-0000-0000140B0000}"/>
    <cellStyle name="Input 23" xfId="1287" xr:uid="{00000000-0005-0000-0000-0000150B0000}"/>
    <cellStyle name="Input 24" xfId="1288" xr:uid="{00000000-0005-0000-0000-0000160B0000}"/>
    <cellStyle name="Input 25" xfId="1289" xr:uid="{00000000-0005-0000-0000-0000170B0000}"/>
    <cellStyle name="Input 26" xfId="1290" xr:uid="{00000000-0005-0000-0000-0000180B0000}"/>
    <cellStyle name="Input 27" xfId="1291" xr:uid="{00000000-0005-0000-0000-0000190B0000}"/>
    <cellStyle name="Input 28" xfId="1292" xr:uid="{00000000-0005-0000-0000-00001A0B0000}"/>
    <cellStyle name="Input 29" xfId="1293" xr:uid="{00000000-0005-0000-0000-00001B0B0000}"/>
    <cellStyle name="Input 3" xfId="120" xr:uid="{00000000-0005-0000-0000-00001C0B0000}"/>
    <cellStyle name="Input 3 10" xfId="3434" xr:uid="{00000000-0005-0000-0000-00001D0B0000}"/>
    <cellStyle name="Input 3 11" xfId="3435" xr:uid="{00000000-0005-0000-0000-00001E0B0000}"/>
    <cellStyle name="Input 3 12" xfId="3433" xr:uid="{00000000-0005-0000-0000-00001F0B0000}"/>
    <cellStyle name="Input 3 2" xfId="1294" xr:uid="{00000000-0005-0000-0000-0000200B0000}"/>
    <cellStyle name="Input 3 2 2" xfId="3436" xr:uid="{00000000-0005-0000-0000-0000210B0000}"/>
    <cellStyle name="Input 3 3" xfId="3437" xr:uid="{00000000-0005-0000-0000-0000220B0000}"/>
    <cellStyle name="Input 3 4" xfId="3438" xr:uid="{00000000-0005-0000-0000-0000230B0000}"/>
    <cellStyle name="Input 3 5" xfId="3439" xr:uid="{00000000-0005-0000-0000-0000240B0000}"/>
    <cellStyle name="Input 3 6" xfId="3440" xr:uid="{00000000-0005-0000-0000-0000250B0000}"/>
    <cellStyle name="Input 3 7" xfId="3441" xr:uid="{00000000-0005-0000-0000-0000260B0000}"/>
    <cellStyle name="Input 3 8" xfId="3442" xr:uid="{00000000-0005-0000-0000-0000270B0000}"/>
    <cellStyle name="Input 3 9" xfId="3443" xr:uid="{00000000-0005-0000-0000-0000280B0000}"/>
    <cellStyle name="Input 30" xfId="1295" xr:uid="{00000000-0005-0000-0000-0000290B0000}"/>
    <cellStyle name="Input 31" xfId="1296" xr:uid="{00000000-0005-0000-0000-00002A0B0000}"/>
    <cellStyle name="Input 32" xfId="1297" xr:uid="{00000000-0005-0000-0000-00002B0B0000}"/>
    <cellStyle name="Input 33" xfId="1298" xr:uid="{00000000-0005-0000-0000-00002C0B0000}"/>
    <cellStyle name="Input 34" xfId="1299" xr:uid="{00000000-0005-0000-0000-00002D0B0000}"/>
    <cellStyle name="Input 35" xfId="1300" xr:uid="{00000000-0005-0000-0000-00002E0B0000}"/>
    <cellStyle name="Input 36" xfId="1301" xr:uid="{00000000-0005-0000-0000-00002F0B0000}"/>
    <cellStyle name="Input 37" xfId="1302" xr:uid="{00000000-0005-0000-0000-0000300B0000}"/>
    <cellStyle name="Input 38" xfId="1303" xr:uid="{00000000-0005-0000-0000-0000310B0000}"/>
    <cellStyle name="Input 39" xfId="1304" xr:uid="{00000000-0005-0000-0000-0000320B0000}"/>
    <cellStyle name="Input 4" xfId="1305" xr:uid="{00000000-0005-0000-0000-0000330B0000}"/>
    <cellStyle name="Input 4 10" xfId="3445" xr:uid="{00000000-0005-0000-0000-0000340B0000}"/>
    <cellStyle name="Input 4 11" xfId="3446" xr:uid="{00000000-0005-0000-0000-0000350B0000}"/>
    <cellStyle name="Input 4 12" xfId="3444" xr:uid="{00000000-0005-0000-0000-0000360B0000}"/>
    <cellStyle name="Input 4 2" xfId="3447" xr:uid="{00000000-0005-0000-0000-0000370B0000}"/>
    <cellStyle name="Input 4 3" xfId="3448" xr:uid="{00000000-0005-0000-0000-0000380B0000}"/>
    <cellStyle name="Input 4 4" xfId="3449" xr:uid="{00000000-0005-0000-0000-0000390B0000}"/>
    <cellStyle name="Input 4 5" xfId="3450" xr:uid="{00000000-0005-0000-0000-00003A0B0000}"/>
    <cellStyle name="Input 4 6" xfId="3451" xr:uid="{00000000-0005-0000-0000-00003B0B0000}"/>
    <cellStyle name="Input 4 7" xfId="3452" xr:uid="{00000000-0005-0000-0000-00003C0B0000}"/>
    <cellStyle name="Input 4 8" xfId="3453" xr:uid="{00000000-0005-0000-0000-00003D0B0000}"/>
    <cellStyle name="Input 4 9" xfId="3454" xr:uid="{00000000-0005-0000-0000-00003E0B0000}"/>
    <cellStyle name="Input 40" xfId="1306" xr:uid="{00000000-0005-0000-0000-00003F0B0000}"/>
    <cellStyle name="Input 41" xfId="1307" xr:uid="{00000000-0005-0000-0000-0000400B0000}"/>
    <cellStyle name="Input 42" xfId="1308" xr:uid="{00000000-0005-0000-0000-0000410B0000}"/>
    <cellStyle name="Input 43" xfId="1309" xr:uid="{00000000-0005-0000-0000-0000420B0000}"/>
    <cellStyle name="Input 44" xfId="1310" xr:uid="{00000000-0005-0000-0000-0000430B0000}"/>
    <cellStyle name="Input 45" xfId="1311" xr:uid="{00000000-0005-0000-0000-0000440B0000}"/>
    <cellStyle name="Input 46" xfId="1312" xr:uid="{00000000-0005-0000-0000-0000450B0000}"/>
    <cellStyle name="Input 47" xfId="1313" xr:uid="{00000000-0005-0000-0000-0000460B0000}"/>
    <cellStyle name="Input 48" xfId="1314" xr:uid="{00000000-0005-0000-0000-0000470B0000}"/>
    <cellStyle name="Input 49" xfId="1315" xr:uid="{00000000-0005-0000-0000-0000480B0000}"/>
    <cellStyle name="Input 5" xfId="1316" xr:uid="{00000000-0005-0000-0000-0000490B0000}"/>
    <cellStyle name="Input 5 10" xfId="3456" xr:uid="{00000000-0005-0000-0000-00004A0B0000}"/>
    <cellStyle name="Input 5 11" xfId="3457" xr:uid="{00000000-0005-0000-0000-00004B0B0000}"/>
    <cellStyle name="Input 5 12" xfId="3455" xr:uid="{00000000-0005-0000-0000-00004C0B0000}"/>
    <cellStyle name="Input 5 2" xfId="3458" xr:uid="{00000000-0005-0000-0000-00004D0B0000}"/>
    <cellStyle name="Input 5 3" xfId="3459" xr:uid="{00000000-0005-0000-0000-00004E0B0000}"/>
    <cellStyle name="Input 5 4" xfId="3460" xr:uid="{00000000-0005-0000-0000-00004F0B0000}"/>
    <cellStyle name="Input 5 5" xfId="3461" xr:uid="{00000000-0005-0000-0000-0000500B0000}"/>
    <cellStyle name="Input 5 6" xfId="3462" xr:uid="{00000000-0005-0000-0000-0000510B0000}"/>
    <cellStyle name="Input 5 7" xfId="3463" xr:uid="{00000000-0005-0000-0000-0000520B0000}"/>
    <cellStyle name="Input 5 8" xfId="3464" xr:uid="{00000000-0005-0000-0000-0000530B0000}"/>
    <cellStyle name="Input 5 9" xfId="3465" xr:uid="{00000000-0005-0000-0000-0000540B0000}"/>
    <cellStyle name="Input 50" xfId="1317" xr:uid="{00000000-0005-0000-0000-0000550B0000}"/>
    <cellStyle name="Input 51" xfId="1318" xr:uid="{00000000-0005-0000-0000-0000560B0000}"/>
    <cellStyle name="Input 52" xfId="1319" xr:uid="{00000000-0005-0000-0000-0000570B0000}"/>
    <cellStyle name="Input 53" xfId="1320" xr:uid="{00000000-0005-0000-0000-0000580B0000}"/>
    <cellStyle name="Input 54" xfId="1321" xr:uid="{00000000-0005-0000-0000-0000590B0000}"/>
    <cellStyle name="Input 55" xfId="1322" xr:uid="{00000000-0005-0000-0000-00005A0B0000}"/>
    <cellStyle name="Input 56" xfId="1323" xr:uid="{00000000-0005-0000-0000-00005B0B0000}"/>
    <cellStyle name="Input 57" xfId="1324" xr:uid="{00000000-0005-0000-0000-00005C0B0000}"/>
    <cellStyle name="Input 58" xfId="1325" xr:uid="{00000000-0005-0000-0000-00005D0B0000}"/>
    <cellStyle name="Input 59" xfId="1326" xr:uid="{00000000-0005-0000-0000-00005E0B0000}"/>
    <cellStyle name="Input 6" xfId="1327" xr:uid="{00000000-0005-0000-0000-00005F0B0000}"/>
    <cellStyle name="Input 6 2" xfId="3466" xr:uid="{00000000-0005-0000-0000-0000600B0000}"/>
    <cellStyle name="Input 60" xfId="1328" xr:uid="{00000000-0005-0000-0000-0000610B0000}"/>
    <cellStyle name="Input 61" xfId="1329" xr:uid="{00000000-0005-0000-0000-0000620B0000}"/>
    <cellStyle name="Input 62" xfId="1330" xr:uid="{00000000-0005-0000-0000-0000630B0000}"/>
    <cellStyle name="Input 63" xfId="1331" xr:uid="{00000000-0005-0000-0000-0000640B0000}"/>
    <cellStyle name="Input 64" xfId="1332" xr:uid="{00000000-0005-0000-0000-0000650B0000}"/>
    <cellStyle name="Input 65" xfId="1333" xr:uid="{00000000-0005-0000-0000-0000660B0000}"/>
    <cellStyle name="Input 66" xfId="1334" xr:uid="{00000000-0005-0000-0000-0000670B0000}"/>
    <cellStyle name="Input 67" xfId="1335" xr:uid="{00000000-0005-0000-0000-0000680B0000}"/>
    <cellStyle name="Input 68" xfId="1336" xr:uid="{00000000-0005-0000-0000-0000690B0000}"/>
    <cellStyle name="Input 69" xfId="1337" xr:uid="{00000000-0005-0000-0000-00006A0B0000}"/>
    <cellStyle name="Input 7" xfId="1338" xr:uid="{00000000-0005-0000-0000-00006B0B0000}"/>
    <cellStyle name="Input 7 2" xfId="3467" xr:uid="{00000000-0005-0000-0000-00006C0B0000}"/>
    <cellStyle name="Input 70" xfId="1339" xr:uid="{00000000-0005-0000-0000-00006D0B0000}"/>
    <cellStyle name="Input 71" xfId="1340" xr:uid="{00000000-0005-0000-0000-00006E0B0000}"/>
    <cellStyle name="Input 72" xfId="1341" xr:uid="{00000000-0005-0000-0000-00006F0B0000}"/>
    <cellStyle name="Input 73" xfId="1342" xr:uid="{00000000-0005-0000-0000-0000700B0000}"/>
    <cellStyle name="Input 74" xfId="1343" xr:uid="{00000000-0005-0000-0000-0000710B0000}"/>
    <cellStyle name="Input 75" xfId="1344" xr:uid="{00000000-0005-0000-0000-0000720B0000}"/>
    <cellStyle name="Input 76" xfId="1345" xr:uid="{00000000-0005-0000-0000-0000730B0000}"/>
    <cellStyle name="Input 77" xfId="1346" xr:uid="{00000000-0005-0000-0000-0000740B0000}"/>
    <cellStyle name="Input 78" xfId="1347" xr:uid="{00000000-0005-0000-0000-0000750B0000}"/>
    <cellStyle name="Input 79" xfId="1348" xr:uid="{00000000-0005-0000-0000-0000760B0000}"/>
    <cellStyle name="Input 8" xfId="1349" xr:uid="{00000000-0005-0000-0000-0000770B0000}"/>
    <cellStyle name="Input 8 2" xfId="3468" xr:uid="{00000000-0005-0000-0000-0000780B0000}"/>
    <cellStyle name="Input 80" xfId="1350" xr:uid="{00000000-0005-0000-0000-0000790B0000}"/>
    <cellStyle name="Input 81" xfId="1351" xr:uid="{00000000-0005-0000-0000-00007A0B0000}"/>
    <cellStyle name="Input 82" xfId="1352" xr:uid="{00000000-0005-0000-0000-00007B0B0000}"/>
    <cellStyle name="Input 83" xfId="1353" xr:uid="{00000000-0005-0000-0000-00007C0B0000}"/>
    <cellStyle name="Input 84" xfId="1354" xr:uid="{00000000-0005-0000-0000-00007D0B0000}"/>
    <cellStyle name="Input 85" xfId="1355" xr:uid="{00000000-0005-0000-0000-00007E0B0000}"/>
    <cellStyle name="Input 86" xfId="1356" xr:uid="{00000000-0005-0000-0000-00007F0B0000}"/>
    <cellStyle name="Input 87" xfId="1357" xr:uid="{00000000-0005-0000-0000-0000800B0000}"/>
    <cellStyle name="Input 88" xfId="1358" xr:uid="{00000000-0005-0000-0000-0000810B0000}"/>
    <cellStyle name="Input 89" xfId="1359" xr:uid="{00000000-0005-0000-0000-0000820B0000}"/>
    <cellStyle name="Input 9" xfId="1360" xr:uid="{00000000-0005-0000-0000-0000830B0000}"/>
    <cellStyle name="Input 9 2" xfId="3469" xr:uid="{00000000-0005-0000-0000-0000840B0000}"/>
    <cellStyle name="Input 90" xfId="1361" xr:uid="{00000000-0005-0000-0000-0000850B0000}"/>
    <cellStyle name="Input 91" xfId="1362" xr:uid="{00000000-0005-0000-0000-0000860B0000}"/>
    <cellStyle name="Input 92" xfId="1363" xr:uid="{00000000-0005-0000-0000-0000870B0000}"/>
    <cellStyle name="Input 93" xfId="1364" xr:uid="{00000000-0005-0000-0000-0000880B0000}"/>
    <cellStyle name="Input 94" xfId="1365" xr:uid="{00000000-0005-0000-0000-0000890B0000}"/>
    <cellStyle name="Input 95" xfId="1366" xr:uid="{00000000-0005-0000-0000-00008A0B0000}"/>
    <cellStyle name="Input 96" xfId="1367" xr:uid="{00000000-0005-0000-0000-00008B0B0000}"/>
    <cellStyle name="Input 97" xfId="1368" xr:uid="{00000000-0005-0000-0000-00008C0B0000}"/>
    <cellStyle name="Input 98" xfId="1369" xr:uid="{00000000-0005-0000-0000-00008D0B0000}"/>
    <cellStyle name="Input 99" xfId="1370" xr:uid="{00000000-0005-0000-0000-00008E0B0000}"/>
    <cellStyle name="Komma [0]_Blad1" xfId="232" xr:uid="{00000000-0005-0000-0000-00008F0B0000}"/>
    <cellStyle name="Komma_Blad1" xfId="228" xr:uid="{00000000-0005-0000-0000-0000900B0000}"/>
    <cellStyle name="Linked Cell 10" xfId="3470" xr:uid="{00000000-0005-0000-0000-0000910B0000}"/>
    <cellStyle name="Linked Cell 11" xfId="3471" xr:uid="{00000000-0005-0000-0000-0000920B0000}"/>
    <cellStyle name="Linked Cell 12" xfId="3472" xr:uid="{00000000-0005-0000-0000-0000930B0000}"/>
    <cellStyle name="Linked Cell 13" xfId="3473" xr:uid="{00000000-0005-0000-0000-0000940B0000}"/>
    <cellStyle name="Linked Cell 14" xfId="3474" xr:uid="{00000000-0005-0000-0000-0000950B0000}"/>
    <cellStyle name="Linked Cell 15" xfId="3475" xr:uid="{00000000-0005-0000-0000-0000960B0000}"/>
    <cellStyle name="Linked Cell 16" xfId="121" xr:uid="{00000000-0005-0000-0000-0000970B0000}"/>
    <cellStyle name="Linked Cell 2" xfId="122" xr:uid="{00000000-0005-0000-0000-0000980B0000}"/>
    <cellStyle name="Linked Cell 2 10" xfId="3477" xr:uid="{00000000-0005-0000-0000-0000990B0000}"/>
    <cellStyle name="Linked Cell 2 11" xfId="3478" xr:uid="{00000000-0005-0000-0000-00009A0B0000}"/>
    <cellStyle name="Linked Cell 2 12" xfId="3476" xr:uid="{00000000-0005-0000-0000-00009B0B0000}"/>
    <cellStyle name="Linked Cell 2 2" xfId="1371" xr:uid="{00000000-0005-0000-0000-00009C0B0000}"/>
    <cellStyle name="Linked Cell 2 2 2" xfId="3479" xr:uid="{00000000-0005-0000-0000-00009D0B0000}"/>
    <cellStyle name="Linked Cell 2 3" xfId="3480" xr:uid="{00000000-0005-0000-0000-00009E0B0000}"/>
    <cellStyle name="Linked Cell 2 4" xfId="3481" xr:uid="{00000000-0005-0000-0000-00009F0B0000}"/>
    <cellStyle name="Linked Cell 2 5" xfId="3482" xr:uid="{00000000-0005-0000-0000-0000A00B0000}"/>
    <cellStyle name="Linked Cell 2 6" xfId="3483" xr:uid="{00000000-0005-0000-0000-0000A10B0000}"/>
    <cellStyle name="Linked Cell 2 7" xfId="3484" xr:uid="{00000000-0005-0000-0000-0000A20B0000}"/>
    <cellStyle name="Linked Cell 2 8" xfId="3485" xr:uid="{00000000-0005-0000-0000-0000A30B0000}"/>
    <cellStyle name="Linked Cell 2 9" xfId="3486" xr:uid="{00000000-0005-0000-0000-0000A40B0000}"/>
    <cellStyle name="Linked Cell 3" xfId="123" xr:uid="{00000000-0005-0000-0000-0000A50B0000}"/>
    <cellStyle name="Linked Cell 3 10" xfId="3488" xr:uid="{00000000-0005-0000-0000-0000A60B0000}"/>
    <cellStyle name="Linked Cell 3 11" xfId="3489" xr:uid="{00000000-0005-0000-0000-0000A70B0000}"/>
    <cellStyle name="Linked Cell 3 12" xfId="3487" xr:uid="{00000000-0005-0000-0000-0000A80B0000}"/>
    <cellStyle name="Linked Cell 3 2" xfId="3490" xr:uid="{00000000-0005-0000-0000-0000A90B0000}"/>
    <cellStyle name="Linked Cell 3 3" xfId="3491" xr:uid="{00000000-0005-0000-0000-0000AA0B0000}"/>
    <cellStyle name="Linked Cell 3 4" xfId="3492" xr:uid="{00000000-0005-0000-0000-0000AB0B0000}"/>
    <cellStyle name="Linked Cell 3 5" xfId="3493" xr:uid="{00000000-0005-0000-0000-0000AC0B0000}"/>
    <cellStyle name="Linked Cell 3 6" xfId="3494" xr:uid="{00000000-0005-0000-0000-0000AD0B0000}"/>
    <cellStyle name="Linked Cell 3 7" xfId="3495" xr:uid="{00000000-0005-0000-0000-0000AE0B0000}"/>
    <cellStyle name="Linked Cell 3 8" xfId="3496" xr:uid="{00000000-0005-0000-0000-0000AF0B0000}"/>
    <cellStyle name="Linked Cell 3 9" xfId="3497" xr:uid="{00000000-0005-0000-0000-0000B00B0000}"/>
    <cellStyle name="Linked Cell 4" xfId="1373" xr:uid="{00000000-0005-0000-0000-0000B10B0000}"/>
    <cellStyle name="Linked Cell 4 10" xfId="3499" xr:uid="{00000000-0005-0000-0000-0000B20B0000}"/>
    <cellStyle name="Linked Cell 4 11" xfId="3500" xr:uid="{00000000-0005-0000-0000-0000B30B0000}"/>
    <cellStyle name="Linked Cell 4 12" xfId="3498" xr:uid="{00000000-0005-0000-0000-0000B40B0000}"/>
    <cellStyle name="Linked Cell 4 2" xfId="3501" xr:uid="{00000000-0005-0000-0000-0000B50B0000}"/>
    <cellStyle name="Linked Cell 4 3" xfId="3502" xr:uid="{00000000-0005-0000-0000-0000B60B0000}"/>
    <cellStyle name="Linked Cell 4 4" xfId="3503" xr:uid="{00000000-0005-0000-0000-0000B70B0000}"/>
    <cellStyle name="Linked Cell 4 5" xfId="3504" xr:uid="{00000000-0005-0000-0000-0000B80B0000}"/>
    <cellStyle name="Linked Cell 4 6" xfId="3505" xr:uid="{00000000-0005-0000-0000-0000B90B0000}"/>
    <cellStyle name="Linked Cell 4 7" xfId="3506" xr:uid="{00000000-0005-0000-0000-0000BA0B0000}"/>
    <cellStyle name="Linked Cell 4 8" xfId="3507" xr:uid="{00000000-0005-0000-0000-0000BB0B0000}"/>
    <cellStyle name="Linked Cell 4 9" xfId="3508" xr:uid="{00000000-0005-0000-0000-0000BC0B0000}"/>
    <cellStyle name="Linked Cell 5" xfId="3509" xr:uid="{00000000-0005-0000-0000-0000BD0B0000}"/>
    <cellStyle name="Linked Cell 5 10" xfId="3510" xr:uid="{00000000-0005-0000-0000-0000BE0B0000}"/>
    <cellStyle name="Linked Cell 5 11" xfId="3511" xr:uid="{00000000-0005-0000-0000-0000BF0B0000}"/>
    <cellStyle name="Linked Cell 5 2" xfId="3512" xr:uid="{00000000-0005-0000-0000-0000C00B0000}"/>
    <cellStyle name="Linked Cell 5 3" xfId="3513" xr:uid="{00000000-0005-0000-0000-0000C10B0000}"/>
    <cellStyle name="Linked Cell 5 4" xfId="3514" xr:uid="{00000000-0005-0000-0000-0000C20B0000}"/>
    <cellStyle name="Linked Cell 5 5" xfId="3515" xr:uid="{00000000-0005-0000-0000-0000C30B0000}"/>
    <cellStyle name="Linked Cell 5 6" xfId="3516" xr:uid="{00000000-0005-0000-0000-0000C40B0000}"/>
    <cellStyle name="Linked Cell 5 7" xfId="3517" xr:uid="{00000000-0005-0000-0000-0000C50B0000}"/>
    <cellStyle name="Linked Cell 5 8" xfId="3518" xr:uid="{00000000-0005-0000-0000-0000C60B0000}"/>
    <cellStyle name="Linked Cell 5 9" xfId="3519" xr:uid="{00000000-0005-0000-0000-0000C70B0000}"/>
    <cellStyle name="Linked Cell 6" xfId="3520" xr:uid="{00000000-0005-0000-0000-0000C80B0000}"/>
    <cellStyle name="Linked Cell 7" xfId="3521" xr:uid="{00000000-0005-0000-0000-0000C90B0000}"/>
    <cellStyle name="Linked Cell 8" xfId="3522" xr:uid="{00000000-0005-0000-0000-0000CA0B0000}"/>
    <cellStyle name="Linked Cell 9" xfId="3523" xr:uid="{00000000-0005-0000-0000-0000CB0B0000}"/>
    <cellStyle name="ɱ" xfId="3524" xr:uid="{00000000-0005-0000-0000-0000CC0B0000}"/>
    <cellStyle name="Milliers [0]_AR1194" xfId="332" xr:uid="{00000000-0005-0000-0000-0000CD0B0000}"/>
    <cellStyle name="Milliers_AR1194" xfId="333" xr:uid="{00000000-0005-0000-0000-0000CE0B0000}"/>
    <cellStyle name="Monétaire [0]_AR1194" xfId="334" xr:uid="{00000000-0005-0000-0000-0000CF0B0000}"/>
    <cellStyle name="Monétaire_AR1194" xfId="335" xr:uid="{00000000-0005-0000-0000-0000D00B0000}"/>
    <cellStyle name="month" xfId="3525" xr:uid="{00000000-0005-0000-0000-0000D10B0000}"/>
    <cellStyle name="Neutral 10" xfId="3526" xr:uid="{00000000-0005-0000-0000-0000D20B0000}"/>
    <cellStyle name="Neutral 11" xfId="3527" xr:uid="{00000000-0005-0000-0000-0000D30B0000}"/>
    <cellStyle name="Neutral 12" xfId="3528" xr:uid="{00000000-0005-0000-0000-0000D40B0000}"/>
    <cellStyle name="Neutral 13" xfId="3529" xr:uid="{00000000-0005-0000-0000-0000D50B0000}"/>
    <cellStyle name="Neutral 14" xfId="3530" xr:uid="{00000000-0005-0000-0000-0000D60B0000}"/>
    <cellStyle name="Neutral 15" xfId="3531" xr:uid="{00000000-0005-0000-0000-0000D70B0000}"/>
    <cellStyle name="Neutral 16" xfId="124" xr:uid="{00000000-0005-0000-0000-0000D80B0000}"/>
    <cellStyle name="Neutral 2" xfId="125" xr:uid="{00000000-0005-0000-0000-0000D90B0000}"/>
    <cellStyle name="Neutral 2 10" xfId="3533" xr:uid="{00000000-0005-0000-0000-0000DA0B0000}"/>
    <cellStyle name="Neutral 2 11" xfId="3534" xr:uid="{00000000-0005-0000-0000-0000DB0B0000}"/>
    <cellStyle name="Neutral 2 12" xfId="3532" xr:uid="{00000000-0005-0000-0000-0000DC0B0000}"/>
    <cellStyle name="Neutral 2 2" xfId="1378" xr:uid="{00000000-0005-0000-0000-0000DD0B0000}"/>
    <cellStyle name="Neutral 2 2 2" xfId="3535" xr:uid="{00000000-0005-0000-0000-0000DE0B0000}"/>
    <cellStyle name="Neutral 2 3" xfId="3536" xr:uid="{00000000-0005-0000-0000-0000DF0B0000}"/>
    <cellStyle name="Neutral 2 4" xfId="3537" xr:uid="{00000000-0005-0000-0000-0000E00B0000}"/>
    <cellStyle name="Neutral 2 5" xfId="3538" xr:uid="{00000000-0005-0000-0000-0000E10B0000}"/>
    <cellStyle name="Neutral 2 6" xfId="3539" xr:uid="{00000000-0005-0000-0000-0000E20B0000}"/>
    <cellStyle name="Neutral 2 7" xfId="3540" xr:uid="{00000000-0005-0000-0000-0000E30B0000}"/>
    <cellStyle name="Neutral 2 8" xfId="3541" xr:uid="{00000000-0005-0000-0000-0000E40B0000}"/>
    <cellStyle name="Neutral 2 9" xfId="3542" xr:uid="{00000000-0005-0000-0000-0000E50B0000}"/>
    <cellStyle name="Neutral 3" xfId="126" xr:uid="{00000000-0005-0000-0000-0000E60B0000}"/>
    <cellStyle name="Neutral 3 10" xfId="3544" xr:uid="{00000000-0005-0000-0000-0000E70B0000}"/>
    <cellStyle name="Neutral 3 11" xfId="3545" xr:uid="{00000000-0005-0000-0000-0000E80B0000}"/>
    <cellStyle name="Neutral 3 12" xfId="3543" xr:uid="{00000000-0005-0000-0000-0000E90B0000}"/>
    <cellStyle name="Neutral 3 2" xfId="3546" xr:uid="{00000000-0005-0000-0000-0000EA0B0000}"/>
    <cellStyle name="Neutral 3 3" xfId="3547" xr:uid="{00000000-0005-0000-0000-0000EB0B0000}"/>
    <cellStyle name="Neutral 3 4" xfId="3548" xr:uid="{00000000-0005-0000-0000-0000EC0B0000}"/>
    <cellStyle name="Neutral 3 5" xfId="3549" xr:uid="{00000000-0005-0000-0000-0000ED0B0000}"/>
    <cellStyle name="Neutral 3 6" xfId="3550" xr:uid="{00000000-0005-0000-0000-0000EE0B0000}"/>
    <cellStyle name="Neutral 3 7" xfId="3551" xr:uid="{00000000-0005-0000-0000-0000EF0B0000}"/>
    <cellStyle name="Neutral 3 8" xfId="3552" xr:uid="{00000000-0005-0000-0000-0000F00B0000}"/>
    <cellStyle name="Neutral 3 9" xfId="3553" xr:uid="{00000000-0005-0000-0000-0000F10B0000}"/>
    <cellStyle name="Neutral 4" xfId="1380" xr:uid="{00000000-0005-0000-0000-0000F20B0000}"/>
    <cellStyle name="Neutral 4 10" xfId="3555" xr:uid="{00000000-0005-0000-0000-0000F30B0000}"/>
    <cellStyle name="Neutral 4 11" xfId="3556" xr:uid="{00000000-0005-0000-0000-0000F40B0000}"/>
    <cellStyle name="Neutral 4 12" xfId="3554" xr:uid="{00000000-0005-0000-0000-0000F50B0000}"/>
    <cellStyle name="Neutral 4 2" xfId="3557" xr:uid="{00000000-0005-0000-0000-0000F60B0000}"/>
    <cellStyle name="Neutral 4 3" xfId="3558" xr:uid="{00000000-0005-0000-0000-0000F70B0000}"/>
    <cellStyle name="Neutral 4 4" xfId="3559" xr:uid="{00000000-0005-0000-0000-0000F80B0000}"/>
    <cellStyle name="Neutral 4 5" xfId="3560" xr:uid="{00000000-0005-0000-0000-0000F90B0000}"/>
    <cellStyle name="Neutral 4 6" xfId="3561" xr:uid="{00000000-0005-0000-0000-0000FA0B0000}"/>
    <cellStyle name="Neutral 4 7" xfId="3562" xr:uid="{00000000-0005-0000-0000-0000FB0B0000}"/>
    <cellStyle name="Neutral 4 8" xfId="3563" xr:uid="{00000000-0005-0000-0000-0000FC0B0000}"/>
    <cellStyle name="Neutral 4 9" xfId="3564" xr:uid="{00000000-0005-0000-0000-0000FD0B0000}"/>
    <cellStyle name="Neutral 5" xfId="3565" xr:uid="{00000000-0005-0000-0000-0000FE0B0000}"/>
    <cellStyle name="Neutral 5 10" xfId="3566" xr:uid="{00000000-0005-0000-0000-0000FF0B0000}"/>
    <cellStyle name="Neutral 5 11" xfId="3567" xr:uid="{00000000-0005-0000-0000-0000000C0000}"/>
    <cellStyle name="Neutral 5 2" xfId="3568" xr:uid="{00000000-0005-0000-0000-0000010C0000}"/>
    <cellStyle name="Neutral 5 3" xfId="3569" xr:uid="{00000000-0005-0000-0000-0000020C0000}"/>
    <cellStyle name="Neutral 5 4" xfId="3570" xr:uid="{00000000-0005-0000-0000-0000030C0000}"/>
    <cellStyle name="Neutral 5 5" xfId="3571" xr:uid="{00000000-0005-0000-0000-0000040C0000}"/>
    <cellStyle name="Neutral 5 6" xfId="3572" xr:uid="{00000000-0005-0000-0000-0000050C0000}"/>
    <cellStyle name="Neutral 5 7" xfId="3573" xr:uid="{00000000-0005-0000-0000-0000060C0000}"/>
    <cellStyle name="Neutral 5 8" xfId="3574" xr:uid="{00000000-0005-0000-0000-0000070C0000}"/>
    <cellStyle name="Neutral 5 9" xfId="3575" xr:uid="{00000000-0005-0000-0000-0000080C0000}"/>
    <cellStyle name="Neutral 6" xfId="3576" xr:uid="{00000000-0005-0000-0000-0000090C0000}"/>
    <cellStyle name="Neutral 7" xfId="3577" xr:uid="{00000000-0005-0000-0000-00000A0C0000}"/>
    <cellStyle name="Neutral 8" xfId="3578" xr:uid="{00000000-0005-0000-0000-00000B0C0000}"/>
    <cellStyle name="Neutral 9" xfId="3579" xr:uid="{00000000-0005-0000-0000-00000C0C0000}"/>
    <cellStyle name="no dec" xfId="336" xr:uid="{00000000-0005-0000-0000-00000D0C0000}"/>
    <cellStyle name="Normal" xfId="0" builtinId="0"/>
    <cellStyle name="Normal - Style1" xfId="127" xr:uid="{00000000-0005-0000-0000-00000F0C0000}"/>
    <cellStyle name="Normal - Style5" xfId="337" xr:uid="{00000000-0005-0000-0000-0000100C0000}"/>
    <cellStyle name="Normal 10" xfId="169" xr:uid="{00000000-0005-0000-0000-0000110C0000}"/>
    <cellStyle name="Normal 10 2" xfId="338" xr:uid="{00000000-0005-0000-0000-0000120C0000}"/>
    <cellStyle name="Normal 100" xfId="1385" xr:uid="{00000000-0005-0000-0000-0000130C0000}"/>
    <cellStyle name="Normal 101" xfId="1386" xr:uid="{00000000-0005-0000-0000-0000140C0000}"/>
    <cellStyle name="Normal 102" xfId="1387" xr:uid="{00000000-0005-0000-0000-0000150C0000}"/>
    <cellStyle name="Normal 103" xfId="1388" xr:uid="{00000000-0005-0000-0000-0000160C0000}"/>
    <cellStyle name="Normal 104" xfId="1389" xr:uid="{00000000-0005-0000-0000-0000170C0000}"/>
    <cellStyle name="Normal 105" xfId="1390" xr:uid="{00000000-0005-0000-0000-0000180C0000}"/>
    <cellStyle name="Normal 106" xfId="1391" xr:uid="{00000000-0005-0000-0000-0000190C0000}"/>
    <cellStyle name="Normal 107" xfId="1392" xr:uid="{00000000-0005-0000-0000-00001A0C0000}"/>
    <cellStyle name="Normal 108" xfId="1393" xr:uid="{00000000-0005-0000-0000-00001B0C0000}"/>
    <cellStyle name="Normal 109" xfId="1394" xr:uid="{00000000-0005-0000-0000-00001C0C0000}"/>
    <cellStyle name="Normal 11" xfId="174" xr:uid="{00000000-0005-0000-0000-00001D0C0000}"/>
    <cellStyle name="Normal 11 2" xfId="223" xr:uid="{00000000-0005-0000-0000-00001E0C0000}"/>
    <cellStyle name="Normal 110" xfId="1396" xr:uid="{00000000-0005-0000-0000-00001F0C0000}"/>
    <cellStyle name="Normal 111" xfId="1397" xr:uid="{00000000-0005-0000-0000-0000200C0000}"/>
    <cellStyle name="Normal 112" xfId="1398" xr:uid="{00000000-0005-0000-0000-0000210C0000}"/>
    <cellStyle name="Normal 113" xfId="1399" xr:uid="{00000000-0005-0000-0000-0000220C0000}"/>
    <cellStyle name="Normal 114" xfId="1400" xr:uid="{00000000-0005-0000-0000-0000230C0000}"/>
    <cellStyle name="Normal 115" xfId="1401" xr:uid="{00000000-0005-0000-0000-0000240C0000}"/>
    <cellStyle name="Normal 116" xfId="1402" xr:uid="{00000000-0005-0000-0000-0000250C0000}"/>
    <cellStyle name="Normal 117" xfId="1403" xr:uid="{00000000-0005-0000-0000-0000260C0000}"/>
    <cellStyle name="Normal 118" xfId="1404" xr:uid="{00000000-0005-0000-0000-0000270C0000}"/>
    <cellStyle name="Normal 119" xfId="1405" xr:uid="{00000000-0005-0000-0000-0000280C0000}"/>
    <cellStyle name="Normal 12" xfId="214" xr:uid="{00000000-0005-0000-0000-0000290C0000}"/>
    <cellStyle name="Normal 12 2" xfId="229" xr:uid="{00000000-0005-0000-0000-00002A0C0000}"/>
    <cellStyle name="Normal 12 3" xfId="339" xr:uid="{00000000-0005-0000-0000-00002B0C0000}"/>
    <cellStyle name="Normal 120" xfId="1407" xr:uid="{00000000-0005-0000-0000-00002C0C0000}"/>
    <cellStyle name="Normal 120 2" xfId="1408" xr:uid="{00000000-0005-0000-0000-00002D0C0000}"/>
    <cellStyle name="Normal 121" xfId="1409" xr:uid="{00000000-0005-0000-0000-00002E0C0000}"/>
    <cellStyle name="Normal 122" xfId="1410" xr:uid="{00000000-0005-0000-0000-00002F0C0000}"/>
    <cellStyle name="Normal 123" xfId="1411" xr:uid="{00000000-0005-0000-0000-0000300C0000}"/>
    <cellStyle name="Normal 124" xfId="1412" xr:uid="{00000000-0005-0000-0000-0000310C0000}"/>
    <cellStyle name="Normal 125" xfId="1413" xr:uid="{00000000-0005-0000-0000-0000320C0000}"/>
    <cellStyle name="Normal 126" xfId="1414" xr:uid="{00000000-0005-0000-0000-0000330C0000}"/>
    <cellStyle name="Normal 127" xfId="1415" xr:uid="{00000000-0005-0000-0000-0000340C0000}"/>
    <cellStyle name="Normal 128" xfId="1416" xr:uid="{00000000-0005-0000-0000-0000350C0000}"/>
    <cellStyle name="Normal 129" xfId="1417" xr:uid="{00000000-0005-0000-0000-0000360C0000}"/>
    <cellStyle name="Normal 13" xfId="215" xr:uid="{00000000-0005-0000-0000-0000370C0000}"/>
    <cellStyle name="Normal 13 2" xfId="230" xr:uid="{00000000-0005-0000-0000-0000380C0000}"/>
    <cellStyle name="Normal 13 2 2" xfId="3580" xr:uid="{00000000-0005-0000-0000-0000390C0000}"/>
    <cellStyle name="Normal 13 3" xfId="340" xr:uid="{00000000-0005-0000-0000-00003A0C0000}"/>
    <cellStyle name="Normal 13 3 2" xfId="3581" xr:uid="{00000000-0005-0000-0000-00003B0C0000}"/>
    <cellStyle name="Normal 130" xfId="1419" xr:uid="{00000000-0005-0000-0000-00003C0C0000}"/>
    <cellStyle name="Normal 131" xfId="1420" xr:uid="{00000000-0005-0000-0000-00003D0C0000}"/>
    <cellStyle name="Normal 132" xfId="1421" xr:uid="{00000000-0005-0000-0000-00003E0C0000}"/>
    <cellStyle name="Normal 133" xfId="1422" xr:uid="{00000000-0005-0000-0000-00003F0C0000}"/>
    <cellStyle name="Normal 134" xfId="1423" xr:uid="{00000000-0005-0000-0000-0000400C0000}"/>
    <cellStyle name="Normal 135" xfId="1424" xr:uid="{00000000-0005-0000-0000-0000410C0000}"/>
    <cellStyle name="Normal 136" xfId="1425" xr:uid="{00000000-0005-0000-0000-0000420C0000}"/>
    <cellStyle name="Normal 137" xfId="1426" xr:uid="{00000000-0005-0000-0000-0000430C0000}"/>
    <cellStyle name="Normal 138" xfId="1427" xr:uid="{00000000-0005-0000-0000-0000440C0000}"/>
    <cellStyle name="Normal 139" xfId="1428" xr:uid="{00000000-0005-0000-0000-0000450C0000}"/>
    <cellStyle name="Normal 14" xfId="216" xr:uid="{00000000-0005-0000-0000-0000460C0000}"/>
    <cellStyle name="Normal 14 2" xfId="234" xr:uid="{00000000-0005-0000-0000-0000470C0000}"/>
    <cellStyle name="Normal 14 2 2" xfId="3583" xr:uid="{00000000-0005-0000-0000-0000480C0000}"/>
    <cellStyle name="Normal 14 3" xfId="341" xr:uid="{00000000-0005-0000-0000-0000490C0000}"/>
    <cellStyle name="Normal 14 3 2" xfId="3584" xr:uid="{00000000-0005-0000-0000-00004A0C0000}"/>
    <cellStyle name="Normal 14 4" xfId="3582" xr:uid="{00000000-0005-0000-0000-00004B0C0000}"/>
    <cellStyle name="Normal 14 5" xfId="4079" xr:uid="{00000000-0005-0000-0000-00004C0C0000}"/>
    <cellStyle name="Normal 14 6" xfId="4090" xr:uid="{00000000-0005-0000-0000-00004D0C0000}"/>
    <cellStyle name="Normal 14 7" xfId="4096" xr:uid="{00000000-0005-0000-0000-00004E0C0000}"/>
    <cellStyle name="Normal 14 8" xfId="4103" xr:uid="{00000000-0005-0000-0000-00004F0C0000}"/>
    <cellStyle name="Normal 140" xfId="1430" xr:uid="{00000000-0005-0000-0000-0000500C0000}"/>
    <cellStyle name="Normal 141" xfId="1431" xr:uid="{00000000-0005-0000-0000-0000510C0000}"/>
    <cellStyle name="Normal 142" xfId="1432" xr:uid="{00000000-0005-0000-0000-0000520C0000}"/>
    <cellStyle name="Normal 143" xfId="1433" xr:uid="{00000000-0005-0000-0000-0000530C0000}"/>
    <cellStyle name="Normal 144" xfId="1434" xr:uid="{00000000-0005-0000-0000-0000540C0000}"/>
    <cellStyle name="Normal 145" xfId="1435" xr:uid="{00000000-0005-0000-0000-0000550C0000}"/>
    <cellStyle name="Normal 146" xfId="1436" xr:uid="{00000000-0005-0000-0000-0000560C0000}"/>
    <cellStyle name="Normal 147" xfId="1437" xr:uid="{00000000-0005-0000-0000-0000570C0000}"/>
    <cellStyle name="Normal 148" xfId="1438" xr:uid="{00000000-0005-0000-0000-0000580C0000}"/>
    <cellStyle name="Normal 149" xfId="1439" xr:uid="{00000000-0005-0000-0000-0000590C0000}"/>
    <cellStyle name="Normal 15" xfId="220" xr:uid="{00000000-0005-0000-0000-00005A0C0000}"/>
    <cellStyle name="Normal 15 2" xfId="238" xr:uid="{00000000-0005-0000-0000-00005B0C0000}"/>
    <cellStyle name="Normal 15 2 2" xfId="3585" xr:uid="{00000000-0005-0000-0000-00005C0C0000}"/>
    <cellStyle name="Normal 150" xfId="1441" xr:uid="{00000000-0005-0000-0000-00005D0C0000}"/>
    <cellStyle name="Normal 151" xfId="1442" xr:uid="{00000000-0005-0000-0000-00005E0C0000}"/>
    <cellStyle name="Normal 152" xfId="1443" xr:uid="{00000000-0005-0000-0000-00005F0C0000}"/>
    <cellStyle name="Normal 153" xfId="1444" xr:uid="{00000000-0005-0000-0000-0000600C0000}"/>
    <cellStyle name="Normal 154" xfId="1445" xr:uid="{00000000-0005-0000-0000-0000610C0000}"/>
    <cellStyle name="Normal 155" xfId="1446" xr:uid="{00000000-0005-0000-0000-0000620C0000}"/>
    <cellStyle name="Normal 156" xfId="1447" xr:uid="{00000000-0005-0000-0000-0000630C0000}"/>
    <cellStyle name="Normal 157" xfId="1448" xr:uid="{00000000-0005-0000-0000-0000640C0000}"/>
    <cellStyle name="Normal 158" xfId="1449" xr:uid="{00000000-0005-0000-0000-0000650C0000}"/>
    <cellStyle name="Normal 159" xfId="1450" xr:uid="{00000000-0005-0000-0000-0000660C0000}"/>
    <cellStyle name="Normal 16" xfId="221" xr:uid="{00000000-0005-0000-0000-0000670C0000}"/>
    <cellStyle name="Normal 16 2" xfId="239" xr:uid="{00000000-0005-0000-0000-0000680C0000}"/>
    <cellStyle name="Normal 16 2 2" xfId="3586" xr:uid="{00000000-0005-0000-0000-0000690C0000}"/>
    <cellStyle name="Normal 16 3" xfId="342" xr:uid="{00000000-0005-0000-0000-00006A0C0000}"/>
    <cellStyle name="Normal 160" xfId="1452" xr:uid="{00000000-0005-0000-0000-00006B0C0000}"/>
    <cellStyle name="Normal 161" xfId="1453" xr:uid="{00000000-0005-0000-0000-00006C0C0000}"/>
    <cellStyle name="Normal 162" xfId="1454" xr:uid="{00000000-0005-0000-0000-00006D0C0000}"/>
    <cellStyle name="Normal 163" xfId="1455" xr:uid="{00000000-0005-0000-0000-00006E0C0000}"/>
    <cellStyle name="Normal 164" xfId="1456" xr:uid="{00000000-0005-0000-0000-00006F0C0000}"/>
    <cellStyle name="Normal 165" xfId="1457" xr:uid="{00000000-0005-0000-0000-0000700C0000}"/>
    <cellStyle name="Normal 166" xfId="1458" xr:uid="{00000000-0005-0000-0000-0000710C0000}"/>
    <cellStyle name="Normal 167" xfId="1459" xr:uid="{00000000-0005-0000-0000-0000720C0000}"/>
    <cellStyle name="Normal 168" xfId="1460" xr:uid="{00000000-0005-0000-0000-0000730C0000}"/>
    <cellStyle name="Normal 169" xfId="1461" xr:uid="{00000000-0005-0000-0000-0000740C0000}"/>
    <cellStyle name="Normal 17" xfId="222" xr:uid="{00000000-0005-0000-0000-0000750C0000}"/>
    <cellStyle name="Normal 17 2" xfId="343" xr:uid="{00000000-0005-0000-0000-0000760C0000}"/>
    <cellStyle name="Normal 17 2 2" xfId="3588" xr:uid="{00000000-0005-0000-0000-0000770C0000}"/>
    <cellStyle name="Normal 17 3" xfId="3587" xr:uid="{00000000-0005-0000-0000-0000780C0000}"/>
    <cellStyle name="Normal 17 4" xfId="4076" xr:uid="{00000000-0005-0000-0000-0000790C0000}"/>
    <cellStyle name="Normal 17 5" xfId="4088" xr:uid="{00000000-0005-0000-0000-00007A0C0000}"/>
    <cellStyle name="Normal 17 6" xfId="4094" xr:uid="{00000000-0005-0000-0000-00007B0C0000}"/>
    <cellStyle name="Normal 17 7" xfId="4101" xr:uid="{00000000-0005-0000-0000-00007C0C0000}"/>
    <cellStyle name="Normal 170" xfId="1463" xr:uid="{00000000-0005-0000-0000-00007D0C0000}"/>
    <cellStyle name="Normal 171" xfId="1464" xr:uid="{00000000-0005-0000-0000-00007E0C0000}"/>
    <cellStyle name="Normal 172" xfId="1465" xr:uid="{00000000-0005-0000-0000-00007F0C0000}"/>
    <cellStyle name="Normal 173" xfId="1466" xr:uid="{00000000-0005-0000-0000-0000800C0000}"/>
    <cellStyle name="Normal 174" xfId="1467" xr:uid="{00000000-0005-0000-0000-0000810C0000}"/>
    <cellStyle name="Normal 175" xfId="1468" xr:uid="{00000000-0005-0000-0000-0000820C0000}"/>
    <cellStyle name="Normal 176" xfId="1469" xr:uid="{00000000-0005-0000-0000-0000830C0000}"/>
    <cellStyle name="Normal 177" xfId="1470" xr:uid="{00000000-0005-0000-0000-0000840C0000}"/>
    <cellStyle name="Normal 178" xfId="1471" xr:uid="{00000000-0005-0000-0000-0000850C0000}"/>
    <cellStyle name="Normal 179" xfId="1472" xr:uid="{00000000-0005-0000-0000-0000860C0000}"/>
    <cellStyle name="Normal 18" xfId="233" xr:uid="{00000000-0005-0000-0000-0000870C0000}"/>
    <cellStyle name="Normal 18 2" xfId="344" xr:uid="{00000000-0005-0000-0000-0000880C0000}"/>
    <cellStyle name="Normal 18 2 2" xfId="3590" xr:uid="{00000000-0005-0000-0000-0000890C0000}"/>
    <cellStyle name="Normal 18 3" xfId="3589" xr:uid="{00000000-0005-0000-0000-00008A0C0000}"/>
    <cellStyle name="Normal 180" xfId="1474" xr:uid="{00000000-0005-0000-0000-00008B0C0000}"/>
    <cellStyle name="Normal 181" xfId="1475" xr:uid="{00000000-0005-0000-0000-00008C0C0000}"/>
    <cellStyle name="Normal 182" xfId="1476" xr:uid="{00000000-0005-0000-0000-00008D0C0000}"/>
    <cellStyle name="Normal 183" xfId="1477" xr:uid="{00000000-0005-0000-0000-00008E0C0000}"/>
    <cellStyle name="Normal 184" xfId="1478" xr:uid="{00000000-0005-0000-0000-00008F0C0000}"/>
    <cellStyle name="Normal 185" xfId="1479" xr:uid="{00000000-0005-0000-0000-0000900C0000}"/>
    <cellStyle name="Normal 186" xfId="1480" xr:uid="{00000000-0005-0000-0000-0000910C0000}"/>
    <cellStyle name="Normal 187" xfId="1481" xr:uid="{00000000-0005-0000-0000-0000920C0000}"/>
    <cellStyle name="Normal 188" xfId="1482" xr:uid="{00000000-0005-0000-0000-0000930C0000}"/>
    <cellStyle name="Normal 189" xfId="1483" xr:uid="{00000000-0005-0000-0000-0000940C0000}"/>
    <cellStyle name="Normal 19" xfId="236" xr:uid="{00000000-0005-0000-0000-0000950C0000}"/>
    <cellStyle name="Normal 19 2" xfId="345" xr:uid="{00000000-0005-0000-0000-0000960C0000}"/>
    <cellStyle name="Normal 19 2 2" xfId="3592" xr:uid="{00000000-0005-0000-0000-0000970C0000}"/>
    <cellStyle name="Normal 19 3" xfId="3591" xr:uid="{00000000-0005-0000-0000-0000980C0000}"/>
    <cellStyle name="Normal 190" xfId="1485" xr:uid="{00000000-0005-0000-0000-0000990C0000}"/>
    <cellStyle name="Normal 191" xfId="1486" xr:uid="{00000000-0005-0000-0000-00009A0C0000}"/>
    <cellStyle name="Normal 192" xfId="1487" xr:uid="{00000000-0005-0000-0000-00009B0C0000}"/>
    <cellStyle name="Normal 193" xfId="1488" xr:uid="{00000000-0005-0000-0000-00009C0C0000}"/>
    <cellStyle name="Normal 194" xfId="1489" xr:uid="{00000000-0005-0000-0000-00009D0C0000}"/>
    <cellStyle name="Normal 195" xfId="1490" xr:uid="{00000000-0005-0000-0000-00009E0C0000}"/>
    <cellStyle name="Normal 196" xfId="1491" xr:uid="{00000000-0005-0000-0000-00009F0C0000}"/>
    <cellStyle name="Normal 197" xfId="1492" xr:uid="{00000000-0005-0000-0000-0000A00C0000}"/>
    <cellStyle name="Normal 198" xfId="1493" xr:uid="{00000000-0005-0000-0000-0000A10C0000}"/>
    <cellStyle name="Normal 199" xfId="1494" xr:uid="{00000000-0005-0000-0000-0000A20C0000}"/>
    <cellStyle name="Normal 2" xfId="5" xr:uid="{00000000-0005-0000-0000-0000A30C0000}"/>
    <cellStyle name="Normal 2 2" xfId="129" xr:uid="{00000000-0005-0000-0000-0000A40C0000}"/>
    <cellStyle name="Normal 2 2 2" xfId="1497" xr:uid="{00000000-0005-0000-0000-0000A50C0000}"/>
    <cellStyle name="Normal 2 2 2 2" xfId="3594" xr:uid="{00000000-0005-0000-0000-0000A60C0000}"/>
    <cellStyle name="Normal 2 2 3" xfId="3593" xr:uid="{00000000-0005-0000-0000-0000A70C0000}"/>
    <cellStyle name="Normal 2 3" xfId="130" xr:uid="{00000000-0005-0000-0000-0000A80C0000}"/>
    <cellStyle name="Normal 2 3 2" xfId="1498" xr:uid="{00000000-0005-0000-0000-0000A90C0000}"/>
    <cellStyle name="Normal 2 3 2 2" xfId="3595" xr:uid="{00000000-0005-0000-0000-0000AA0C0000}"/>
    <cellStyle name="Normal 2 4" xfId="162" xr:uid="{00000000-0005-0000-0000-0000AB0C0000}"/>
    <cellStyle name="Normal 2 4 2" xfId="1499" xr:uid="{00000000-0005-0000-0000-0000AC0C0000}"/>
    <cellStyle name="Normal 2 4 3" xfId="3596" xr:uid="{00000000-0005-0000-0000-0000AD0C0000}"/>
    <cellStyle name="Normal 2 5" xfId="240" xr:uid="{00000000-0005-0000-0000-0000AE0C0000}"/>
    <cellStyle name="Normal 2 5 2" xfId="1500" xr:uid="{00000000-0005-0000-0000-0000AF0C0000}"/>
    <cellStyle name="Normal 2 5 3" xfId="3597" xr:uid="{00000000-0005-0000-0000-0000B00C0000}"/>
    <cellStyle name="Normal 2 6" xfId="1501" xr:uid="{00000000-0005-0000-0000-0000B10C0000}"/>
    <cellStyle name="Normal 2 6 2" xfId="3598" xr:uid="{00000000-0005-0000-0000-0000B20C0000}"/>
    <cellStyle name="Normal 2 7" xfId="1502" xr:uid="{00000000-0005-0000-0000-0000B30C0000}"/>
    <cellStyle name="Normal 2 7 2" xfId="3599" xr:uid="{00000000-0005-0000-0000-0000B40C0000}"/>
    <cellStyle name="Normal 2 8" xfId="3600" xr:uid="{00000000-0005-0000-0000-0000B50C0000}"/>
    <cellStyle name="Normal 2 9" xfId="128" xr:uid="{00000000-0005-0000-0000-0000B60C0000}"/>
    <cellStyle name="Normal 20" xfId="256" xr:uid="{00000000-0005-0000-0000-0000B70C0000}"/>
    <cellStyle name="Normal 20 2" xfId="346" xr:uid="{00000000-0005-0000-0000-0000B80C0000}"/>
    <cellStyle name="Normal 20 2 2" xfId="3602" xr:uid="{00000000-0005-0000-0000-0000B90C0000}"/>
    <cellStyle name="Normal 20 3" xfId="3601" xr:uid="{00000000-0005-0000-0000-0000BA0C0000}"/>
    <cellStyle name="Normal 200" xfId="1504" xr:uid="{00000000-0005-0000-0000-0000BB0C0000}"/>
    <cellStyle name="Normal 201" xfId="1505" xr:uid="{00000000-0005-0000-0000-0000BC0C0000}"/>
    <cellStyle name="Normal 202" xfId="1506" xr:uid="{00000000-0005-0000-0000-0000BD0C0000}"/>
    <cellStyle name="Normal 203" xfId="1507" xr:uid="{00000000-0005-0000-0000-0000BE0C0000}"/>
    <cellStyle name="Normal 204" xfId="1508" xr:uid="{00000000-0005-0000-0000-0000BF0C0000}"/>
    <cellStyle name="Normal 205" xfId="1509" xr:uid="{00000000-0005-0000-0000-0000C00C0000}"/>
    <cellStyle name="Normal 206" xfId="1510" xr:uid="{00000000-0005-0000-0000-0000C10C0000}"/>
    <cellStyle name="Normal 207" xfId="1511" xr:uid="{00000000-0005-0000-0000-0000C20C0000}"/>
    <cellStyle name="Normal 208" xfId="1512" xr:uid="{00000000-0005-0000-0000-0000C30C0000}"/>
    <cellStyle name="Normal 209" xfId="1513" xr:uid="{00000000-0005-0000-0000-0000C40C0000}"/>
    <cellStyle name="Normal 21" xfId="347" xr:uid="{00000000-0005-0000-0000-0000C50C0000}"/>
    <cellStyle name="Normal 21 2" xfId="3603" xr:uid="{00000000-0005-0000-0000-0000C60C0000}"/>
    <cellStyle name="Normal 210" xfId="1515" xr:uid="{00000000-0005-0000-0000-0000C70C0000}"/>
    <cellStyle name="Normal 211" xfId="1516" xr:uid="{00000000-0005-0000-0000-0000C80C0000}"/>
    <cellStyle name="Normal 212" xfId="1517" xr:uid="{00000000-0005-0000-0000-0000C90C0000}"/>
    <cellStyle name="Normal 213" xfId="1518" xr:uid="{00000000-0005-0000-0000-0000CA0C0000}"/>
    <cellStyle name="Normal 214" xfId="1519" xr:uid="{00000000-0005-0000-0000-0000CB0C0000}"/>
    <cellStyle name="Normal 215" xfId="1520" xr:uid="{00000000-0005-0000-0000-0000CC0C0000}"/>
    <cellStyle name="Normal 216" xfId="1521" xr:uid="{00000000-0005-0000-0000-0000CD0C0000}"/>
    <cellStyle name="Normal 217" xfId="1522" xr:uid="{00000000-0005-0000-0000-0000CE0C0000}"/>
    <cellStyle name="Normal 218" xfId="1523" xr:uid="{00000000-0005-0000-0000-0000CF0C0000}"/>
    <cellStyle name="Normal 219" xfId="1524" xr:uid="{00000000-0005-0000-0000-0000D00C0000}"/>
    <cellStyle name="Normal 22" xfId="348" xr:uid="{00000000-0005-0000-0000-0000D10C0000}"/>
    <cellStyle name="Normal 22 2" xfId="3604" xr:uid="{00000000-0005-0000-0000-0000D20C0000}"/>
    <cellStyle name="Normal 220" xfId="1526" xr:uid="{00000000-0005-0000-0000-0000D30C0000}"/>
    <cellStyle name="Normal 221" xfId="1527" xr:uid="{00000000-0005-0000-0000-0000D40C0000}"/>
    <cellStyle name="Normal 222" xfId="1528" xr:uid="{00000000-0005-0000-0000-0000D50C0000}"/>
    <cellStyle name="Normal 223" xfId="1529" xr:uid="{00000000-0005-0000-0000-0000D60C0000}"/>
    <cellStyle name="Normal 224" xfId="1530" xr:uid="{00000000-0005-0000-0000-0000D70C0000}"/>
    <cellStyle name="Normal 225" xfId="1531" xr:uid="{00000000-0005-0000-0000-0000D80C0000}"/>
    <cellStyle name="Normal 226" xfId="1532" xr:uid="{00000000-0005-0000-0000-0000D90C0000}"/>
    <cellStyle name="Normal 227" xfId="1533" xr:uid="{00000000-0005-0000-0000-0000DA0C0000}"/>
    <cellStyle name="Normal 228" xfId="1534" xr:uid="{00000000-0005-0000-0000-0000DB0C0000}"/>
    <cellStyle name="Normal 229" xfId="1535" xr:uid="{00000000-0005-0000-0000-0000DC0C0000}"/>
    <cellStyle name="Normal 23" xfId="349" xr:uid="{00000000-0005-0000-0000-0000DD0C0000}"/>
    <cellStyle name="Normal 23 2" xfId="3605" xr:uid="{00000000-0005-0000-0000-0000DE0C0000}"/>
    <cellStyle name="Normal 230" xfId="1537" xr:uid="{00000000-0005-0000-0000-0000DF0C0000}"/>
    <cellStyle name="Normal 231" xfId="1538" xr:uid="{00000000-0005-0000-0000-0000E00C0000}"/>
    <cellStyle name="Normal 232" xfId="1539" xr:uid="{00000000-0005-0000-0000-0000E10C0000}"/>
    <cellStyle name="Normal 233" xfId="1540" xr:uid="{00000000-0005-0000-0000-0000E20C0000}"/>
    <cellStyle name="Normal 234" xfId="1541" xr:uid="{00000000-0005-0000-0000-0000E30C0000}"/>
    <cellStyle name="Normal 235" xfId="1542" xr:uid="{00000000-0005-0000-0000-0000E40C0000}"/>
    <cellStyle name="Normal 236" xfId="1543" xr:uid="{00000000-0005-0000-0000-0000E50C0000}"/>
    <cellStyle name="Normal 237" xfId="1544" xr:uid="{00000000-0005-0000-0000-0000E60C0000}"/>
    <cellStyle name="Normal 238" xfId="1545" xr:uid="{00000000-0005-0000-0000-0000E70C0000}"/>
    <cellStyle name="Normal 239" xfId="440" xr:uid="{00000000-0005-0000-0000-0000E80C0000}"/>
    <cellStyle name="Normal 24" xfId="350" xr:uid="{00000000-0005-0000-0000-0000E90C0000}"/>
    <cellStyle name="Normal 24 2" xfId="3606" xr:uid="{00000000-0005-0000-0000-0000EA0C0000}"/>
    <cellStyle name="Normal 240" xfId="1777" xr:uid="{00000000-0005-0000-0000-0000EB0C0000}"/>
    <cellStyle name="Normal 241" xfId="2933" xr:uid="{00000000-0005-0000-0000-0000EC0C0000}"/>
    <cellStyle name="Normal 242" xfId="4060" xr:uid="{00000000-0005-0000-0000-0000ED0C0000}"/>
    <cellStyle name="Normal 243" xfId="4072" xr:uid="{00000000-0005-0000-0000-0000EE0C0000}"/>
    <cellStyle name="Normal 244" xfId="4074" xr:uid="{00000000-0005-0000-0000-0000EF0C0000}"/>
    <cellStyle name="Normal 245" xfId="4086" xr:uid="{00000000-0005-0000-0000-0000F00C0000}"/>
    <cellStyle name="Normal 246" xfId="4092" xr:uid="{00000000-0005-0000-0000-0000F10C0000}"/>
    <cellStyle name="Normal 247" xfId="4099" xr:uid="{00000000-0005-0000-0000-0000F20C0000}"/>
    <cellStyle name="Normal 248" xfId="4105" xr:uid="{00000000-0005-0000-0000-0000F30C0000}"/>
    <cellStyle name="Normal 249" xfId="7" xr:uid="{00000000-0005-0000-0000-0000F40C0000}"/>
    <cellStyle name="Normal 25" xfId="351" xr:uid="{00000000-0005-0000-0000-0000F50C0000}"/>
    <cellStyle name="Normal 25 2" xfId="1547" xr:uid="{00000000-0005-0000-0000-0000F60C0000}"/>
    <cellStyle name="Normal 25 3" xfId="3607" xr:uid="{00000000-0005-0000-0000-0000F70C0000}"/>
    <cellStyle name="Normal 250" xfId="4111" xr:uid="{00000000-0005-0000-0000-0000F80C0000}"/>
    <cellStyle name="Normal 26" xfId="352" xr:uid="{00000000-0005-0000-0000-0000F90C0000}"/>
    <cellStyle name="Normal 26 2" xfId="1548" xr:uid="{00000000-0005-0000-0000-0000FA0C0000}"/>
    <cellStyle name="Normal 26 3" xfId="3608" xr:uid="{00000000-0005-0000-0000-0000FB0C0000}"/>
    <cellStyle name="Normal 27" xfId="353" xr:uid="{00000000-0005-0000-0000-0000FC0C0000}"/>
    <cellStyle name="Normal 27 2" xfId="3609" xr:uid="{00000000-0005-0000-0000-0000FD0C0000}"/>
    <cellStyle name="Normal 28" xfId="354" xr:uid="{00000000-0005-0000-0000-0000FE0C0000}"/>
    <cellStyle name="Normal 28 2" xfId="3610" xr:uid="{00000000-0005-0000-0000-0000FF0C0000}"/>
    <cellStyle name="Normal 29" xfId="355" xr:uid="{00000000-0005-0000-0000-0000000D0000}"/>
    <cellStyle name="Normal 29 2" xfId="3611" xr:uid="{00000000-0005-0000-0000-0000010D0000}"/>
    <cellStyle name="Normal 3" xfId="131" xr:uid="{00000000-0005-0000-0000-0000020D0000}"/>
    <cellStyle name="Normal 3 10" xfId="3612" xr:uid="{00000000-0005-0000-0000-0000030D0000}"/>
    <cellStyle name="Normal 3 11" xfId="3613" xr:uid="{00000000-0005-0000-0000-0000040D0000}"/>
    <cellStyle name="Normal 3 2" xfId="132" xr:uid="{00000000-0005-0000-0000-0000050D0000}"/>
    <cellStyle name="Normal 3 2 2" xfId="242" xr:uid="{00000000-0005-0000-0000-0000060D0000}"/>
    <cellStyle name="Normal 3 2 2 2" xfId="357" xr:uid="{00000000-0005-0000-0000-0000070D0000}"/>
    <cellStyle name="Normal 3 2 2 3" xfId="3615" xr:uid="{00000000-0005-0000-0000-0000080D0000}"/>
    <cellStyle name="Normal 3 2 3" xfId="356" xr:uid="{00000000-0005-0000-0000-0000090D0000}"/>
    <cellStyle name="Normal 3 2 4" xfId="3614" xr:uid="{00000000-0005-0000-0000-00000A0D0000}"/>
    <cellStyle name="Normal 3 3" xfId="163" xr:uid="{00000000-0005-0000-0000-00000B0D0000}"/>
    <cellStyle name="Normal 3 3 2" xfId="3616" xr:uid="{00000000-0005-0000-0000-00000C0D0000}"/>
    <cellStyle name="Normal 3 4" xfId="241" xr:uid="{00000000-0005-0000-0000-00000D0D0000}"/>
    <cellStyle name="Normal 3 4 2" xfId="3617" xr:uid="{00000000-0005-0000-0000-00000E0D0000}"/>
    <cellStyle name="Normal 3 5" xfId="1552" xr:uid="{00000000-0005-0000-0000-00000F0D0000}"/>
    <cellStyle name="Normal 3 5 2" xfId="3618" xr:uid="{00000000-0005-0000-0000-0000100D0000}"/>
    <cellStyle name="Normal 3 6" xfId="3619" xr:uid="{00000000-0005-0000-0000-0000110D0000}"/>
    <cellStyle name="Normal 3 7" xfId="3620" xr:uid="{00000000-0005-0000-0000-0000120D0000}"/>
    <cellStyle name="Normal 3 8" xfId="3621" xr:uid="{00000000-0005-0000-0000-0000130D0000}"/>
    <cellStyle name="Normal 3 9" xfId="3622" xr:uid="{00000000-0005-0000-0000-0000140D0000}"/>
    <cellStyle name="Normal 30" xfId="358" xr:uid="{00000000-0005-0000-0000-0000150D0000}"/>
    <cellStyle name="Normal 30 2" xfId="3623" xr:uid="{00000000-0005-0000-0000-0000160D0000}"/>
    <cellStyle name="Normal 31" xfId="359" xr:uid="{00000000-0005-0000-0000-0000170D0000}"/>
    <cellStyle name="Normal 31 2" xfId="3625" xr:uid="{00000000-0005-0000-0000-0000180D0000}"/>
    <cellStyle name="Normal 31 2 2" xfId="4085" xr:uid="{00000000-0005-0000-0000-0000190D0000}"/>
    <cellStyle name="Normal 31 2 2 2 2" xfId="4098" xr:uid="{00000000-0005-0000-0000-00001A0D0000}"/>
    <cellStyle name="Normal 31 2 2 2 2 2" xfId="4107" xr:uid="{00000000-0005-0000-0000-00001B0D0000}"/>
    <cellStyle name="Normal 31 2 3" xfId="4091" xr:uid="{00000000-0005-0000-0000-00001C0D0000}"/>
    <cellStyle name="Normal 31 2 4" xfId="4097" xr:uid="{00000000-0005-0000-0000-00001D0D0000}"/>
    <cellStyle name="Normal 31 2 5" xfId="4106" xr:uid="{00000000-0005-0000-0000-00001E0D0000}"/>
    <cellStyle name="Normal 31 3" xfId="3624" xr:uid="{00000000-0005-0000-0000-00001F0D0000}"/>
    <cellStyle name="Normal 32" xfId="360" xr:uid="{00000000-0005-0000-0000-0000200D0000}"/>
    <cellStyle name="Normal 33" xfId="361" xr:uid="{00000000-0005-0000-0000-0000210D0000}"/>
    <cellStyle name="Normal 34" xfId="362" xr:uid="{00000000-0005-0000-0000-0000220D0000}"/>
    <cellStyle name="Normal 35" xfId="363" xr:uid="{00000000-0005-0000-0000-0000230D0000}"/>
    <cellStyle name="Normal 36" xfId="364" xr:uid="{00000000-0005-0000-0000-0000240D0000}"/>
    <cellStyle name="Normal 37" xfId="365" xr:uid="{00000000-0005-0000-0000-0000250D0000}"/>
    <cellStyle name="Normal 38" xfId="366" xr:uid="{00000000-0005-0000-0000-0000260D0000}"/>
    <cellStyle name="Normal 39" xfId="367" xr:uid="{00000000-0005-0000-0000-0000270D0000}"/>
    <cellStyle name="Normal 399" xfId="3" xr:uid="{00000000-0005-0000-0000-0000280D0000}"/>
    <cellStyle name="Normal 4" xfId="160" xr:uid="{00000000-0005-0000-0000-0000290D0000}"/>
    <cellStyle name="Normal 4 10" xfId="3627" xr:uid="{00000000-0005-0000-0000-00002A0D0000}"/>
    <cellStyle name="Normal 4 11" xfId="3628" xr:uid="{00000000-0005-0000-0000-00002B0D0000}"/>
    <cellStyle name="Normal 4 12" xfId="3629" xr:uid="{00000000-0005-0000-0000-00002C0D0000}"/>
    <cellStyle name="Normal 4 13" xfId="3626" xr:uid="{00000000-0005-0000-0000-00002D0D0000}"/>
    <cellStyle name="Normal 4 2" xfId="219" xr:uid="{00000000-0005-0000-0000-00002E0D0000}"/>
    <cellStyle name="Normal 4 2 2" xfId="3631" xr:uid="{00000000-0005-0000-0000-00002F0D0000}"/>
    <cellStyle name="Normal 4 2 3" xfId="3632" xr:uid="{00000000-0005-0000-0000-0000300D0000}"/>
    <cellStyle name="Normal 4 2 4" xfId="3630" xr:uid="{00000000-0005-0000-0000-0000310D0000}"/>
    <cellStyle name="Normal 4 3" xfId="368" xr:uid="{00000000-0005-0000-0000-0000320D0000}"/>
    <cellStyle name="Normal 4 3 2" xfId="3633" xr:uid="{00000000-0005-0000-0000-0000330D0000}"/>
    <cellStyle name="Normal 4 4" xfId="3634" xr:uid="{00000000-0005-0000-0000-0000340D0000}"/>
    <cellStyle name="Normal 4 5" xfId="3635" xr:uid="{00000000-0005-0000-0000-0000350D0000}"/>
    <cellStyle name="Normal 4 6" xfId="3636" xr:uid="{00000000-0005-0000-0000-0000360D0000}"/>
    <cellStyle name="Normal 4 7" xfId="3637" xr:uid="{00000000-0005-0000-0000-0000370D0000}"/>
    <cellStyle name="Normal 4 8" xfId="3638" xr:uid="{00000000-0005-0000-0000-0000380D0000}"/>
    <cellStyle name="Normal 4 9" xfId="3639" xr:uid="{00000000-0005-0000-0000-0000390D0000}"/>
    <cellStyle name="Normal 40" xfId="369" xr:uid="{00000000-0005-0000-0000-00003A0D0000}"/>
    <cellStyle name="Normal 41" xfId="370" xr:uid="{00000000-0005-0000-0000-00003B0D0000}"/>
    <cellStyle name="Normal 42" xfId="371" xr:uid="{00000000-0005-0000-0000-00003C0D0000}"/>
    <cellStyle name="Normal 43" xfId="372" xr:uid="{00000000-0005-0000-0000-00003D0D0000}"/>
    <cellStyle name="Normal 44" xfId="373" xr:uid="{00000000-0005-0000-0000-00003E0D0000}"/>
    <cellStyle name="Normal 45" xfId="374" xr:uid="{00000000-0005-0000-0000-00003F0D0000}"/>
    <cellStyle name="Normal 46" xfId="375" xr:uid="{00000000-0005-0000-0000-0000400D0000}"/>
    <cellStyle name="Normal 47" xfId="376" xr:uid="{00000000-0005-0000-0000-0000410D0000}"/>
    <cellStyle name="Normal 48" xfId="377" xr:uid="{00000000-0005-0000-0000-0000420D0000}"/>
    <cellStyle name="Normal 49" xfId="378" xr:uid="{00000000-0005-0000-0000-0000430D0000}"/>
    <cellStyle name="Normal 5" xfId="170" xr:uid="{00000000-0005-0000-0000-0000440D0000}"/>
    <cellStyle name="Normal 5 10" xfId="3640" xr:uid="{00000000-0005-0000-0000-0000450D0000}"/>
    <cellStyle name="Normal 5 11" xfId="3641" xr:uid="{00000000-0005-0000-0000-0000460D0000}"/>
    <cellStyle name="Normal 5 12" xfId="3642" xr:uid="{00000000-0005-0000-0000-0000470D0000}"/>
    <cellStyle name="Normal 5 2" xfId="244" xr:uid="{00000000-0005-0000-0000-0000480D0000}"/>
    <cellStyle name="Normal 5 2 2" xfId="380" xr:uid="{00000000-0005-0000-0000-0000490D0000}"/>
    <cellStyle name="Normal 5 3" xfId="243" xr:uid="{00000000-0005-0000-0000-00004A0D0000}"/>
    <cellStyle name="Normal 5 3 2" xfId="3643" xr:uid="{00000000-0005-0000-0000-00004B0D0000}"/>
    <cellStyle name="Normal 5 4" xfId="379" xr:uid="{00000000-0005-0000-0000-00004C0D0000}"/>
    <cellStyle name="Normal 5 4 2" xfId="3644" xr:uid="{00000000-0005-0000-0000-00004D0D0000}"/>
    <cellStyle name="Normal 5 5" xfId="1576" xr:uid="{00000000-0005-0000-0000-00004E0D0000}"/>
    <cellStyle name="Normal 5 5 2" xfId="3645" xr:uid="{00000000-0005-0000-0000-00004F0D0000}"/>
    <cellStyle name="Normal 5 6" xfId="3646" xr:uid="{00000000-0005-0000-0000-0000500D0000}"/>
    <cellStyle name="Normal 5 7" xfId="3647" xr:uid="{00000000-0005-0000-0000-0000510D0000}"/>
    <cellStyle name="Normal 5 8" xfId="3648" xr:uid="{00000000-0005-0000-0000-0000520D0000}"/>
    <cellStyle name="Normal 5 9" xfId="3649" xr:uid="{00000000-0005-0000-0000-0000530D0000}"/>
    <cellStyle name="Normal 5_Assumption of Load SCOD_data updated_22 Jun 2010_send out" xfId="3650" xr:uid="{00000000-0005-0000-0000-0000540D0000}"/>
    <cellStyle name="Normal 50" xfId="381" xr:uid="{00000000-0005-0000-0000-0000550D0000}"/>
    <cellStyle name="Normal 51" xfId="382" xr:uid="{00000000-0005-0000-0000-0000560D0000}"/>
    <cellStyle name="Normal 52" xfId="383" xr:uid="{00000000-0005-0000-0000-0000570D0000}"/>
    <cellStyle name="Normal 53" xfId="384" xr:uid="{00000000-0005-0000-0000-0000580D0000}"/>
    <cellStyle name="Normal 54" xfId="385" xr:uid="{00000000-0005-0000-0000-0000590D0000}"/>
    <cellStyle name="Normal 55" xfId="386" xr:uid="{00000000-0005-0000-0000-00005A0D0000}"/>
    <cellStyle name="Normal 56" xfId="387" xr:uid="{00000000-0005-0000-0000-00005B0D0000}"/>
    <cellStyle name="Normal 57" xfId="388" xr:uid="{00000000-0005-0000-0000-00005C0D0000}"/>
    <cellStyle name="Normal 58" xfId="389" xr:uid="{00000000-0005-0000-0000-00005D0D0000}"/>
    <cellStyle name="Normal 59" xfId="390" xr:uid="{00000000-0005-0000-0000-00005E0D0000}"/>
    <cellStyle name="Normal 6" xfId="161" xr:uid="{00000000-0005-0000-0000-00005F0D0000}"/>
    <cellStyle name="Normal 6 10" xfId="3651" xr:uid="{00000000-0005-0000-0000-0000600D0000}"/>
    <cellStyle name="Normal 6 11" xfId="3652" xr:uid="{00000000-0005-0000-0000-0000610D0000}"/>
    <cellStyle name="Normal 6 2" xfId="246" xr:uid="{00000000-0005-0000-0000-0000620D0000}"/>
    <cellStyle name="Normal 6 2 2" xfId="1590" xr:uid="{00000000-0005-0000-0000-0000630D0000}"/>
    <cellStyle name="Normal 6 2 2 2" xfId="3653" xr:uid="{00000000-0005-0000-0000-0000640D0000}"/>
    <cellStyle name="Normal 6 2 3" xfId="1589" xr:uid="{00000000-0005-0000-0000-0000650D0000}"/>
    <cellStyle name="Normal 6 3" xfId="245" xr:uid="{00000000-0005-0000-0000-0000660D0000}"/>
    <cellStyle name="Normal 6 3 2" xfId="3654" xr:uid="{00000000-0005-0000-0000-0000670D0000}"/>
    <cellStyle name="Normal 6 4" xfId="391" xr:uid="{00000000-0005-0000-0000-0000680D0000}"/>
    <cellStyle name="Normal 6 4 2" xfId="3655" xr:uid="{00000000-0005-0000-0000-0000690D0000}"/>
    <cellStyle name="Normal 6 5" xfId="3656" xr:uid="{00000000-0005-0000-0000-00006A0D0000}"/>
    <cellStyle name="Normal 6 6" xfId="3657" xr:uid="{00000000-0005-0000-0000-00006B0D0000}"/>
    <cellStyle name="Normal 6 7" xfId="3658" xr:uid="{00000000-0005-0000-0000-00006C0D0000}"/>
    <cellStyle name="Normal 6 8" xfId="3659" xr:uid="{00000000-0005-0000-0000-00006D0D0000}"/>
    <cellStyle name="Normal 6 9" xfId="3660" xr:uid="{00000000-0005-0000-0000-00006E0D0000}"/>
    <cellStyle name="Normal 60" xfId="392" xr:uid="{00000000-0005-0000-0000-00006F0D0000}"/>
    <cellStyle name="Normal 61" xfId="393" xr:uid="{00000000-0005-0000-0000-0000700D0000}"/>
    <cellStyle name="Normal 62" xfId="394" xr:uid="{00000000-0005-0000-0000-0000710D0000}"/>
    <cellStyle name="Normal 63" xfId="395" xr:uid="{00000000-0005-0000-0000-0000720D0000}"/>
    <cellStyle name="Normal 64" xfId="396" xr:uid="{00000000-0005-0000-0000-0000730D0000}"/>
    <cellStyle name="Normal 65" xfId="397" xr:uid="{00000000-0005-0000-0000-0000740D0000}"/>
    <cellStyle name="Normal 66" xfId="398" xr:uid="{00000000-0005-0000-0000-0000750D0000}"/>
    <cellStyle name="Normal 67" xfId="399" xr:uid="{00000000-0005-0000-0000-0000760D0000}"/>
    <cellStyle name="Normal 68" xfId="400" xr:uid="{00000000-0005-0000-0000-0000770D0000}"/>
    <cellStyle name="Normal 69" xfId="401" xr:uid="{00000000-0005-0000-0000-0000780D0000}"/>
    <cellStyle name="Normal 7" xfId="164" xr:uid="{00000000-0005-0000-0000-0000790D0000}"/>
    <cellStyle name="Normal 7 10" xfId="3661" xr:uid="{00000000-0005-0000-0000-00007A0D0000}"/>
    <cellStyle name="Normal 7 11" xfId="3662" xr:uid="{00000000-0005-0000-0000-00007B0D0000}"/>
    <cellStyle name="Normal 7 2" xfId="248" xr:uid="{00000000-0005-0000-0000-00007C0D0000}"/>
    <cellStyle name="Normal 7 2 2" xfId="1602" xr:uid="{00000000-0005-0000-0000-00007D0D0000}"/>
    <cellStyle name="Normal 7 2 2 2" xfId="3663" xr:uid="{00000000-0005-0000-0000-00007E0D0000}"/>
    <cellStyle name="Normal 7 3" xfId="247" xr:uid="{00000000-0005-0000-0000-00007F0D0000}"/>
    <cellStyle name="Normal 7 3 2" xfId="3664" xr:uid="{00000000-0005-0000-0000-0000800D0000}"/>
    <cellStyle name="Normal 7 4" xfId="402" xr:uid="{00000000-0005-0000-0000-0000810D0000}"/>
    <cellStyle name="Normal 7 4 2" xfId="3665" xr:uid="{00000000-0005-0000-0000-0000820D0000}"/>
    <cellStyle name="Normal 7 5" xfId="3666" xr:uid="{00000000-0005-0000-0000-0000830D0000}"/>
    <cellStyle name="Normal 7 6" xfId="3667" xr:uid="{00000000-0005-0000-0000-0000840D0000}"/>
    <cellStyle name="Normal 7 7" xfId="3668" xr:uid="{00000000-0005-0000-0000-0000850D0000}"/>
    <cellStyle name="Normal 7 8" xfId="3669" xr:uid="{00000000-0005-0000-0000-0000860D0000}"/>
    <cellStyle name="Normal 7 9" xfId="3670" xr:uid="{00000000-0005-0000-0000-0000870D0000}"/>
    <cellStyle name="Normal 70" xfId="403" xr:uid="{00000000-0005-0000-0000-0000880D0000}"/>
    <cellStyle name="Normal 71" xfId="404" xr:uid="{00000000-0005-0000-0000-0000890D0000}"/>
    <cellStyle name="Normal 72" xfId="405" xr:uid="{00000000-0005-0000-0000-00008A0D0000}"/>
    <cellStyle name="Normal 73" xfId="406" xr:uid="{00000000-0005-0000-0000-00008B0D0000}"/>
    <cellStyle name="Normal 74" xfId="407" xr:uid="{00000000-0005-0000-0000-00008C0D0000}"/>
    <cellStyle name="Normal 75" xfId="408" xr:uid="{00000000-0005-0000-0000-00008D0D0000}"/>
    <cellStyle name="Normal 76" xfId="409" xr:uid="{00000000-0005-0000-0000-00008E0D0000}"/>
    <cellStyle name="Normal 77" xfId="410" xr:uid="{00000000-0005-0000-0000-00008F0D0000}"/>
    <cellStyle name="Normal 78" xfId="411" xr:uid="{00000000-0005-0000-0000-0000900D0000}"/>
    <cellStyle name="Normal 79" xfId="412" xr:uid="{00000000-0005-0000-0000-0000910D0000}"/>
    <cellStyle name="Normal 8" xfId="172" xr:uid="{00000000-0005-0000-0000-0000920D0000}"/>
    <cellStyle name="Normal 8 10" xfId="1614" xr:uid="{00000000-0005-0000-0000-0000930D0000}"/>
    <cellStyle name="Normal 8 11" xfId="1615" xr:uid="{00000000-0005-0000-0000-0000940D0000}"/>
    <cellStyle name="Normal 8 12" xfId="1616" xr:uid="{00000000-0005-0000-0000-0000950D0000}"/>
    <cellStyle name="Normal 8 13" xfId="1617" xr:uid="{00000000-0005-0000-0000-0000960D0000}"/>
    <cellStyle name="Normal 8 14" xfId="1618" xr:uid="{00000000-0005-0000-0000-0000970D0000}"/>
    <cellStyle name="Normal 8 15" xfId="1619" xr:uid="{00000000-0005-0000-0000-0000980D0000}"/>
    <cellStyle name="Normal 8 16" xfId="1620" xr:uid="{00000000-0005-0000-0000-0000990D0000}"/>
    <cellStyle name="Normal 8 17" xfId="1621" xr:uid="{00000000-0005-0000-0000-00009A0D0000}"/>
    <cellStyle name="Normal 8 18" xfId="1622" xr:uid="{00000000-0005-0000-0000-00009B0D0000}"/>
    <cellStyle name="Normal 8 19" xfId="1623" xr:uid="{00000000-0005-0000-0000-00009C0D0000}"/>
    <cellStyle name="Normal 8 2" xfId="249" xr:uid="{00000000-0005-0000-0000-00009D0D0000}"/>
    <cellStyle name="Normal 8 2 2" xfId="414" xr:uid="{00000000-0005-0000-0000-00009E0D0000}"/>
    <cellStyle name="Normal 8 2 2 2" xfId="1625" xr:uid="{00000000-0005-0000-0000-00009F0D0000}"/>
    <cellStyle name="Normal 8 2 3" xfId="1624" xr:uid="{00000000-0005-0000-0000-0000A00D0000}"/>
    <cellStyle name="Normal 8 20" xfId="1626" xr:uid="{00000000-0005-0000-0000-0000A10D0000}"/>
    <cellStyle name="Normal 8 21" xfId="1627" xr:uid="{00000000-0005-0000-0000-0000A20D0000}"/>
    <cellStyle name="Normal 8 22" xfId="1628" xr:uid="{00000000-0005-0000-0000-0000A30D0000}"/>
    <cellStyle name="Normal 8 23" xfId="1629" xr:uid="{00000000-0005-0000-0000-0000A40D0000}"/>
    <cellStyle name="Normal 8 3" xfId="413" xr:uid="{00000000-0005-0000-0000-0000A50D0000}"/>
    <cellStyle name="Normal 8 3 2" xfId="1630" xr:uid="{00000000-0005-0000-0000-0000A60D0000}"/>
    <cellStyle name="Normal 8 4" xfId="1631" xr:uid="{00000000-0005-0000-0000-0000A70D0000}"/>
    <cellStyle name="Normal 8 5" xfId="1632" xr:uid="{00000000-0005-0000-0000-0000A80D0000}"/>
    <cellStyle name="Normal 8 6" xfId="1633" xr:uid="{00000000-0005-0000-0000-0000A90D0000}"/>
    <cellStyle name="Normal 8 7" xfId="1634" xr:uid="{00000000-0005-0000-0000-0000AA0D0000}"/>
    <cellStyle name="Normal 8 8" xfId="1635" xr:uid="{00000000-0005-0000-0000-0000AB0D0000}"/>
    <cellStyle name="Normal 8 9" xfId="1636" xr:uid="{00000000-0005-0000-0000-0000AC0D0000}"/>
    <cellStyle name="Normal 80" xfId="415" xr:uid="{00000000-0005-0000-0000-0000AD0D0000}"/>
    <cellStyle name="Normal 81" xfId="416" xr:uid="{00000000-0005-0000-0000-0000AE0D0000}"/>
    <cellStyle name="Normal 82" xfId="417" xr:uid="{00000000-0005-0000-0000-0000AF0D0000}"/>
    <cellStyle name="Normal 83" xfId="418" xr:uid="{00000000-0005-0000-0000-0000B00D0000}"/>
    <cellStyle name="Normal 84" xfId="419" xr:uid="{00000000-0005-0000-0000-0000B10D0000}"/>
    <cellStyle name="Normal 85" xfId="420" xr:uid="{00000000-0005-0000-0000-0000B20D0000}"/>
    <cellStyle name="Normal 85 2" xfId="1642" xr:uid="{00000000-0005-0000-0000-0000B30D0000}"/>
    <cellStyle name="Normal 86" xfId="421" xr:uid="{00000000-0005-0000-0000-0000B40D0000}"/>
    <cellStyle name="Normal 87" xfId="422" xr:uid="{00000000-0005-0000-0000-0000B50D0000}"/>
    <cellStyle name="Normal 88" xfId="423" xr:uid="{00000000-0005-0000-0000-0000B60D0000}"/>
    <cellStyle name="Normal 88 2" xfId="424" xr:uid="{00000000-0005-0000-0000-0000B70D0000}"/>
    <cellStyle name="Normal 89" xfId="260" xr:uid="{00000000-0005-0000-0000-0000B80D0000}"/>
    <cellStyle name="Normal 89 2" xfId="1647" xr:uid="{00000000-0005-0000-0000-0000B90D0000}"/>
    <cellStyle name="Normal 9" xfId="173" xr:uid="{00000000-0005-0000-0000-0000BA0D0000}"/>
    <cellStyle name="Normal 9 2" xfId="251" xr:uid="{00000000-0005-0000-0000-0000BB0D0000}"/>
    <cellStyle name="Normal 9 3" xfId="250" xr:uid="{00000000-0005-0000-0000-0000BC0D0000}"/>
    <cellStyle name="Normal 90" xfId="436" xr:uid="{00000000-0005-0000-0000-0000BD0D0000}"/>
    <cellStyle name="Normal 90 2" xfId="1649" xr:uid="{00000000-0005-0000-0000-0000BE0D0000}"/>
    <cellStyle name="Normal 91" xfId="437" xr:uid="{00000000-0005-0000-0000-0000BF0D0000}"/>
    <cellStyle name="Normal 91 2" xfId="1650" xr:uid="{00000000-0005-0000-0000-0000C00D0000}"/>
    <cellStyle name="Normal 92" xfId="438" xr:uid="{00000000-0005-0000-0000-0000C10D0000}"/>
    <cellStyle name="Normal 92 2" xfId="1651" xr:uid="{00000000-0005-0000-0000-0000C20D0000}"/>
    <cellStyle name="Normal 93" xfId="439" xr:uid="{00000000-0005-0000-0000-0000C30D0000}"/>
    <cellStyle name="Normal 93 2" xfId="1652" xr:uid="{00000000-0005-0000-0000-0000C40D0000}"/>
    <cellStyle name="Normal 94" xfId="1653" xr:uid="{00000000-0005-0000-0000-0000C50D0000}"/>
    <cellStyle name="Normal 95" xfId="1654" xr:uid="{00000000-0005-0000-0000-0000C60D0000}"/>
    <cellStyle name="Normal 96" xfId="1655" xr:uid="{00000000-0005-0000-0000-0000C70D0000}"/>
    <cellStyle name="Normal 96 2" xfId="1656" xr:uid="{00000000-0005-0000-0000-0000C80D0000}"/>
    <cellStyle name="Normal 97" xfId="1657" xr:uid="{00000000-0005-0000-0000-0000C90D0000}"/>
    <cellStyle name="Normal 98" xfId="1658" xr:uid="{00000000-0005-0000-0000-0000CA0D0000}"/>
    <cellStyle name="Normal 99" xfId="1659" xr:uid="{00000000-0005-0000-0000-0000CB0D0000}"/>
    <cellStyle name="Note 10" xfId="3671" xr:uid="{00000000-0005-0000-0000-0000CC0D0000}"/>
    <cellStyle name="Note 11" xfId="3672" xr:uid="{00000000-0005-0000-0000-0000CD0D0000}"/>
    <cellStyle name="Note 12" xfId="3673" xr:uid="{00000000-0005-0000-0000-0000CE0D0000}"/>
    <cellStyle name="Note 13" xfId="3674" xr:uid="{00000000-0005-0000-0000-0000CF0D0000}"/>
    <cellStyle name="Note 14" xfId="3675" xr:uid="{00000000-0005-0000-0000-0000D00D0000}"/>
    <cellStyle name="Note 15" xfId="3676" xr:uid="{00000000-0005-0000-0000-0000D10D0000}"/>
    <cellStyle name="Note 16" xfId="133" xr:uid="{00000000-0005-0000-0000-0000D20D0000}"/>
    <cellStyle name="Note 2" xfId="134" xr:uid="{00000000-0005-0000-0000-0000D30D0000}"/>
    <cellStyle name="Note 2 10" xfId="3678" xr:uid="{00000000-0005-0000-0000-0000D40D0000}"/>
    <cellStyle name="Note 2 11" xfId="3679" xr:uid="{00000000-0005-0000-0000-0000D50D0000}"/>
    <cellStyle name="Note 2 12" xfId="3677" xr:uid="{00000000-0005-0000-0000-0000D60D0000}"/>
    <cellStyle name="Note 2 2" xfId="1662" xr:uid="{00000000-0005-0000-0000-0000D70D0000}"/>
    <cellStyle name="Note 2 2 2" xfId="3680" xr:uid="{00000000-0005-0000-0000-0000D80D0000}"/>
    <cellStyle name="Note 2 3" xfId="3681" xr:uid="{00000000-0005-0000-0000-0000D90D0000}"/>
    <cellStyle name="Note 2 4" xfId="3682" xr:uid="{00000000-0005-0000-0000-0000DA0D0000}"/>
    <cellStyle name="Note 2 5" xfId="3683" xr:uid="{00000000-0005-0000-0000-0000DB0D0000}"/>
    <cellStyle name="Note 2 6" xfId="3684" xr:uid="{00000000-0005-0000-0000-0000DC0D0000}"/>
    <cellStyle name="Note 2 7" xfId="3685" xr:uid="{00000000-0005-0000-0000-0000DD0D0000}"/>
    <cellStyle name="Note 2 8" xfId="3686" xr:uid="{00000000-0005-0000-0000-0000DE0D0000}"/>
    <cellStyle name="Note 2 9" xfId="3687" xr:uid="{00000000-0005-0000-0000-0000DF0D0000}"/>
    <cellStyle name="Note 3" xfId="135" xr:uid="{00000000-0005-0000-0000-0000E00D0000}"/>
    <cellStyle name="Note 3 10" xfId="3689" xr:uid="{00000000-0005-0000-0000-0000E10D0000}"/>
    <cellStyle name="Note 3 11" xfId="3690" xr:uid="{00000000-0005-0000-0000-0000E20D0000}"/>
    <cellStyle name="Note 3 12" xfId="3688" xr:uid="{00000000-0005-0000-0000-0000E30D0000}"/>
    <cellStyle name="Note 3 2" xfId="3691" xr:uid="{00000000-0005-0000-0000-0000E40D0000}"/>
    <cellStyle name="Note 3 3" xfId="3692" xr:uid="{00000000-0005-0000-0000-0000E50D0000}"/>
    <cellStyle name="Note 3 4" xfId="3693" xr:uid="{00000000-0005-0000-0000-0000E60D0000}"/>
    <cellStyle name="Note 3 5" xfId="3694" xr:uid="{00000000-0005-0000-0000-0000E70D0000}"/>
    <cellStyle name="Note 3 6" xfId="3695" xr:uid="{00000000-0005-0000-0000-0000E80D0000}"/>
    <cellStyle name="Note 3 7" xfId="3696" xr:uid="{00000000-0005-0000-0000-0000E90D0000}"/>
    <cellStyle name="Note 3 8" xfId="3697" xr:uid="{00000000-0005-0000-0000-0000EA0D0000}"/>
    <cellStyle name="Note 3 9" xfId="3698" xr:uid="{00000000-0005-0000-0000-0000EB0D0000}"/>
    <cellStyle name="Note 4" xfId="1664" xr:uid="{00000000-0005-0000-0000-0000EC0D0000}"/>
    <cellStyle name="Note 4 10" xfId="3700" xr:uid="{00000000-0005-0000-0000-0000ED0D0000}"/>
    <cellStyle name="Note 4 11" xfId="3701" xr:uid="{00000000-0005-0000-0000-0000EE0D0000}"/>
    <cellStyle name="Note 4 12" xfId="3699" xr:uid="{00000000-0005-0000-0000-0000EF0D0000}"/>
    <cellStyle name="Note 4 2" xfId="3702" xr:uid="{00000000-0005-0000-0000-0000F00D0000}"/>
    <cellStyle name="Note 4 3" xfId="3703" xr:uid="{00000000-0005-0000-0000-0000F10D0000}"/>
    <cellStyle name="Note 4 4" xfId="3704" xr:uid="{00000000-0005-0000-0000-0000F20D0000}"/>
    <cellStyle name="Note 4 5" xfId="3705" xr:uid="{00000000-0005-0000-0000-0000F30D0000}"/>
    <cellStyle name="Note 4 6" xfId="3706" xr:uid="{00000000-0005-0000-0000-0000F40D0000}"/>
    <cellStyle name="Note 4 7" xfId="3707" xr:uid="{00000000-0005-0000-0000-0000F50D0000}"/>
    <cellStyle name="Note 4 8" xfId="3708" xr:uid="{00000000-0005-0000-0000-0000F60D0000}"/>
    <cellStyle name="Note 4 9" xfId="3709" xr:uid="{00000000-0005-0000-0000-0000F70D0000}"/>
    <cellStyle name="Note 5" xfId="3710" xr:uid="{00000000-0005-0000-0000-0000F80D0000}"/>
    <cellStyle name="Note 5 10" xfId="3711" xr:uid="{00000000-0005-0000-0000-0000F90D0000}"/>
    <cellStyle name="Note 5 11" xfId="3712" xr:uid="{00000000-0005-0000-0000-0000FA0D0000}"/>
    <cellStyle name="Note 5 2" xfId="3713" xr:uid="{00000000-0005-0000-0000-0000FB0D0000}"/>
    <cellStyle name="Note 5 3" xfId="3714" xr:uid="{00000000-0005-0000-0000-0000FC0D0000}"/>
    <cellStyle name="Note 5 4" xfId="3715" xr:uid="{00000000-0005-0000-0000-0000FD0D0000}"/>
    <cellStyle name="Note 5 5" xfId="3716" xr:uid="{00000000-0005-0000-0000-0000FE0D0000}"/>
    <cellStyle name="Note 5 6" xfId="3717" xr:uid="{00000000-0005-0000-0000-0000FF0D0000}"/>
    <cellStyle name="Note 5 7" xfId="3718" xr:uid="{00000000-0005-0000-0000-0000000E0000}"/>
    <cellStyle name="Note 5 8" xfId="3719" xr:uid="{00000000-0005-0000-0000-0000010E0000}"/>
    <cellStyle name="Note 5 9" xfId="3720" xr:uid="{00000000-0005-0000-0000-0000020E0000}"/>
    <cellStyle name="Note 6" xfId="3721" xr:uid="{00000000-0005-0000-0000-0000030E0000}"/>
    <cellStyle name="Note 7" xfId="3722" xr:uid="{00000000-0005-0000-0000-0000040E0000}"/>
    <cellStyle name="Note 8" xfId="3723" xr:uid="{00000000-0005-0000-0000-0000050E0000}"/>
    <cellStyle name="Note 9" xfId="3724" xr:uid="{00000000-0005-0000-0000-0000060E0000}"/>
    <cellStyle name="Output 10" xfId="3725" xr:uid="{00000000-0005-0000-0000-0000070E0000}"/>
    <cellStyle name="Output 11" xfId="3726" xr:uid="{00000000-0005-0000-0000-0000080E0000}"/>
    <cellStyle name="Output 12" xfId="3727" xr:uid="{00000000-0005-0000-0000-0000090E0000}"/>
    <cellStyle name="Output 13" xfId="3728" xr:uid="{00000000-0005-0000-0000-00000A0E0000}"/>
    <cellStyle name="Output 14" xfId="3729" xr:uid="{00000000-0005-0000-0000-00000B0E0000}"/>
    <cellStyle name="Output 15" xfId="3730" xr:uid="{00000000-0005-0000-0000-00000C0E0000}"/>
    <cellStyle name="Output 16" xfId="136" xr:uid="{00000000-0005-0000-0000-00000D0E0000}"/>
    <cellStyle name="Output 2" xfId="137" xr:uid="{00000000-0005-0000-0000-00000E0E0000}"/>
    <cellStyle name="Output 2 10" xfId="3732" xr:uid="{00000000-0005-0000-0000-00000F0E0000}"/>
    <cellStyle name="Output 2 11" xfId="3733" xr:uid="{00000000-0005-0000-0000-0000100E0000}"/>
    <cellStyle name="Output 2 12" xfId="3731" xr:uid="{00000000-0005-0000-0000-0000110E0000}"/>
    <cellStyle name="Output 2 2" xfId="1665" xr:uid="{00000000-0005-0000-0000-0000120E0000}"/>
    <cellStyle name="Output 2 2 2" xfId="3734" xr:uid="{00000000-0005-0000-0000-0000130E0000}"/>
    <cellStyle name="Output 2 3" xfId="3735" xr:uid="{00000000-0005-0000-0000-0000140E0000}"/>
    <cellStyle name="Output 2 4" xfId="3736" xr:uid="{00000000-0005-0000-0000-0000150E0000}"/>
    <cellStyle name="Output 2 5" xfId="3737" xr:uid="{00000000-0005-0000-0000-0000160E0000}"/>
    <cellStyle name="Output 2 6" xfId="3738" xr:uid="{00000000-0005-0000-0000-0000170E0000}"/>
    <cellStyle name="Output 2 7" xfId="3739" xr:uid="{00000000-0005-0000-0000-0000180E0000}"/>
    <cellStyle name="Output 2 8" xfId="3740" xr:uid="{00000000-0005-0000-0000-0000190E0000}"/>
    <cellStyle name="Output 2 9" xfId="3741" xr:uid="{00000000-0005-0000-0000-00001A0E0000}"/>
    <cellStyle name="Output 3" xfId="138" xr:uid="{00000000-0005-0000-0000-00001B0E0000}"/>
    <cellStyle name="Output 3 10" xfId="3743" xr:uid="{00000000-0005-0000-0000-00001C0E0000}"/>
    <cellStyle name="Output 3 11" xfId="3744" xr:uid="{00000000-0005-0000-0000-00001D0E0000}"/>
    <cellStyle name="Output 3 12" xfId="3742" xr:uid="{00000000-0005-0000-0000-00001E0E0000}"/>
    <cellStyle name="Output 3 2" xfId="3745" xr:uid="{00000000-0005-0000-0000-00001F0E0000}"/>
    <cellStyle name="Output 3 3" xfId="3746" xr:uid="{00000000-0005-0000-0000-0000200E0000}"/>
    <cellStyle name="Output 3 4" xfId="3747" xr:uid="{00000000-0005-0000-0000-0000210E0000}"/>
    <cellStyle name="Output 3 5" xfId="3748" xr:uid="{00000000-0005-0000-0000-0000220E0000}"/>
    <cellStyle name="Output 3 6" xfId="3749" xr:uid="{00000000-0005-0000-0000-0000230E0000}"/>
    <cellStyle name="Output 3 7" xfId="3750" xr:uid="{00000000-0005-0000-0000-0000240E0000}"/>
    <cellStyle name="Output 3 8" xfId="3751" xr:uid="{00000000-0005-0000-0000-0000250E0000}"/>
    <cellStyle name="Output 3 9" xfId="3752" xr:uid="{00000000-0005-0000-0000-0000260E0000}"/>
    <cellStyle name="Output 4" xfId="1667" xr:uid="{00000000-0005-0000-0000-0000270E0000}"/>
    <cellStyle name="Output 4 10" xfId="3754" xr:uid="{00000000-0005-0000-0000-0000280E0000}"/>
    <cellStyle name="Output 4 11" xfId="3755" xr:uid="{00000000-0005-0000-0000-0000290E0000}"/>
    <cellStyle name="Output 4 12" xfId="3753" xr:uid="{00000000-0005-0000-0000-00002A0E0000}"/>
    <cellStyle name="Output 4 2" xfId="3756" xr:uid="{00000000-0005-0000-0000-00002B0E0000}"/>
    <cellStyle name="Output 4 3" xfId="3757" xr:uid="{00000000-0005-0000-0000-00002C0E0000}"/>
    <cellStyle name="Output 4 4" xfId="3758" xr:uid="{00000000-0005-0000-0000-00002D0E0000}"/>
    <cellStyle name="Output 4 5" xfId="3759" xr:uid="{00000000-0005-0000-0000-00002E0E0000}"/>
    <cellStyle name="Output 4 6" xfId="3760" xr:uid="{00000000-0005-0000-0000-00002F0E0000}"/>
    <cellStyle name="Output 4 7" xfId="3761" xr:uid="{00000000-0005-0000-0000-0000300E0000}"/>
    <cellStyle name="Output 4 8" xfId="3762" xr:uid="{00000000-0005-0000-0000-0000310E0000}"/>
    <cellStyle name="Output 4 9" xfId="3763" xr:uid="{00000000-0005-0000-0000-0000320E0000}"/>
    <cellStyle name="Output 5" xfId="3764" xr:uid="{00000000-0005-0000-0000-0000330E0000}"/>
    <cellStyle name="Output 5 10" xfId="3765" xr:uid="{00000000-0005-0000-0000-0000340E0000}"/>
    <cellStyle name="Output 5 11" xfId="3766" xr:uid="{00000000-0005-0000-0000-0000350E0000}"/>
    <cellStyle name="Output 5 2" xfId="3767" xr:uid="{00000000-0005-0000-0000-0000360E0000}"/>
    <cellStyle name="Output 5 3" xfId="3768" xr:uid="{00000000-0005-0000-0000-0000370E0000}"/>
    <cellStyle name="Output 5 4" xfId="3769" xr:uid="{00000000-0005-0000-0000-0000380E0000}"/>
    <cellStyle name="Output 5 5" xfId="3770" xr:uid="{00000000-0005-0000-0000-0000390E0000}"/>
    <cellStyle name="Output 5 6" xfId="3771" xr:uid="{00000000-0005-0000-0000-00003A0E0000}"/>
    <cellStyle name="Output 5 7" xfId="3772" xr:uid="{00000000-0005-0000-0000-00003B0E0000}"/>
    <cellStyle name="Output 5 8" xfId="3773" xr:uid="{00000000-0005-0000-0000-00003C0E0000}"/>
    <cellStyle name="Output 5 9" xfId="3774" xr:uid="{00000000-0005-0000-0000-00003D0E0000}"/>
    <cellStyle name="Output 6" xfId="3775" xr:uid="{00000000-0005-0000-0000-00003E0E0000}"/>
    <cellStyle name="Output 7" xfId="3776" xr:uid="{00000000-0005-0000-0000-00003F0E0000}"/>
    <cellStyle name="Output 8" xfId="3777" xr:uid="{00000000-0005-0000-0000-0000400E0000}"/>
    <cellStyle name="Output 9" xfId="3778" xr:uid="{00000000-0005-0000-0000-0000410E0000}"/>
    <cellStyle name="PATHEnvVariable֌_x0008_e4" xfId="3779" xr:uid="{00000000-0005-0000-0000-0000420E0000}"/>
    <cellStyle name="Percent" xfId="2" builtinId="5"/>
    <cellStyle name="Percent [2]" xfId="425" xr:uid="{00000000-0005-0000-0000-0000440E0000}"/>
    <cellStyle name="Percent 2" xfId="171" xr:uid="{00000000-0005-0000-0000-0000450E0000}"/>
    <cellStyle name="Percent 2 2" xfId="252" xr:uid="{00000000-0005-0000-0000-0000460E0000}"/>
    <cellStyle name="Percent 2 2 2" xfId="1671" xr:uid="{00000000-0005-0000-0000-0000470E0000}"/>
    <cellStyle name="Percent 2 2 3" xfId="3780" xr:uid="{00000000-0005-0000-0000-0000480E0000}"/>
    <cellStyle name="Percent 2 3" xfId="426" xr:uid="{00000000-0005-0000-0000-0000490E0000}"/>
    <cellStyle name="Percent 3" xfId="253" xr:uid="{00000000-0005-0000-0000-00004A0E0000}"/>
    <cellStyle name="Percent 3 2" xfId="428" xr:uid="{00000000-0005-0000-0000-00004B0E0000}"/>
    <cellStyle name="Percent 3 3" xfId="427" xr:uid="{00000000-0005-0000-0000-00004C0E0000}"/>
    <cellStyle name="Percent 3 3 2" xfId="1674" xr:uid="{00000000-0005-0000-0000-00004D0E0000}"/>
    <cellStyle name="Percent 3 4" xfId="3781" xr:uid="{00000000-0005-0000-0000-00004E0E0000}"/>
    <cellStyle name="Percent 4" xfId="254" xr:uid="{00000000-0005-0000-0000-00004F0E0000}"/>
    <cellStyle name="Percent 4 2" xfId="429" xr:uid="{00000000-0005-0000-0000-0000500E0000}"/>
    <cellStyle name="Percent 4 3" xfId="1675" xr:uid="{00000000-0005-0000-0000-0000510E0000}"/>
    <cellStyle name="Percent 4 4" xfId="3782" xr:uid="{00000000-0005-0000-0000-0000520E0000}"/>
    <cellStyle name="Percent 5" xfId="255" xr:uid="{00000000-0005-0000-0000-0000530E0000}"/>
    <cellStyle name="Percent 5 2" xfId="1676" xr:uid="{00000000-0005-0000-0000-0000540E0000}"/>
    <cellStyle name="Percent 6" xfId="1677" xr:uid="{00000000-0005-0000-0000-0000550E0000}"/>
    <cellStyle name="Percent 6 2" xfId="3783" xr:uid="{00000000-0005-0000-0000-0000560E0000}"/>
    <cellStyle name="Percent 7" xfId="1668" xr:uid="{00000000-0005-0000-0000-0000570E0000}"/>
    <cellStyle name="Percent 8" xfId="2818" xr:uid="{00000000-0005-0000-0000-0000580E0000}"/>
    <cellStyle name="PERCENTAGE" xfId="430" xr:uid="{00000000-0005-0000-0000-0000590E0000}"/>
    <cellStyle name="ProjectPDP" xfId="3784" xr:uid="{00000000-0005-0000-0000-00005A0E0000}"/>
    <cellStyle name="Quantity" xfId="431" xr:uid="{00000000-0005-0000-0000-00005B0E0000}"/>
    <cellStyle name="report" xfId="3785" xr:uid="{00000000-0005-0000-0000-00005C0E0000}"/>
    <cellStyle name="SAPBEXaggData" xfId="139" xr:uid="{00000000-0005-0000-0000-00005D0E0000}"/>
    <cellStyle name="SAPBEXaggData 2" xfId="175" xr:uid="{00000000-0005-0000-0000-00005E0E0000}"/>
    <cellStyle name="SAPBEXaggData 2 2" xfId="1681" xr:uid="{00000000-0005-0000-0000-00005F0E0000}"/>
    <cellStyle name="SAPBEXaggDataEmph" xfId="176" xr:uid="{00000000-0005-0000-0000-0000600E0000}"/>
    <cellStyle name="SAPBEXaggDataEmph 2" xfId="1683" xr:uid="{00000000-0005-0000-0000-0000610E0000}"/>
    <cellStyle name="SAPBEXaggDataEmph 3" xfId="1682" xr:uid="{00000000-0005-0000-0000-0000620E0000}"/>
    <cellStyle name="SAPBEXaggItem" xfId="140" xr:uid="{00000000-0005-0000-0000-0000630E0000}"/>
    <cellStyle name="SAPBEXaggItem 2" xfId="177" xr:uid="{00000000-0005-0000-0000-0000640E0000}"/>
    <cellStyle name="SAPBEXaggItem 3" xfId="1686" xr:uid="{00000000-0005-0000-0000-0000650E0000}"/>
    <cellStyle name="SAPBEXaggItemX" xfId="178" xr:uid="{00000000-0005-0000-0000-0000660E0000}"/>
    <cellStyle name="SAPBEXaggItemX 2" xfId="1688" xr:uid="{00000000-0005-0000-0000-0000670E0000}"/>
    <cellStyle name="SAPBEXaggItemX 3" xfId="1687" xr:uid="{00000000-0005-0000-0000-0000680E0000}"/>
    <cellStyle name="SAPBEXchaText" xfId="141" xr:uid="{00000000-0005-0000-0000-0000690E0000}"/>
    <cellStyle name="SAPBEXchaText 2" xfId="179" xr:uid="{00000000-0005-0000-0000-00006A0E0000}"/>
    <cellStyle name="SAPBEXchaText 3" xfId="1691" xr:uid="{00000000-0005-0000-0000-00006B0E0000}"/>
    <cellStyle name="SAPBEXchaText 3 2" xfId="3786" xr:uid="{00000000-0005-0000-0000-00006C0E0000}"/>
    <cellStyle name="SAPBEXchaText 4" xfId="3787" xr:uid="{00000000-0005-0000-0000-00006D0E0000}"/>
    <cellStyle name="SAPBEXchaText 5" xfId="3788" xr:uid="{00000000-0005-0000-0000-00006E0E0000}"/>
    <cellStyle name="SAPBEXchaText 6" xfId="3789" xr:uid="{00000000-0005-0000-0000-00006F0E0000}"/>
    <cellStyle name="SAPBEXchaText 7" xfId="3790" xr:uid="{00000000-0005-0000-0000-0000700E0000}"/>
    <cellStyle name="SAPBEXchaText 8" xfId="3791" xr:uid="{00000000-0005-0000-0000-0000710E0000}"/>
    <cellStyle name="SAPBEXexcBad7" xfId="180" xr:uid="{00000000-0005-0000-0000-0000720E0000}"/>
    <cellStyle name="SAPBEXexcBad7 2" xfId="1693" xr:uid="{00000000-0005-0000-0000-0000730E0000}"/>
    <cellStyle name="SAPBEXexcBad7 3" xfId="1692" xr:uid="{00000000-0005-0000-0000-0000740E0000}"/>
    <cellStyle name="SAPBEXexcBad8" xfId="181" xr:uid="{00000000-0005-0000-0000-0000750E0000}"/>
    <cellStyle name="SAPBEXexcBad8 2" xfId="1695" xr:uid="{00000000-0005-0000-0000-0000760E0000}"/>
    <cellStyle name="SAPBEXexcBad8 3" xfId="1694" xr:uid="{00000000-0005-0000-0000-0000770E0000}"/>
    <cellStyle name="SAPBEXexcBad9" xfId="182" xr:uid="{00000000-0005-0000-0000-0000780E0000}"/>
    <cellStyle name="SAPBEXexcBad9 2" xfId="1697" xr:uid="{00000000-0005-0000-0000-0000790E0000}"/>
    <cellStyle name="SAPBEXexcBad9 3" xfId="1696" xr:uid="{00000000-0005-0000-0000-00007A0E0000}"/>
    <cellStyle name="SAPBEXexcCritical4" xfId="183" xr:uid="{00000000-0005-0000-0000-00007B0E0000}"/>
    <cellStyle name="SAPBEXexcCritical4 2" xfId="1699" xr:uid="{00000000-0005-0000-0000-00007C0E0000}"/>
    <cellStyle name="SAPBEXexcCritical4 3" xfId="1698" xr:uid="{00000000-0005-0000-0000-00007D0E0000}"/>
    <cellStyle name="SAPBEXexcCritical5" xfId="184" xr:uid="{00000000-0005-0000-0000-00007E0E0000}"/>
    <cellStyle name="SAPBEXexcCritical5 2" xfId="1701" xr:uid="{00000000-0005-0000-0000-00007F0E0000}"/>
    <cellStyle name="SAPBEXexcCritical5 3" xfId="1700" xr:uid="{00000000-0005-0000-0000-0000800E0000}"/>
    <cellStyle name="SAPBEXexcCritical6" xfId="185" xr:uid="{00000000-0005-0000-0000-0000810E0000}"/>
    <cellStyle name="SAPBEXexcCritical6 2" xfId="1703" xr:uid="{00000000-0005-0000-0000-0000820E0000}"/>
    <cellStyle name="SAPBEXexcCritical6 3" xfId="1702" xr:uid="{00000000-0005-0000-0000-0000830E0000}"/>
    <cellStyle name="SAPBEXexcGood1" xfId="186" xr:uid="{00000000-0005-0000-0000-0000840E0000}"/>
    <cellStyle name="SAPBEXexcGood1 2" xfId="1705" xr:uid="{00000000-0005-0000-0000-0000850E0000}"/>
    <cellStyle name="SAPBEXexcGood1 3" xfId="1704" xr:uid="{00000000-0005-0000-0000-0000860E0000}"/>
    <cellStyle name="SAPBEXexcGood2" xfId="187" xr:uid="{00000000-0005-0000-0000-0000870E0000}"/>
    <cellStyle name="SAPBEXexcGood2 2" xfId="1707" xr:uid="{00000000-0005-0000-0000-0000880E0000}"/>
    <cellStyle name="SAPBEXexcGood2 3" xfId="1706" xr:uid="{00000000-0005-0000-0000-0000890E0000}"/>
    <cellStyle name="SAPBEXexcGood3" xfId="188" xr:uid="{00000000-0005-0000-0000-00008A0E0000}"/>
    <cellStyle name="SAPBEXexcGood3 2" xfId="1709" xr:uid="{00000000-0005-0000-0000-00008B0E0000}"/>
    <cellStyle name="SAPBEXexcGood3 3" xfId="1708" xr:uid="{00000000-0005-0000-0000-00008C0E0000}"/>
    <cellStyle name="SAPBEXfilterDrill" xfId="189" xr:uid="{00000000-0005-0000-0000-00008D0E0000}"/>
    <cellStyle name="SAPBEXfilterDrill 2" xfId="1711" xr:uid="{00000000-0005-0000-0000-00008E0E0000}"/>
    <cellStyle name="SAPBEXfilterDrill 3" xfId="1710" xr:uid="{00000000-0005-0000-0000-00008F0E0000}"/>
    <cellStyle name="SAPBEXfilterItem" xfId="190" xr:uid="{00000000-0005-0000-0000-0000900E0000}"/>
    <cellStyle name="SAPBEXfilterItem 2" xfId="1713" xr:uid="{00000000-0005-0000-0000-0000910E0000}"/>
    <cellStyle name="SAPBEXfilterItem 3" xfId="1712" xr:uid="{00000000-0005-0000-0000-0000920E0000}"/>
    <cellStyle name="SAPBEXfilterText" xfId="191" xr:uid="{00000000-0005-0000-0000-0000930E0000}"/>
    <cellStyle name="SAPBEXfilterText 2" xfId="1715" xr:uid="{00000000-0005-0000-0000-0000940E0000}"/>
    <cellStyle name="SAPBEXfilterText 2 2" xfId="3792" xr:uid="{00000000-0005-0000-0000-0000950E0000}"/>
    <cellStyle name="SAPBEXfilterText 3" xfId="3793" xr:uid="{00000000-0005-0000-0000-0000960E0000}"/>
    <cellStyle name="SAPBEXfilterText 4" xfId="3794" xr:uid="{00000000-0005-0000-0000-0000970E0000}"/>
    <cellStyle name="SAPBEXformats" xfId="142" xr:uid="{00000000-0005-0000-0000-0000980E0000}"/>
    <cellStyle name="SAPBEXformats 2" xfId="192" xr:uid="{00000000-0005-0000-0000-0000990E0000}"/>
    <cellStyle name="SAPBEXformats 2 2" xfId="1717" xr:uid="{00000000-0005-0000-0000-00009A0E0000}"/>
    <cellStyle name="SAPBEXformats 3" xfId="3795" xr:uid="{00000000-0005-0000-0000-00009B0E0000}"/>
    <cellStyle name="SAPBEXformats 4" xfId="3796" xr:uid="{00000000-0005-0000-0000-00009C0E0000}"/>
    <cellStyle name="SAPBEXformats 5" xfId="3797" xr:uid="{00000000-0005-0000-0000-00009D0E0000}"/>
    <cellStyle name="SAPBEXformats 6" xfId="3798" xr:uid="{00000000-0005-0000-0000-00009E0E0000}"/>
    <cellStyle name="SAPBEXformats 7" xfId="3799" xr:uid="{00000000-0005-0000-0000-00009F0E0000}"/>
    <cellStyle name="SAPBEXformats 8" xfId="3800" xr:uid="{00000000-0005-0000-0000-0000A00E0000}"/>
    <cellStyle name="SAPBEXheaderItem" xfId="193" xr:uid="{00000000-0005-0000-0000-0000A10E0000}"/>
    <cellStyle name="SAPBEXheaderItem 2" xfId="1719" xr:uid="{00000000-0005-0000-0000-0000A20E0000}"/>
    <cellStyle name="SAPBEXheaderItem 2 2" xfId="3801" xr:uid="{00000000-0005-0000-0000-0000A30E0000}"/>
    <cellStyle name="SAPBEXheaderItem 3" xfId="1718" xr:uid="{00000000-0005-0000-0000-0000A40E0000}"/>
    <cellStyle name="SAPBEXheaderItem 3 2" xfId="3802" xr:uid="{00000000-0005-0000-0000-0000A50E0000}"/>
    <cellStyle name="SAPBEXheaderItem 4" xfId="3803" xr:uid="{00000000-0005-0000-0000-0000A60E0000}"/>
    <cellStyle name="SAPBEXheaderItem 5" xfId="3804" xr:uid="{00000000-0005-0000-0000-0000A70E0000}"/>
    <cellStyle name="SAPBEXheaderItem 6" xfId="3805" xr:uid="{00000000-0005-0000-0000-0000A80E0000}"/>
    <cellStyle name="SAPBEXheaderItem 7" xfId="3806" xr:uid="{00000000-0005-0000-0000-0000A90E0000}"/>
    <cellStyle name="SAPBEXheaderItem 8" xfId="3807" xr:uid="{00000000-0005-0000-0000-0000AA0E0000}"/>
    <cellStyle name="SAPBEXheaderText" xfId="194" xr:uid="{00000000-0005-0000-0000-0000AB0E0000}"/>
    <cellStyle name="SAPBEXheaderText 2" xfId="1721" xr:uid="{00000000-0005-0000-0000-0000AC0E0000}"/>
    <cellStyle name="SAPBEXheaderText 2 2" xfId="3808" xr:uid="{00000000-0005-0000-0000-0000AD0E0000}"/>
    <cellStyle name="SAPBEXheaderText 3" xfId="1720" xr:uid="{00000000-0005-0000-0000-0000AE0E0000}"/>
    <cellStyle name="SAPBEXheaderText 3 2" xfId="3809" xr:uid="{00000000-0005-0000-0000-0000AF0E0000}"/>
    <cellStyle name="SAPBEXheaderText 4" xfId="3810" xr:uid="{00000000-0005-0000-0000-0000B00E0000}"/>
    <cellStyle name="SAPBEXheaderText 5" xfId="3811" xr:uid="{00000000-0005-0000-0000-0000B10E0000}"/>
    <cellStyle name="SAPBEXheaderText 6" xfId="3812" xr:uid="{00000000-0005-0000-0000-0000B20E0000}"/>
    <cellStyle name="SAPBEXheaderText 7" xfId="3813" xr:uid="{00000000-0005-0000-0000-0000B30E0000}"/>
    <cellStyle name="SAPBEXheaderText 8" xfId="3814" xr:uid="{00000000-0005-0000-0000-0000B40E0000}"/>
    <cellStyle name="SAPBEXHLevel0" xfId="195" xr:uid="{00000000-0005-0000-0000-0000B50E0000}"/>
    <cellStyle name="SAPBEXHLevel0 2" xfId="1723" xr:uid="{00000000-0005-0000-0000-0000B60E0000}"/>
    <cellStyle name="SAPBEXHLevel0 2 2" xfId="3815" xr:uid="{00000000-0005-0000-0000-0000B70E0000}"/>
    <cellStyle name="SAPBEXHLevel0 3" xfId="1722" xr:uid="{00000000-0005-0000-0000-0000B80E0000}"/>
    <cellStyle name="SAPBEXHLevel0 3 2" xfId="3816" xr:uid="{00000000-0005-0000-0000-0000B90E0000}"/>
    <cellStyle name="SAPBEXHLevel0 4" xfId="3817" xr:uid="{00000000-0005-0000-0000-0000BA0E0000}"/>
    <cellStyle name="SAPBEXHLevel0 5" xfId="3818" xr:uid="{00000000-0005-0000-0000-0000BB0E0000}"/>
    <cellStyle name="SAPBEXHLevel0 6" xfId="3819" xr:uid="{00000000-0005-0000-0000-0000BC0E0000}"/>
    <cellStyle name="SAPBEXHLevel0 7" xfId="3820" xr:uid="{00000000-0005-0000-0000-0000BD0E0000}"/>
    <cellStyle name="SAPBEXHLevel0 8" xfId="3821" xr:uid="{00000000-0005-0000-0000-0000BE0E0000}"/>
    <cellStyle name="SAPBEXHLevel0X" xfId="196" xr:uid="{00000000-0005-0000-0000-0000BF0E0000}"/>
    <cellStyle name="SAPBEXHLevel0X 2" xfId="1725" xr:uid="{00000000-0005-0000-0000-0000C00E0000}"/>
    <cellStyle name="SAPBEXHLevel0X 2 2" xfId="3822" xr:uid="{00000000-0005-0000-0000-0000C10E0000}"/>
    <cellStyle name="SAPBEXHLevel0X 3" xfId="1724" xr:uid="{00000000-0005-0000-0000-0000C20E0000}"/>
    <cellStyle name="SAPBEXHLevel0X 3 2" xfId="3823" xr:uid="{00000000-0005-0000-0000-0000C30E0000}"/>
    <cellStyle name="SAPBEXHLevel0X 4" xfId="3824" xr:uid="{00000000-0005-0000-0000-0000C40E0000}"/>
    <cellStyle name="SAPBEXHLevel0X 5" xfId="3825" xr:uid="{00000000-0005-0000-0000-0000C50E0000}"/>
    <cellStyle name="SAPBEXHLevel0X 6" xfId="3826" xr:uid="{00000000-0005-0000-0000-0000C60E0000}"/>
    <cellStyle name="SAPBEXHLevel0X 7" xfId="3827" xr:uid="{00000000-0005-0000-0000-0000C70E0000}"/>
    <cellStyle name="SAPBEXHLevel0X 8" xfId="3828" xr:uid="{00000000-0005-0000-0000-0000C80E0000}"/>
    <cellStyle name="SAPBEXHLevel1" xfId="197" xr:uid="{00000000-0005-0000-0000-0000C90E0000}"/>
    <cellStyle name="SAPBEXHLevel1 2" xfId="1727" xr:uid="{00000000-0005-0000-0000-0000CA0E0000}"/>
    <cellStyle name="SAPBEXHLevel1 2 2" xfId="3829" xr:uid="{00000000-0005-0000-0000-0000CB0E0000}"/>
    <cellStyle name="SAPBEXHLevel1 3" xfId="1726" xr:uid="{00000000-0005-0000-0000-0000CC0E0000}"/>
    <cellStyle name="SAPBEXHLevel1 3 2" xfId="3830" xr:uid="{00000000-0005-0000-0000-0000CD0E0000}"/>
    <cellStyle name="SAPBEXHLevel1 4" xfId="3831" xr:uid="{00000000-0005-0000-0000-0000CE0E0000}"/>
    <cellStyle name="SAPBEXHLevel1 5" xfId="3832" xr:uid="{00000000-0005-0000-0000-0000CF0E0000}"/>
    <cellStyle name="SAPBEXHLevel1 6" xfId="3833" xr:uid="{00000000-0005-0000-0000-0000D00E0000}"/>
    <cellStyle name="SAPBEXHLevel1 7" xfId="3834" xr:uid="{00000000-0005-0000-0000-0000D10E0000}"/>
    <cellStyle name="SAPBEXHLevel1 8" xfId="3835" xr:uid="{00000000-0005-0000-0000-0000D20E0000}"/>
    <cellStyle name="SAPBEXHLevel1X" xfId="198" xr:uid="{00000000-0005-0000-0000-0000D30E0000}"/>
    <cellStyle name="SAPBEXHLevel1X 2" xfId="1729" xr:uid="{00000000-0005-0000-0000-0000D40E0000}"/>
    <cellStyle name="SAPBEXHLevel1X 2 2" xfId="3836" xr:uid="{00000000-0005-0000-0000-0000D50E0000}"/>
    <cellStyle name="SAPBEXHLevel1X 3" xfId="1728" xr:uid="{00000000-0005-0000-0000-0000D60E0000}"/>
    <cellStyle name="SAPBEXHLevel1X 3 2" xfId="3837" xr:uid="{00000000-0005-0000-0000-0000D70E0000}"/>
    <cellStyle name="SAPBEXHLevel1X 4" xfId="3838" xr:uid="{00000000-0005-0000-0000-0000D80E0000}"/>
    <cellStyle name="SAPBEXHLevel1X 5" xfId="3839" xr:uid="{00000000-0005-0000-0000-0000D90E0000}"/>
    <cellStyle name="SAPBEXHLevel1X 6" xfId="3840" xr:uid="{00000000-0005-0000-0000-0000DA0E0000}"/>
    <cellStyle name="SAPBEXHLevel1X 7" xfId="3841" xr:uid="{00000000-0005-0000-0000-0000DB0E0000}"/>
    <cellStyle name="SAPBEXHLevel1X 8" xfId="3842" xr:uid="{00000000-0005-0000-0000-0000DC0E0000}"/>
    <cellStyle name="SAPBEXHLevel2" xfId="199" xr:uid="{00000000-0005-0000-0000-0000DD0E0000}"/>
    <cellStyle name="SAPBEXHLevel2 2" xfId="1731" xr:uid="{00000000-0005-0000-0000-0000DE0E0000}"/>
    <cellStyle name="SAPBEXHLevel2 2 2" xfId="3843" xr:uid="{00000000-0005-0000-0000-0000DF0E0000}"/>
    <cellStyle name="SAPBEXHLevel2 3" xfId="1730" xr:uid="{00000000-0005-0000-0000-0000E00E0000}"/>
    <cellStyle name="SAPBEXHLevel2 3 2" xfId="3844" xr:uid="{00000000-0005-0000-0000-0000E10E0000}"/>
    <cellStyle name="SAPBEXHLevel2 4" xfId="3845" xr:uid="{00000000-0005-0000-0000-0000E20E0000}"/>
    <cellStyle name="SAPBEXHLevel2 5" xfId="3846" xr:uid="{00000000-0005-0000-0000-0000E30E0000}"/>
    <cellStyle name="SAPBEXHLevel2 6" xfId="3847" xr:uid="{00000000-0005-0000-0000-0000E40E0000}"/>
    <cellStyle name="SAPBEXHLevel2 7" xfId="3848" xr:uid="{00000000-0005-0000-0000-0000E50E0000}"/>
    <cellStyle name="SAPBEXHLevel2 8" xfId="3849" xr:uid="{00000000-0005-0000-0000-0000E60E0000}"/>
    <cellStyle name="SAPBEXHLevel2X" xfId="200" xr:uid="{00000000-0005-0000-0000-0000E70E0000}"/>
    <cellStyle name="SAPBEXHLevel2X 2" xfId="1733" xr:uid="{00000000-0005-0000-0000-0000E80E0000}"/>
    <cellStyle name="SAPBEXHLevel2X 2 2" xfId="3850" xr:uid="{00000000-0005-0000-0000-0000E90E0000}"/>
    <cellStyle name="SAPBEXHLevel2X 3" xfId="1732" xr:uid="{00000000-0005-0000-0000-0000EA0E0000}"/>
    <cellStyle name="SAPBEXHLevel2X 3 2" xfId="3851" xr:uid="{00000000-0005-0000-0000-0000EB0E0000}"/>
    <cellStyle name="SAPBEXHLevel2X 4" xfId="3852" xr:uid="{00000000-0005-0000-0000-0000EC0E0000}"/>
    <cellStyle name="SAPBEXHLevel2X 5" xfId="3853" xr:uid="{00000000-0005-0000-0000-0000ED0E0000}"/>
    <cellStyle name="SAPBEXHLevel2X 6" xfId="3854" xr:uid="{00000000-0005-0000-0000-0000EE0E0000}"/>
    <cellStyle name="SAPBEXHLevel2X 7" xfId="3855" xr:uid="{00000000-0005-0000-0000-0000EF0E0000}"/>
    <cellStyle name="SAPBEXHLevel2X 8" xfId="3856" xr:uid="{00000000-0005-0000-0000-0000F00E0000}"/>
    <cellStyle name="SAPBEXHLevel3" xfId="201" xr:uid="{00000000-0005-0000-0000-0000F10E0000}"/>
    <cellStyle name="SAPBEXHLevel3 2" xfId="1735" xr:uid="{00000000-0005-0000-0000-0000F20E0000}"/>
    <cellStyle name="SAPBEXHLevel3 2 2" xfId="3857" xr:uid="{00000000-0005-0000-0000-0000F30E0000}"/>
    <cellStyle name="SAPBEXHLevel3 3" xfId="1734" xr:uid="{00000000-0005-0000-0000-0000F40E0000}"/>
    <cellStyle name="SAPBEXHLevel3 3 2" xfId="3858" xr:uid="{00000000-0005-0000-0000-0000F50E0000}"/>
    <cellStyle name="SAPBEXHLevel3 4" xfId="3859" xr:uid="{00000000-0005-0000-0000-0000F60E0000}"/>
    <cellStyle name="SAPBEXHLevel3 5" xfId="3860" xr:uid="{00000000-0005-0000-0000-0000F70E0000}"/>
    <cellStyle name="SAPBEXHLevel3 6" xfId="3861" xr:uid="{00000000-0005-0000-0000-0000F80E0000}"/>
    <cellStyle name="SAPBEXHLevel3 7" xfId="3862" xr:uid="{00000000-0005-0000-0000-0000F90E0000}"/>
    <cellStyle name="SAPBEXHLevel3 8" xfId="3863" xr:uid="{00000000-0005-0000-0000-0000FA0E0000}"/>
    <cellStyle name="SAPBEXHLevel3X" xfId="202" xr:uid="{00000000-0005-0000-0000-0000FB0E0000}"/>
    <cellStyle name="SAPBEXHLevel3X 2" xfId="1737" xr:uid="{00000000-0005-0000-0000-0000FC0E0000}"/>
    <cellStyle name="SAPBEXHLevel3X 2 2" xfId="3864" xr:uid="{00000000-0005-0000-0000-0000FD0E0000}"/>
    <cellStyle name="SAPBEXHLevel3X 3" xfId="1736" xr:uid="{00000000-0005-0000-0000-0000FE0E0000}"/>
    <cellStyle name="SAPBEXHLevel3X 3 2" xfId="3865" xr:uid="{00000000-0005-0000-0000-0000FF0E0000}"/>
    <cellStyle name="SAPBEXHLevel3X 4" xfId="3866" xr:uid="{00000000-0005-0000-0000-0000000F0000}"/>
    <cellStyle name="SAPBEXHLevel3X 5" xfId="3867" xr:uid="{00000000-0005-0000-0000-0000010F0000}"/>
    <cellStyle name="SAPBEXHLevel3X 6" xfId="3868" xr:uid="{00000000-0005-0000-0000-0000020F0000}"/>
    <cellStyle name="SAPBEXHLevel3X 7" xfId="3869" xr:uid="{00000000-0005-0000-0000-0000030F0000}"/>
    <cellStyle name="SAPBEXHLevel3X 8" xfId="3870" xr:uid="{00000000-0005-0000-0000-0000040F0000}"/>
    <cellStyle name="SAPBEXinputData" xfId="1738" xr:uid="{00000000-0005-0000-0000-0000050F0000}"/>
    <cellStyle name="SAPBEXItemHeader" xfId="1739" xr:uid="{00000000-0005-0000-0000-0000060F0000}"/>
    <cellStyle name="SAPBEXresData" xfId="203" xr:uid="{00000000-0005-0000-0000-0000070F0000}"/>
    <cellStyle name="SAPBEXresData 2" xfId="1741" xr:uid="{00000000-0005-0000-0000-0000080F0000}"/>
    <cellStyle name="SAPBEXresData 3" xfId="1740" xr:uid="{00000000-0005-0000-0000-0000090F0000}"/>
    <cellStyle name="SAPBEXresDataEmph" xfId="204" xr:uid="{00000000-0005-0000-0000-00000A0F0000}"/>
    <cellStyle name="SAPBEXresDataEmph 2" xfId="1743" xr:uid="{00000000-0005-0000-0000-00000B0F0000}"/>
    <cellStyle name="SAPBEXresDataEmph 3" xfId="1742" xr:uid="{00000000-0005-0000-0000-00000C0F0000}"/>
    <cellStyle name="SAPBEXresItem" xfId="205" xr:uid="{00000000-0005-0000-0000-00000D0F0000}"/>
    <cellStyle name="SAPBEXresItem 2" xfId="1745" xr:uid="{00000000-0005-0000-0000-00000E0F0000}"/>
    <cellStyle name="SAPBEXresItem 3" xfId="1744" xr:uid="{00000000-0005-0000-0000-00000F0F0000}"/>
    <cellStyle name="SAPBEXresItemX" xfId="206" xr:uid="{00000000-0005-0000-0000-0000100F0000}"/>
    <cellStyle name="SAPBEXresItemX 2" xfId="1747" xr:uid="{00000000-0005-0000-0000-0000110F0000}"/>
    <cellStyle name="SAPBEXresItemX 3" xfId="1746" xr:uid="{00000000-0005-0000-0000-0000120F0000}"/>
    <cellStyle name="SAPBEXstdData" xfId="143" xr:uid="{00000000-0005-0000-0000-0000130F0000}"/>
    <cellStyle name="SAPBEXstdData 2" xfId="207" xr:uid="{00000000-0005-0000-0000-0000140F0000}"/>
    <cellStyle name="SAPBEXstdData 2 2" xfId="432" xr:uid="{00000000-0005-0000-0000-0000150F0000}"/>
    <cellStyle name="SAPBEXstdData 3" xfId="1750" xr:uid="{00000000-0005-0000-0000-0000160F0000}"/>
    <cellStyle name="SAPBEXstdDataEmph" xfId="208" xr:uid="{00000000-0005-0000-0000-0000170F0000}"/>
    <cellStyle name="SAPBEXstdDataEmph 2" xfId="1752" xr:uid="{00000000-0005-0000-0000-0000180F0000}"/>
    <cellStyle name="SAPBEXstdDataEmph 3" xfId="1751" xr:uid="{00000000-0005-0000-0000-0000190F0000}"/>
    <cellStyle name="SAPBEXstdItem" xfId="144" xr:uid="{00000000-0005-0000-0000-00001A0F0000}"/>
    <cellStyle name="SAPBEXstdItem 2" xfId="209" xr:uid="{00000000-0005-0000-0000-00001B0F0000}"/>
    <cellStyle name="SAPBEXstdItem 2 2" xfId="433" xr:uid="{00000000-0005-0000-0000-00001C0F0000}"/>
    <cellStyle name="SAPBEXstdItem 3" xfId="1755" xr:uid="{00000000-0005-0000-0000-00001D0F0000}"/>
    <cellStyle name="SAPBEXstdItem 3 2" xfId="3871" xr:uid="{00000000-0005-0000-0000-00001E0F0000}"/>
    <cellStyle name="SAPBEXstdItem 4" xfId="3872" xr:uid="{00000000-0005-0000-0000-00001F0F0000}"/>
    <cellStyle name="SAPBEXstdItem 5" xfId="3873" xr:uid="{00000000-0005-0000-0000-0000200F0000}"/>
    <cellStyle name="SAPBEXstdItem 6" xfId="3874" xr:uid="{00000000-0005-0000-0000-0000210F0000}"/>
    <cellStyle name="SAPBEXstdItem 7" xfId="3875" xr:uid="{00000000-0005-0000-0000-0000220F0000}"/>
    <cellStyle name="SAPBEXstdItem 8" xfId="3876" xr:uid="{00000000-0005-0000-0000-0000230F0000}"/>
    <cellStyle name="SAPBEXstdItemX" xfId="210" xr:uid="{00000000-0005-0000-0000-0000240F0000}"/>
    <cellStyle name="SAPBEXstdItemX 2" xfId="434" xr:uid="{00000000-0005-0000-0000-0000250F0000}"/>
    <cellStyle name="SAPBEXstdItemX 2 2" xfId="1757" xr:uid="{00000000-0005-0000-0000-0000260F0000}"/>
    <cellStyle name="SAPBEXstdItemX 3" xfId="1758" xr:uid="{00000000-0005-0000-0000-0000270F0000}"/>
    <cellStyle name="SAPBEXstdItemX 3 2" xfId="3877" xr:uid="{00000000-0005-0000-0000-0000280F0000}"/>
    <cellStyle name="SAPBEXstdItemX 4" xfId="3878" xr:uid="{00000000-0005-0000-0000-0000290F0000}"/>
    <cellStyle name="SAPBEXstdItemX 5" xfId="3879" xr:uid="{00000000-0005-0000-0000-00002A0F0000}"/>
    <cellStyle name="SAPBEXstdItemX 6" xfId="3880" xr:uid="{00000000-0005-0000-0000-00002B0F0000}"/>
    <cellStyle name="SAPBEXstdItemX 7" xfId="3881" xr:uid="{00000000-0005-0000-0000-00002C0F0000}"/>
    <cellStyle name="SAPBEXstdItemX 8" xfId="3882" xr:uid="{00000000-0005-0000-0000-00002D0F0000}"/>
    <cellStyle name="SAPBEXtitle" xfId="211" xr:uid="{00000000-0005-0000-0000-00002E0F0000}"/>
    <cellStyle name="SAPBEXtitle 2" xfId="435" xr:uid="{00000000-0005-0000-0000-00002F0F0000}"/>
    <cellStyle name="SAPBEXtitle 2 2" xfId="1760" xr:uid="{00000000-0005-0000-0000-0000300F0000}"/>
    <cellStyle name="SAPBEXtitle 3" xfId="1761" xr:uid="{00000000-0005-0000-0000-0000310F0000}"/>
    <cellStyle name="SAPBEXtitle 3 2" xfId="3883" xr:uid="{00000000-0005-0000-0000-0000320F0000}"/>
    <cellStyle name="SAPBEXtitle 4" xfId="3884" xr:uid="{00000000-0005-0000-0000-0000330F0000}"/>
    <cellStyle name="SAPBEXunassignedItem" xfId="1762" xr:uid="{00000000-0005-0000-0000-0000340F0000}"/>
    <cellStyle name="SAPBEXundefined" xfId="212" xr:uid="{00000000-0005-0000-0000-0000350F0000}"/>
    <cellStyle name="SAPBEXundefined 2" xfId="1764" xr:uid="{00000000-0005-0000-0000-0000360F0000}"/>
    <cellStyle name="SAPBEXundefined 3" xfId="1763" xr:uid="{00000000-0005-0000-0000-0000370F0000}"/>
    <cellStyle name="Sheet Title" xfId="1765" xr:uid="{00000000-0005-0000-0000-0000380F0000}"/>
    <cellStyle name="Standaard_Blad1" xfId="257" xr:uid="{00000000-0005-0000-0000-0000390F0000}"/>
    <cellStyle name="Title 10" xfId="3885" xr:uid="{00000000-0005-0000-0000-00003A0F0000}"/>
    <cellStyle name="Title 11" xfId="3886" xr:uid="{00000000-0005-0000-0000-00003B0F0000}"/>
    <cellStyle name="Title 12" xfId="3887" xr:uid="{00000000-0005-0000-0000-00003C0F0000}"/>
    <cellStyle name="Title 13" xfId="3888" xr:uid="{00000000-0005-0000-0000-00003D0F0000}"/>
    <cellStyle name="Title 14" xfId="3889" xr:uid="{00000000-0005-0000-0000-00003E0F0000}"/>
    <cellStyle name="Title 15" xfId="3890" xr:uid="{00000000-0005-0000-0000-00003F0F0000}"/>
    <cellStyle name="Title 16" xfId="145" xr:uid="{00000000-0005-0000-0000-0000400F0000}"/>
    <cellStyle name="Title 2" xfId="146" xr:uid="{00000000-0005-0000-0000-0000410F0000}"/>
    <cellStyle name="Title 2 10" xfId="3892" xr:uid="{00000000-0005-0000-0000-0000420F0000}"/>
    <cellStyle name="Title 2 11" xfId="3893" xr:uid="{00000000-0005-0000-0000-0000430F0000}"/>
    <cellStyle name="Title 2 12" xfId="3891" xr:uid="{00000000-0005-0000-0000-0000440F0000}"/>
    <cellStyle name="Title 2 2" xfId="1766" xr:uid="{00000000-0005-0000-0000-0000450F0000}"/>
    <cellStyle name="Title 2 2 2" xfId="3894" xr:uid="{00000000-0005-0000-0000-0000460F0000}"/>
    <cellStyle name="Title 2 3" xfId="3895" xr:uid="{00000000-0005-0000-0000-0000470F0000}"/>
    <cellStyle name="Title 2 4" xfId="3896" xr:uid="{00000000-0005-0000-0000-0000480F0000}"/>
    <cellStyle name="Title 2 5" xfId="3897" xr:uid="{00000000-0005-0000-0000-0000490F0000}"/>
    <cellStyle name="Title 2 6" xfId="3898" xr:uid="{00000000-0005-0000-0000-00004A0F0000}"/>
    <cellStyle name="Title 2 7" xfId="3899" xr:uid="{00000000-0005-0000-0000-00004B0F0000}"/>
    <cellStyle name="Title 2 8" xfId="3900" xr:uid="{00000000-0005-0000-0000-00004C0F0000}"/>
    <cellStyle name="Title 2 9" xfId="3901" xr:uid="{00000000-0005-0000-0000-00004D0F0000}"/>
    <cellStyle name="Title 3" xfId="147" xr:uid="{00000000-0005-0000-0000-00004E0F0000}"/>
    <cellStyle name="Title 3 10" xfId="3903" xr:uid="{00000000-0005-0000-0000-00004F0F0000}"/>
    <cellStyle name="Title 3 11" xfId="3904" xr:uid="{00000000-0005-0000-0000-0000500F0000}"/>
    <cellStyle name="Title 3 12" xfId="3902" xr:uid="{00000000-0005-0000-0000-0000510F0000}"/>
    <cellStyle name="Title 3 2" xfId="3905" xr:uid="{00000000-0005-0000-0000-0000520F0000}"/>
    <cellStyle name="Title 3 3" xfId="3906" xr:uid="{00000000-0005-0000-0000-0000530F0000}"/>
    <cellStyle name="Title 3 4" xfId="3907" xr:uid="{00000000-0005-0000-0000-0000540F0000}"/>
    <cellStyle name="Title 3 5" xfId="3908" xr:uid="{00000000-0005-0000-0000-0000550F0000}"/>
    <cellStyle name="Title 3 6" xfId="3909" xr:uid="{00000000-0005-0000-0000-0000560F0000}"/>
    <cellStyle name="Title 3 7" xfId="3910" xr:uid="{00000000-0005-0000-0000-0000570F0000}"/>
    <cellStyle name="Title 3 8" xfId="3911" xr:uid="{00000000-0005-0000-0000-0000580F0000}"/>
    <cellStyle name="Title 3 9" xfId="3912" xr:uid="{00000000-0005-0000-0000-0000590F0000}"/>
    <cellStyle name="Title 4" xfId="3913" xr:uid="{00000000-0005-0000-0000-00005A0F0000}"/>
    <cellStyle name="Title 4 10" xfId="3914" xr:uid="{00000000-0005-0000-0000-00005B0F0000}"/>
    <cellStyle name="Title 4 11" xfId="3915" xr:uid="{00000000-0005-0000-0000-00005C0F0000}"/>
    <cellStyle name="Title 4 2" xfId="3916" xr:uid="{00000000-0005-0000-0000-00005D0F0000}"/>
    <cellStyle name="Title 4 3" xfId="3917" xr:uid="{00000000-0005-0000-0000-00005E0F0000}"/>
    <cellStyle name="Title 4 4" xfId="3918" xr:uid="{00000000-0005-0000-0000-00005F0F0000}"/>
    <cellStyle name="Title 4 5" xfId="3919" xr:uid="{00000000-0005-0000-0000-0000600F0000}"/>
    <cellStyle name="Title 4 6" xfId="3920" xr:uid="{00000000-0005-0000-0000-0000610F0000}"/>
    <cellStyle name="Title 4 7" xfId="3921" xr:uid="{00000000-0005-0000-0000-0000620F0000}"/>
    <cellStyle name="Title 4 8" xfId="3922" xr:uid="{00000000-0005-0000-0000-0000630F0000}"/>
    <cellStyle name="Title 4 9" xfId="3923" xr:uid="{00000000-0005-0000-0000-0000640F0000}"/>
    <cellStyle name="Title 5" xfId="3924" xr:uid="{00000000-0005-0000-0000-0000650F0000}"/>
    <cellStyle name="Title 5 10" xfId="3925" xr:uid="{00000000-0005-0000-0000-0000660F0000}"/>
    <cellStyle name="Title 5 11" xfId="3926" xr:uid="{00000000-0005-0000-0000-0000670F0000}"/>
    <cellStyle name="Title 5 2" xfId="3927" xr:uid="{00000000-0005-0000-0000-0000680F0000}"/>
    <cellStyle name="Title 5 3" xfId="3928" xr:uid="{00000000-0005-0000-0000-0000690F0000}"/>
    <cellStyle name="Title 5 4" xfId="3929" xr:uid="{00000000-0005-0000-0000-00006A0F0000}"/>
    <cellStyle name="Title 5 5" xfId="3930" xr:uid="{00000000-0005-0000-0000-00006B0F0000}"/>
    <cellStyle name="Title 5 6" xfId="3931" xr:uid="{00000000-0005-0000-0000-00006C0F0000}"/>
    <cellStyle name="Title 5 7" xfId="3932" xr:uid="{00000000-0005-0000-0000-00006D0F0000}"/>
    <cellStyle name="Title 5 8" xfId="3933" xr:uid="{00000000-0005-0000-0000-00006E0F0000}"/>
    <cellStyle name="Title 5 9" xfId="3934" xr:uid="{00000000-0005-0000-0000-00006F0F0000}"/>
    <cellStyle name="Title 6" xfId="3935" xr:uid="{00000000-0005-0000-0000-0000700F0000}"/>
    <cellStyle name="Title 7" xfId="3936" xr:uid="{00000000-0005-0000-0000-0000710F0000}"/>
    <cellStyle name="Title 8" xfId="3937" xr:uid="{00000000-0005-0000-0000-0000720F0000}"/>
    <cellStyle name="Title 9" xfId="3938" xr:uid="{00000000-0005-0000-0000-0000730F0000}"/>
    <cellStyle name="Total 10" xfId="3939" xr:uid="{00000000-0005-0000-0000-0000740F0000}"/>
    <cellStyle name="Total 11" xfId="3940" xr:uid="{00000000-0005-0000-0000-0000750F0000}"/>
    <cellStyle name="Total 12" xfId="3941" xr:uid="{00000000-0005-0000-0000-0000760F0000}"/>
    <cellStyle name="Total 13" xfId="3942" xr:uid="{00000000-0005-0000-0000-0000770F0000}"/>
    <cellStyle name="Total 14" xfId="3943" xr:uid="{00000000-0005-0000-0000-0000780F0000}"/>
    <cellStyle name="Total 15" xfId="3944" xr:uid="{00000000-0005-0000-0000-0000790F0000}"/>
    <cellStyle name="Total 16" xfId="148" xr:uid="{00000000-0005-0000-0000-00007A0F0000}"/>
    <cellStyle name="Total 2" xfId="149" xr:uid="{00000000-0005-0000-0000-00007B0F0000}"/>
    <cellStyle name="Total 2 10" xfId="3946" xr:uid="{00000000-0005-0000-0000-00007C0F0000}"/>
    <cellStyle name="Total 2 11" xfId="3947" xr:uid="{00000000-0005-0000-0000-00007D0F0000}"/>
    <cellStyle name="Total 2 12" xfId="3945" xr:uid="{00000000-0005-0000-0000-00007E0F0000}"/>
    <cellStyle name="Total 2 2" xfId="1768" xr:uid="{00000000-0005-0000-0000-00007F0F0000}"/>
    <cellStyle name="Total 2 2 2" xfId="3948" xr:uid="{00000000-0005-0000-0000-0000800F0000}"/>
    <cellStyle name="Total 2 3" xfId="3949" xr:uid="{00000000-0005-0000-0000-0000810F0000}"/>
    <cellStyle name="Total 2 4" xfId="3950" xr:uid="{00000000-0005-0000-0000-0000820F0000}"/>
    <cellStyle name="Total 2 5" xfId="3951" xr:uid="{00000000-0005-0000-0000-0000830F0000}"/>
    <cellStyle name="Total 2 6" xfId="3952" xr:uid="{00000000-0005-0000-0000-0000840F0000}"/>
    <cellStyle name="Total 2 7" xfId="3953" xr:uid="{00000000-0005-0000-0000-0000850F0000}"/>
    <cellStyle name="Total 2 8" xfId="3954" xr:uid="{00000000-0005-0000-0000-0000860F0000}"/>
    <cellStyle name="Total 2 9" xfId="3955" xr:uid="{00000000-0005-0000-0000-0000870F0000}"/>
    <cellStyle name="Total 3" xfId="150" xr:uid="{00000000-0005-0000-0000-0000880F0000}"/>
    <cellStyle name="Total 3 10" xfId="3957" xr:uid="{00000000-0005-0000-0000-0000890F0000}"/>
    <cellStyle name="Total 3 11" xfId="3958" xr:uid="{00000000-0005-0000-0000-00008A0F0000}"/>
    <cellStyle name="Total 3 12" xfId="3956" xr:uid="{00000000-0005-0000-0000-00008B0F0000}"/>
    <cellStyle name="Total 3 2" xfId="1769" xr:uid="{00000000-0005-0000-0000-00008C0F0000}"/>
    <cellStyle name="Total 3 2 2" xfId="3959" xr:uid="{00000000-0005-0000-0000-00008D0F0000}"/>
    <cellStyle name="Total 3 3" xfId="3960" xr:uid="{00000000-0005-0000-0000-00008E0F0000}"/>
    <cellStyle name="Total 3 4" xfId="3961" xr:uid="{00000000-0005-0000-0000-00008F0F0000}"/>
    <cellStyle name="Total 3 5" xfId="3962" xr:uid="{00000000-0005-0000-0000-0000900F0000}"/>
    <cellStyle name="Total 3 6" xfId="3963" xr:uid="{00000000-0005-0000-0000-0000910F0000}"/>
    <cellStyle name="Total 3 7" xfId="3964" xr:uid="{00000000-0005-0000-0000-0000920F0000}"/>
    <cellStyle name="Total 3 8" xfId="3965" xr:uid="{00000000-0005-0000-0000-0000930F0000}"/>
    <cellStyle name="Total 3 9" xfId="3966" xr:uid="{00000000-0005-0000-0000-0000940F0000}"/>
    <cellStyle name="Total 4" xfId="1770" xr:uid="{00000000-0005-0000-0000-0000950F0000}"/>
    <cellStyle name="Total 4 10" xfId="3968" xr:uid="{00000000-0005-0000-0000-0000960F0000}"/>
    <cellStyle name="Total 4 11" xfId="3969" xr:uid="{00000000-0005-0000-0000-0000970F0000}"/>
    <cellStyle name="Total 4 12" xfId="3967" xr:uid="{00000000-0005-0000-0000-0000980F0000}"/>
    <cellStyle name="Total 4 2" xfId="3970" xr:uid="{00000000-0005-0000-0000-0000990F0000}"/>
    <cellStyle name="Total 4 3" xfId="3971" xr:uid="{00000000-0005-0000-0000-00009A0F0000}"/>
    <cellStyle name="Total 4 4" xfId="3972" xr:uid="{00000000-0005-0000-0000-00009B0F0000}"/>
    <cellStyle name="Total 4 5" xfId="3973" xr:uid="{00000000-0005-0000-0000-00009C0F0000}"/>
    <cellStyle name="Total 4 6" xfId="3974" xr:uid="{00000000-0005-0000-0000-00009D0F0000}"/>
    <cellStyle name="Total 4 7" xfId="3975" xr:uid="{00000000-0005-0000-0000-00009E0F0000}"/>
    <cellStyle name="Total 4 8" xfId="3976" xr:uid="{00000000-0005-0000-0000-00009F0F0000}"/>
    <cellStyle name="Total 4 9" xfId="3977" xr:uid="{00000000-0005-0000-0000-0000A00F0000}"/>
    <cellStyle name="Total 5" xfId="3978" xr:uid="{00000000-0005-0000-0000-0000A10F0000}"/>
    <cellStyle name="Total 5 10" xfId="3979" xr:uid="{00000000-0005-0000-0000-0000A20F0000}"/>
    <cellStyle name="Total 5 11" xfId="3980" xr:uid="{00000000-0005-0000-0000-0000A30F0000}"/>
    <cellStyle name="Total 5 2" xfId="3981" xr:uid="{00000000-0005-0000-0000-0000A40F0000}"/>
    <cellStyle name="Total 5 3" xfId="3982" xr:uid="{00000000-0005-0000-0000-0000A50F0000}"/>
    <cellStyle name="Total 5 4" xfId="3983" xr:uid="{00000000-0005-0000-0000-0000A60F0000}"/>
    <cellStyle name="Total 5 5" xfId="3984" xr:uid="{00000000-0005-0000-0000-0000A70F0000}"/>
    <cellStyle name="Total 5 6" xfId="3985" xr:uid="{00000000-0005-0000-0000-0000A80F0000}"/>
    <cellStyle name="Total 5 7" xfId="3986" xr:uid="{00000000-0005-0000-0000-0000A90F0000}"/>
    <cellStyle name="Total 5 8" xfId="3987" xr:uid="{00000000-0005-0000-0000-0000AA0F0000}"/>
    <cellStyle name="Total 5 9" xfId="3988" xr:uid="{00000000-0005-0000-0000-0000AB0F0000}"/>
    <cellStyle name="Total 6" xfId="3989" xr:uid="{00000000-0005-0000-0000-0000AC0F0000}"/>
    <cellStyle name="Total 7" xfId="3990" xr:uid="{00000000-0005-0000-0000-0000AD0F0000}"/>
    <cellStyle name="Total 8" xfId="3991" xr:uid="{00000000-0005-0000-0000-0000AE0F0000}"/>
    <cellStyle name="Total 9" xfId="3992" xr:uid="{00000000-0005-0000-0000-0000AF0F0000}"/>
    <cellStyle name="Valuta [0]_Blad1" xfId="258" xr:uid="{00000000-0005-0000-0000-0000B00F0000}"/>
    <cellStyle name="Valuta_Blad1" xfId="259" xr:uid="{00000000-0005-0000-0000-0000B10F0000}"/>
    <cellStyle name="Warning Text 10" xfId="3993" xr:uid="{00000000-0005-0000-0000-0000B20F0000}"/>
    <cellStyle name="Warning Text 11" xfId="3994" xr:uid="{00000000-0005-0000-0000-0000B30F0000}"/>
    <cellStyle name="Warning Text 12" xfId="3995" xr:uid="{00000000-0005-0000-0000-0000B40F0000}"/>
    <cellStyle name="Warning Text 13" xfId="3996" xr:uid="{00000000-0005-0000-0000-0000B50F0000}"/>
    <cellStyle name="Warning Text 14" xfId="3997" xr:uid="{00000000-0005-0000-0000-0000B60F0000}"/>
    <cellStyle name="Warning Text 15" xfId="3998" xr:uid="{00000000-0005-0000-0000-0000B70F0000}"/>
    <cellStyle name="Warning Text 16" xfId="151" xr:uid="{00000000-0005-0000-0000-0000B80F0000}"/>
    <cellStyle name="Warning Text 2" xfId="152" xr:uid="{00000000-0005-0000-0000-0000B90F0000}"/>
    <cellStyle name="Warning Text 2 10" xfId="4000" xr:uid="{00000000-0005-0000-0000-0000BA0F0000}"/>
    <cellStyle name="Warning Text 2 11" xfId="4001" xr:uid="{00000000-0005-0000-0000-0000BB0F0000}"/>
    <cellStyle name="Warning Text 2 12" xfId="3999" xr:uid="{00000000-0005-0000-0000-0000BC0F0000}"/>
    <cellStyle name="Warning Text 2 2" xfId="1771" xr:uid="{00000000-0005-0000-0000-0000BD0F0000}"/>
    <cellStyle name="Warning Text 2 2 2" xfId="4002" xr:uid="{00000000-0005-0000-0000-0000BE0F0000}"/>
    <cellStyle name="Warning Text 2 3" xfId="4003" xr:uid="{00000000-0005-0000-0000-0000BF0F0000}"/>
    <cellStyle name="Warning Text 2 4" xfId="4004" xr:uid="{00000000-0005-0000-0000-0000C00F0000}"/>
    <cellStyle name="Warning Text 2 5" xfId="4005" xr:uid="{00000000-0005-0000-0000-0000C10F0000}"/>
    <cellStyle name="Warning Text 2 6" xfId="4006" xr:uid="{00000000-0005-0000-0000-0000C20F0000}"/>
    <cellStyle name="Warning Text 2 7" xfId="4007" xr:uid="{00000000-0005-0000-0000-0000C30F0000}"/>
    <cellStyle name="Warning Text 2 8" xfId="4008" xr:uid="{00000000-0005-0000-0000-0000C40F0000}"/>
    <cellStyle name="Warning Text 2 9" xfId="4009" xr:uid="{00000000-0005-0000-0000-0000C50F0000}"/>
    <cellStyle name="Warning Text 3" xfId="153" xr:uid="{00000000-0005-0000-0000-0000C60F0000}"/>
    <cellStyle name="Warning Text 3 10" xfId="4011" xr:uid="{00000000-0005-0000-0000-0000C70F0000}"/>
    <cellStyle name="Warning Text 3 11" xfId="4012" xr:uid="{00000000-0005-0000-0000-0000C80F0000}"/>
    <cellStyle name="Warning Text 3 12" xfId="4010" xr:uid="{00000000-0005-0000-0000-0000C90F0000}"/>
    <cellStyle name="Warning Text 3 2" xfId="1772" xr:uid="{00000000-0005-0000-0000-0000CA0F0000}"/>
    <cellStyle name="Warning Text 3 2 2" xfId="4013" xr:uid="{00000000-0005-0000-0000-0000CB0F0000}"/>
    <cellStyle name="Warning Text 3 3" xfId="4014" xr:uid="{00000000-0005-0000-0000-0000CC0F0000}"/>
    <cellStyle name="Warning Text 3 4" xfId="4015" xr:uid="{00000000-0005-0000-0000-0000CD0F0000}"/>
    <cellStyle name="Warning Text 3 5" xfId="4016" xr:uid="{00000000-0005-0000-0000-0000CE0F0000}"/>
    <cellStyle name="Warning Text 3 6" xfId="4017" xr:uid="{00000000-0005-0000-0000-0000CF0F0000}"/>
    <cellStyle name="Warning Text 3 7" xfId="4018" xr:uid="{00000000-0005-0000-0000-0000D00F0000}"/>
    <cellStyle name="Warning Text 3 8" xfId="4019" xr:uid="{00000000-0005-0000-0000-0000D10F0000}"/>
    <cellStyle name="Warning Text 3 9" xfId="4020" xr:uid="{00000000-0005-0000-0000-0000D20F0000}"/>
    <cellStyle name="Warning Text 4" xfId="1773" xr:uid="{00000000-0005-0000-0000-0000D30F0000}"/>
    <cellStyle name="Warning Text 4 10" xfId="4022" xr:uid="{00000000-0005-0000-0000-0000D40F0000}"/>
    <cellStyle name="Warning Text 4 11" xfId="4023" xr:uid="{00000000-0005-0000-0000-0000D50F0000}"/>
    <cellStyle name="Warning Text 4 12" xfId="4021" xr:uid="{00000000-0005-0000-0000-0000D60F0000}"/>
    <cellStyle name="Warning Text 4 2" xfId="4024" xr:uid="{00000000-0005-0000-0000-0000D70F0000}"/>
    <cellStyle name="Warning Text 4 3" xfId="4025" xr:uid="{00000000-0005-0000-0000-0000D80F0000}"/>
    <cellStyle name="Warning Text 4 4" xfId="4026" xr:uid="{00000000-0005-0000-0000-0000D90F0000}"/>
    <cellStyle name="Warning Text 4 5" xfId="4027" xr:uid="{00000000-0005-0000-0000-0000DA0F0000}"/>
    <cellStyle name="Warning Text 4 6" xfId="4028" xr:uid="{00000000-0005-0000-0000-0000DB0F0000}"/>
    <cellStyle name="Warning Text 4 7" xfId="4029" xr:uid="{00000000-0005-0000-0000-0000DC0F0000}"/>
    <cellStyle name="Warning Text 4 8" xfId="4030" xr:uid="{00000000-0005-0000-0000-0000DD0F0000}"/>
    <cellStyle name="Warning Text 4 9" xfId="4031" xr:uid="{00000000-0005-0000-0000-0000DE0F0000}"/>
    <cellStyle name="Warning Text 5" xfId="4032" xr:uid="{00000000-0005-0000-0000-0000DF0F0000}"/>
    <cellStyle name="Warning Text 5 10" xfId="4033" xr:uid="{00000000-0005-0000-0000-0000E00F0000}"/>
    <cellStyle name="Warning Text 5 11" xfId="4034" xr:uid="{00000000-0005-0000-0000-0000E10F0000}"/>
    <cellStyle name="Warning Text 5 2" xfId="4035" xr:uid="{00000000-0005-0000-0000-0000E20F0000}"/>
    <cellStyle name="Warning Text 5 3" xfId="4036" xr:uid="{00000000-0005-0000-0000-0000E30F0000}"/>
    <cellStyle name="Warning Text 5 4" xfId="4037" xr:uid="{00000000-0005-0000-0000-0000E40F0000}"/>
    <cellStyle name="Warning Text 5 5" xfId="4038" xr:uid="{00000000-0005-0000-0000-0000E50F0000}"/>
    <cellStyle name="Warning Text 5 6" xfId="4039" xr:uid="{00000000-0005-0000-0000-0000E60F0000}"/>
    <cellStyle name="Warning Text 5 7" xfId="4040" xr:uid="{00000000-0005-0000-0000-0000E70F0000}"/>
    <cellStyle name="Warning Text 5 8" xfId="4041" xr:uid="{00000000-0005-0000-0000-0000E80F0000}"/>
    <cellStyle name="Warning Text 5 9" xfId="4042" xr:uid="{00000000-0005-0000-0000-0000E90F0000}"/>
    <cellStyle name="Warning Text 6" xfId="4043" xr:uid="{00000000-0005-0000-0000-0000EA0F0000}"/>
    <cellStyle name="Warning Text 7" xfId="4044" xr:uid="{00000000-0005-0000-0000-0000EB0F0000}"/>
    <cellStyle name="Warning Text 8" xfId="4045" xr:uid="{00000000-0005-0000-0000-0000EC0F0000}"/>
    <cellStyle name="Warning Text 9" xfId="4046" xr:uid="{00000000-0005-0000-0000-0000ED0F0000}"/>
    <cellStyle name="Year" xfId="4047" xr:uid="{00000000-0005-0000-0000-0000EE0F0000}"/>
    <cellStyle name="เครื่องหมายจุลภาค [0]_FEB00" xfId="4080" xr:uid="{00000000-0005-0000-0000-0000F20F0000}"/>
    <cellStyle name="เครื่องหมายจุลภาค_FEB00" xfId="4081" xr:uid="{00000000-0005-0000-0000-0000F30F0000}"/>
    <cellStyle name="เครื่องหมายสกุลเงิน [0]_FEB00" xfId="4082" xr:uid="{00000000-0005-0000-0000-0000F40F0000}"/>
    <cellStyle name="เครื่องหมายสกุลเงิน_FEB00" xfId="4083" xr:uid="{00000000-0005-0000-0000-0000F50F0000}"/>
    <cellStyle name="เซลล์ตรวจสอบ" xfId="4048" xr:uid="{00000000-0005-0000-0000-0000F70F0000}"/>
    <cellStyle name="เซลล์ที่มีการเชื่อมโยง" xfId="4049" xr:uid="{00000000-0005-0000-0000-0000F80F0000}"/>
    <cellStyle name="แย่" xfId="4050" xr:uid="{00000000-0005-0000-0000-0000FF0F0000}"/>
    <cellStyle name="แสดงผล" xfId="4051" xr:uid="{00000000-0005-0000-0000-00000B100000}"/>
    <cellStyle name="การคำนวณ" xfId="4052" xr:uid="{00000000-0005-0000-0000-0000EF0F0000}"/>
    <cellStyle name="ข้อความเตือน" xfId="4053" xr:uid="{00000000-0005-0000-0000-0000F00F0000}"/>
    <cellStyle name="ข้อความอธิบาย" xfId="4054" xr:uid="{00000000-0005-0000-0000-0000F10F0000}"/>
    <cellStyle name="ชื่อเรื่อง" xfId="4055" xr:uid="{00000000-0005-0000-0000-0000F60F0000}"/>
    <cellStyle name="ดี" xfId="4056" xr:uid="{00000000-0005-0000-0000-0000F90F0000}"/>
    <cellStyle name="น้บะภฒ_95" xfId="154" xr:uid="{00000000-0005-0000-0000-0000FA0F0000}"/>
    <cellStyle name="ปกติ_C04AUG42" xfId="4084" xr:uid="{00000000-0005-0000-0000-0000FB0F0000}"/>
    <cellStyle name="ป้อนค่า" xfId="4057" xr:uid="{00000000-0005-0000-0000-0000FC0F0000}"/>
    <cellStyle name="ปานกลาง" xfId="4058" xr:uid="{00000000-0005-0000-0000-0000FD0F0000}"/>
    <cellStyle name="ผลรวม" xfId="4059" xr:uid="{00000000-0005-0000-0000-0000FE0F0000}"/>
    <cellStyle name="ฤธถ [0]_95" xfId="155" xr:uid="{00000000-0005-0000-0000-000000100000}"/>
    <cellStyle name="ฤธถ_95" xfId="156" xr:uid="{00000000-0005-0000-0000-000001100000}"/>
    <cellStyle name="ล๋ศญ [0]_95" xfId="157" xr:uid="{00000000-0005-0000-0000-000002100000}"/>
    <cellStyle name="ล๋ศญ_95" xfId="158" xr:uid="{00000000-0005-0000-0000-000003100000}"/>
    <cellStyle name="วฅมุ_4ฟ๙ฝวภ๛" xfId="159" xr:uid="{00000000-0005-0000-0000-000004100000}"/>
    <cellStyle name="ส่วนที่ถูกเน้น1" xfId="4061" xr:uid="{00000000-0005-0000-0000-000005100000}"/>
    <cellStyle name="ส่วนที่ถูกเน้น2" xfId="4062" xr:uid="{00000000-0005-0000-0000-000006100000}"/>
    <cellStyle name="ส่วนที่ถูกเน้น3" xfId="4063" xr:uid="{00000000-0005-0000-0000-000007100000}"/>
    <cellStyle name="ส่วนที่ถูกเน้น4" xfId="4064" xr:uid="{00000000-0005-0000-0000-000008100000}"/>
    <cellStyle name="ส่วนที่ถูกเน้น5" xfId="4065" xr:uid="{00000000-0005-0000-0000-000009100000}"/>
    <cellStyle name="ส่วนที่ถูกเน้น6" xfId="4066" xr:uid="{00000000-0005-0000-0000-00000A100000}"/>
    <cellStyle name="หมายเหตุ" xfId="4067" xr:uid="{00000000-0005-0000-0000-00000C100000}"/>
    <cellStyle name="หัวเรื่อง 1" xfId="4068" xr:uid="{00000000-0005-0000-0000-00000D100000}"/>
    <cellStyle name="หัวเรื่อง 2" xfId="4069" xr:uid="{00000000-0005-0000-0000-00000E100000}"/>
    <cellStyle name="หัวเรื่อง 3" xfId="4070" xr:uid="{00000000-0005-0000-0000-00000F100000}"/>
    <cellStyle name="หัวเรื่อง 4" xfId="4071" xr:uid="{00000000-0005-0000-0000-000010100000}"/>
  </cellStyles>
  <dxfs count="1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A7FF"/>
      <color rgb="FF0000FF"/>
      <color rgb="FFE265FF"/>
      <color rgb="FFFFCCFF"/>
      <color rgb="FFCCFFFF"/>
      <color rgb="FFFFE5FF"/>
      <color rgb="FF93FFFF"/>
      <color rgb="FF8ADFF6"/>
      <color rgb="FF40CCF2"/>
      <color rgb="FF67D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monthly'!$A$47</c:f>
              <c:strCache>
                <c:ptCount val="1"/>
                <c:pt idx="0">
                  <c:v>Balance 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monthly'!$AA$47:$AL$47</c:f>
              <c:numCache>
                <c:formatCode>_-* #,##0_-;\-* #,##0_-;_-* "-"??_-;_-@_-</c:formatCode>
                <c:ptCount val="12"/>
                <c:pt idx="0">
                  <c:v>7.3569915131822512</c:v>
                </c:pt>
                <c:pt idx="1">
                  <c:v>-17.389274060590566</c:v>
                </c:pt>
                <c:pt idx="2">
                  <c:v>-20.936699969679829</c:v>
                </c:pt>
                <c:pt idx="3">
                  <c:v>-34.420501338645387</c:v>
                </c:pt>
                <c:pt idx="4">
                  <c:v>-39.132184798300585</c:v>
                </c:pt>
                <c:pt idx="5">
                  <c:v>-43.804555824785822</c:v>
                </c:pt>
                <c:pt idx="6">
                  <c:v>-49.003762432607637</c:v>
                </c:pt>
                <c:pt idx="7">
                  <c:v>-51.292985554343737</c:v>
                </c:pt>
                <c:pt idx="8">
                  <c:v>-50.007538937179127</c:v>
                </c:pt>
                <c:pt idx="9">
                  <c:v>-48.392190488984632</c:v>
                </c:pt>
                <c:pt idx="10">
                  <c:v>-50.730270443616455</c:v>
                </c:pt>
                <c:pt idx="11">
                  <c:v>-52.506846352546653</c:v>
                </c:pt>
              </c:numCache>
            </c:numRef>
          </c:val>
          <c:extLst>
            <c:ext xmlns:c16="http://schemas.microsoft.com/office/drawing/2014/chart" uri="{C3380CC4-5D6E-409C-BE32-E72D297353CC}">
              <c16:uniqueId val="{00000000-1B8A-47D3-BB35-46E1F02FFA23}"/>
            </c:ext>
          </c:extLst>
        </c:ser>
        <c:ser>
          <c:idx val="1"/>
          <c:order val="1"/>
          <c:tx>
            <c:strRef>
              <c:f>'LR monthly'!$A$48</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monthly'!$AA$48:$AL$48</c:f>
              <c:numCache>
                <c:formatCode>_-* #,##0_-;\-* #,##0_-;_-* "-"??_-;_-@_-</c:formatCode>
                <c:ptCount val="12"/>
                <c:pt idx="0">
                  <c:v>44</c:v>
                </c:pt>
                <c:pt idx="1">
                  <c:v>71</c:v>
                </c:pt>
                <c:pt idx="2">
                  <c:v>70.5</c:v>
                </c:pt>
                <c:pt idx="3">
                  <c:v>88</c:v>
                </c:pt>
                <c:pt idx="4">
                  <c:v>96</c:v>
                </c:pt>
                <c:pt idx="5">
                  <c:v>96</c:v>
                </c:pt>
                <c:pt idx="6">
                  <c:v>106.09220027043823</c:v>
                </c:pt>
                <c:pt idx="7">
                  <c:v>114.77093942638629</c:v>
                </c:pt>
                <c:pt idx="8">
                  <c:v>102.77094067656995</c:v>
                </c:pt>
                <c:pt idx="9">
                  <c:v>99.061959541678448</c:v>
                </c:pt>
                <c:pt idx="10">
                  <c:v>99.654820001423332</c:v>
                </c:pt>
                <c:pt idx="11">
                  <c:v>100.21780019927023</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monthly'!$A$49:$C$49</c:f>
              <c:strCache>
                <c:ptCount val="3"/>
                <c:pt idx="0">
                  <c:v>LR by Legal </c:v>
                </c:pt>
              </c:strCache>
            </c:strRef>
          </c:tx>
          <c:spPr>
            <a:ln w="28575" cap="rnd">
              <a:solidFill>
                <a:srgbClr val="C00000"/>
              </a:solidFill>
              <a:round/>
            </a:ln>
            <a:effectLst/>
          </c:spPr>
          <c:marker>
            <c:symbol val="none"/>
          </c:marker>
          <c:dLbls>
            <c:delete val="1"/>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monthly'!$AA$49:$AL$49</c:f>
              <c:numCache>
                <c:formatCode>0</c:formatCode>
                <c:ptCount val="12"/>
                <c:pt idx="0">
                  <c:v>22.03</c:v>
                </c:pt>
                <c:pt idx="1">
                  <c:v>33.200000000000003</c:v>
                </c:pt>
                <c:pt idx="2">
                  <c:v>33.200000000000003</c:v>
                </c:pt>
                <c:pt idx="3">
                  <c:v>33.200000000000003</c:v>
                </c:pt>
                <c:pt idx="4">
                  <c:v>33.200000000000003</c:v>
                </c:pt>
                <c:pt idx="5">
                  <c:v>33.200000000000003</c:v>
                </c:pt>
                <c:pt idx="6">
                  <c:v>33.200000000000003</c:v>
                </c:pt>
                <c:pt idx="7">
                  <c:v>33.200000000000003</c:v>
                </c:pt>
                <c:pt idx="8">
                  <c:v>33.200000000000003</c:v>
                </c:pt>
                <c:pt idx="9">
                  <c:v>33.200000000000003</c:v>
                </c:pt>
                <c:pt idx="10">
                  <c:v>33.200000000000003</c:v>
                </c:pt>
                <c:pt idx="11">
                  <c:v>33.200000000000003</c:v>
                </c:pt>
              </c:numCache>
            </c:numRef>
          </c:val>
          <c:smooth val="0"/>
          <c:extLst>
            <c:ext xmlns:c16="http://schemas.microsoft.com/office/drawing/2014/chart" uri="{C3380CC4-5D6E-409C-BE32-E72D297353CC}">
              <c16:uniqueId val="{00000002-1B8A-47D3-BB35-46E1F02FFA23}"/>
            </c:ext>
          </c:extLst>
        </c:ser>
        <c:ser>
          <c:idx val="3"/>
          <c:order val="3"/>
          <c:tx>
            <c:strRef>
              <c:f>'LR monthly'!$A$50:$C$50</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monthly'!$AA$50:$AL$50</c:f>
              <c:numCache>
                <c:formatCode>0</c:formatCode>
                <c:ptCount val="12"/>
                <c:pt idx="0">
                  <c:v>39.03</c:v>
                </c:pt>
                <c:pt idx="1">
                  <c:v>50.2</c:v>
                </c:pt>
                <c:pt idx="2">
                  <c:v>50.2</c:v>
                </c:pt>
                <c:pt idx="3">
                  <c:v>50.2</c:v>
                </c:pt>
                <c:pt idx="4">
                  <c:v>50.2</c:v>
                </c:pt>
                <c:pt idx="5">
                  <c:v>50.2</c:v>
                </c:pt>
                <c:pt idx="6">
                  <c:v>50.2</c:v>
                </c:pt>
                <c:pt idx="7">
                  <c:v>50.2</c:v>
                </c:pt>
                <c:pt idx="8">
                  <c:v>50.2</c:v>
                </c:pt>
                <c:pt idx="9">
                  <c:v>50.2</c:v>
                </c:pt>
                <c:pt idx="10">
                  <c:v>50.2</c:v>
                </c:pt>
                <c:pt idx="11">
                  <c:v>50.2</c:v>
                </c:pt>
              </c:numCache>
            </c:numRef>
          </c:val>
          <c:smooth val="0"/>
          <c:extLst>
            <c:ext xmlns:c16="http://schemas.microsoft.com/office/drawing/2014/chart" uri="{C3380CC4-5D6E-409C-BE32-E72D297353CC}">
              <c16:uniqueId val="{00000003-1B8A-47D3-BB35-46E1F02FFA23}"/>
            </c:ext>
          </c:extLst>
        </c:ser>
        <c:ser>
          <c:idx val="4"/>
          <c:order val="4"/>
          <c:tx>
            <c:strRef>
              <c:f>'LR monthly'!$A$46</c:f>
              <c:strCache>
                <c:ptCount val="1"/>
                <c:pt idx="0">
                  <c:v>Closing stock @GSP+MT+BRP (LR)</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monthly'!$AA$45:$AL$45</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monthly'!$AA$46:$AL$46</c:f>
              <c:numCache>
                <c:formatCode>_-* #,##0_-;\-* #,##0_-;_-* "-"??_-;_-@_-</c:formatCode>
                <c:ptCount val="12"/>
                <c:pt idx="0">
                  <c:v>51.356991513182251</c:v>
                </c:pt>
                <c:pt idx="1">
                  <c:v>53.610725939409434</c:v>
                </c:pt>
                <c:pt idx="2">
                  <c:v>49.563300030320171</c:v>
                </c:pt>
                <c:pt idx="3">
                  <c:v>53.579498661354613</c:v>
                </c:pt>
                <c:pt idx="4">
                  <c:v>56.867815201699415</c:v>
                </c:pt>
                <c:pt idx="5">
                  <c:v>52.195444175214178</c:v>
                </c:pt>
                <c:pt idx="6">
                  <c:v>57.08843783783059</c:v>
                </c:pt>
                <c:pt idx="7">
                  <c:v>63.477953872042555</c:v>
                </c:pt>
                <c:pt idx="8">
                  <c:v>52.763401739390822</c:v>
                </c:pt>
                <c:pt idx="9">
                  <c:v>50.669769052693816</c:v>
                </c:pt>
                <c:pt idx="10">
                  <c:v>48.924549557806877</c:v>
                </c:pt>
                <c:pt idx="11">
                  <c:v>47.710953846723577</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5"/>
          <c:order val="1"/>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Allo'!$B$7:$F$7</c:f>
              <c:numCache>
                <c:formatCode>_(* #,##0_);_(* \(#,##0\);_(* "-"??_);_(@_)</c:formatCode>
                <c:ptCount val="5"/>
                <c:pt idx="0">
                  <c:v>21.2</c:v>
                </c:pt>
                <c:pt idx="1">
                  <c:v>21.2</c:v>
                </c:pt>
                <c:pt idx="2">
                  <c:v>21.2</c:v>
                </c:pt>
                <c:pt idx="3">
                  <c:v>21.2</c:v>
                </c:pt>
                <c:pt idx="4">
                  <c:v>26.538353135313532</c:v>
                </c:pt>
              </c:numCache>
            </c:numRef>
          </c:val>
          <c:extLst>
            <c:ext xmlns:c16="http://schemas.microsoft.com/office/drawing/2014/chart" uri="{C3380CC4-5D6E-409C-BE32-E72D297353CC}">
              <c16:uniqueId val="{00000005-C15C-4BC2-BAD8-EB7C1702C5E7}"/>
            </c:ext>
          </c:extLst>
        </c:ser>
        <c:ser>
          <c:idx val="4"/>
          <c:order val="2"/>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Allo'!$B$6:$F$6</c:f>
              <c:numCache>
                <c:formatCode>_(* #,##0_);_(* \(#,##0\);_(* "-"??_);_(@_)</c:formatCode>
                <c:ptCount val="5"/>
                <c:pt idx="0">
                  <c:v>31.8</c:v>
                </c:pt>
                <c:pt idx="1">
                  <c:v>32.86</c:v>
                </c:pt>
                <c:pt idx="2">
                  <c:v>31.8</c:v>
                </c:pt>
                <c:pt idx="3">
                  <c:v>32.86</c:v>
                </c:pt>
                <c:pt idx="4">
                  <c:v>32.86</c:v>
                </c:pt>
              </c:numCache>
            </c:numRef>
          </c:val>
          <c:extLst>
            <c:ext xmlns:c16="http://schemas.microsoft.com/office/drawing/2014/chart" uri="{C3380CC4-5D6E-409C-BE32-E72D297353CC}">
              <c16:uniqueId val="{00000004-C15C-4BC2-BAD8-EB7C1702C5E7}"/>
            </c:ext>
          </c:extLst>
        </c:ser>
        <c:ser>
          <c:idx val="0"/>
          <c:order val="3"/>
          <c:tx>
            <c:strRef>
              <c:f>'Graph Allo'!$A$2</c:f>
              <c:strCache>
                <c:ptCount val="1"/>
                <c:pt idx="0">
                  <c:v>GC (C3)</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Allo'!$B$2:$F$2</c:f>
              <c:numCache>
                <c:formatCode>_(* #,##0_);_(* \(#,##0\);_(* "-"??_);_(@_)</c:formatCode>
                <c:ptCount val="5"/>
                <c:pt idx="0">
                  <c:v>22.41</c:v>
                </c:pt>
                <c:pt idx="1">
                  <c:v>27</c:v>
                </c:pt>
                <c:pt idx="2">
                  <c:v>23</c:v>
                </c:pt>
                <c:pt idx="3">
                  <c:v>23</c:v>
                </c:pt>
                <c:pt idx="4">
                  <c:v>22.33</c:v>
                </c:pt>
              </c:numCache>
            </c:numRef>
          </c:val>
          <c:extLst>
            <c:ext xmlns:c16="http://schemas.microsoft.com/office/drawing/2014/chart" uri="{C3380CC4-5D6E-409C-BE32-E72D297353CC}">
              <c16:uniqueId val="{00000000-C15C-4BC2-BAD8-EB7C1702C5E7}"/>
            </c:ext>
          </c:extLst>
        </c:ser>
        <c:ser>
          <c:idx val="1"/>
          <c:order val="4"/>
          <c:tx>
            <c:strRef>
              <c:f>'Graph Allo'!$A$3</c:f>
              <c:strCache>
                <c:ptCount val="1"/>
                <c:pt idx="0">
                  <c:v>GC (LPG)</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Allo'!$B$3:$F$3</c:f>
              <c:numCache>
                <c:formatCode>_(* #,##0_);_(* \(#,##0\);_(* "-"??_);_(@_)</c:formatCode>
                <c:ptCount val="5"/>
                <c:pt idx="0">
                  <c:v>13</c:v>
                </c:pt>
                <c:pt idx="1">
                  <c:v>25</c:v>
                </c:pt>
                <c:pt idx="2">
                  <c:v>12</c:v>
                </c:pt>
                <c:pt idx="3">
                  <c:v>21</c:v>
                </c:pt>
                <c:pt idx="4">
                  <c:v>14</c:v>
                </c:pt>
              </c:numCache>
            </c:numRef>
          </c:val>
          <c:extLst>
            <c:ext xmlns:c16="http://schemas.microsoft.com/office/drawing/2014/chart" uri="{C3380CC4-5D6E-409C-BE32-E72D297353CC}">
              <c16:uniqueId val="{00000001-C15C-4BC2-BAD8-EB7C1702C5E7}"/>
            </c:ext>
          </c:extLst>
        </c:ser>
        <c:ser>
          <c:idx val="6"/>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Allo'!$B$8:$F$8</c:f>
              <c:numCache>
                <c:formatCode>_(* #,##0_);_(* \(#,##0\);_(* "-"??_);_(@_)</c:formatCode>
                <c:ptCount val="5"/>
                <c:pt idx="0">
                  <c:v>209.25477217</c:v>
                </c:pt>
                <c:pt idx="1">
                  <c:v>206.80664953000002</c:v>
                </c:pt>
                <c:pt idx="2">
                  <c:v>210.08396302</c:v>
                </c:pt>
                <c:pt idx="3">
                  <c:v>211.54425537000003</c:v>
                </c:pt>
                <c:pt idx="4">
                  <c:v>215.78532514</c:v>
                </c:pt>
              </c:numCache>
            </c:numRef>
          </c:val>
          <c:extLst>
            <c:ext xmlns:c16="http://schemas.microsoft.com/office/drawing/2014/chart" uri="{C3380CC4-5D6E-409C-BE32-E72D297353CC}">
              <c16:uniqueId val="{00000006-C15C-4BC2-BAD8-EB7C1702C5E7}"/>
            </c:ext>
          </c:extLst>
        </c:ser>
        <c:ser>
          <c:idx val="8"/>
          <c:order val="8"/>
          <c:tx>
            <c:strRef>
              <c:f>'Graph Allo'!$A$12</c:f>
              <c:strCache>
                <c:ptCount val="1"/>
                <c:pt idx="0">
                  <c:v>รอจำหน่าย/Export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Allo'!$B$12:$F$12</c:f>
              <c:numCache>
                <c:formatCode>_-* #,##0_-;\-* #,##0_-;_-* "-"??_-;_-@_-</c:formatCode>
                <c:ptCount val="5"/>
                <c:pt idx="1">
                  <c:v>5</c:v>
                </c:pt>
                <c:pt idx="2">
                  <c:v>21</c:v>
                </c:pt>
                <c:pt idx="3">
                  <c:v>29</c:v>
                </c:pt>
                <c:pt idx="4">
                  <c:v>30</c:v>
                </c:pt>
              </c:numCache>
            </c:numRef>
          </c:val>
          <c:extLst>
            <c:ext xmlns:c16="http://schemas.microsoft.com/office/drawing/2014/chart" uri="{C3380CC4-5D6E-409C-BE32-E72D297353CC}">
              <c16:uniqueId val="{00000000-02F6-4594-B39B-34EB7EB56CFE}"/>
            </c:ext>
          </c:extLst>
        </c:ser>
        <c:dLbls>
          <c:showLegendKey val="0"/>
          <c:showVal val="0"/>
          <c:showCatName val="0"/>
          <c:showSerName val="0"/>
          <c:showPercent val="0"/>
          <c:showBubbleSize val="0"/>
        </c:dLbls>
        <c:gapWidth val="150"/>
        <c:overlap val="100"/>
        <c:axId val="701522320"/>
        <c:axId val="701520024"/>
        <c:extLst>
          <c:ext xmlns:c15="http://schemas.microsoft.com/office/drawing/2012/chart" uri="{02D57815-91ED-43cb-92C2-25804820EDAC}">
            <c15:filteredBarSeries>
              <c15:ser>
                <c:idx val="2"/>
                <c:order val="0"/>
                <c:tx>
                  <c:strRef>
                    <c:extLst>
                      <c:ext uri="{02D57815-91ED-43cb-92C2-25804820EDAC}">
                        <c15:formulaRef>
                          <c15:sqref>'Graph Allo'!$A$4</c15:sqref>
                        </c15:formulaRef>
                      </c:ext>
                    </c:extLst>
                    <c:strCache>
                      <c:ptCount val="1"/>
                      <c:pt idx="0">
                        <c:v>SCG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c:ext uri="{02D57815-91ED-43cb-92C2-25804820EDAC}">
                        <c15:formulaRef>
                          <c15:sqref>'Graph Allo'!$B$4:$G$4</c15:sqref>
                        </c15:formulaRef>
                      </c:ext>
                    </c:extLst>
                    <c:numCache>
                      <c:formatCode>_(* #,##0_);_(* \(#,##0\);_(* "-"??_);_(@_)</c:formatCode>
                      <c:ptCount val="6"/>
                      <c:pt idx="4">
                        <c:v>4.000915441226482</c:v>
                      </c:pt>
                      <c:pt idx="5">
                        <c:v>4</c:v>
                      </c:pt>
                    </c:numCache>
                  </c:numRef>
                </c:val>
                <c:extLst>
                  <c:ext xmlns:c16="http://schemas.microsoft.com/office/drawing/2014/chart" uri="{C3380CC4-5D6E-409C-BE32-E72D297353CC}">
                    <c16:uniqueId val="{00000002-C15C-4BC2-BAD8-EB7C1702C5E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'Graph Allo'!$A$5</c15:sqref>
                        </c15:formulaRef>
                      </c:ext>
                    </c:extLst>
                    <c:strCache>
                      <c:ptCount val="1"/>
                      <c:pt idx="0">
                        <c:v>SCG/ROC (LPG)</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xmlns:c15="http://schemas.microsoft.com/office/drawing/2012/chart">
                      <c:ext xmlns:c15="http://schemas.microsoft.com/office/drawing/2012/chart" uri="{02D57815-91ED-43cb-92C2-25804820EDAC}">
                        <c15:formulaRef>
                          <c15:sqref>'Graph Allo'!$B$5:$G$5</c15:sqref>
                        </c15:formulaRef>
                      </c:ext>
                    </c:extLst>
                    <c:numCache>
                      <c:formatCode>_(* #,##0_);_(* \(#,##0\);_(* "-"??_);_(@_)</c:formatCode>
                      <c:ptCount val="6"/>
                      <c:pt idx="4">
                        <c:v>4</c:v>
                      </c:pt>
                      <c:pt idx="5">
                        <c:v>4</c:v>
                      </c:pt>
                    </c:numCache>
                  </c:numRef>
                </c:val>
                <c:extLst xmlns:c15="http://schemas.microsoft.com/office/drawing/2012/chart">
                  <c:ext xmlns:c16="http://schemas.microsoft.com/office/drawing/2014/chart" uri="{C3380CC4-5D6E-409C-BE32-E72D297353CC}">
                    <c16:uniqueId val="{00000003-C15C-4BC2-BAD8-EB7C1702C5E7}"/>
                  </c:ext>
                </c:extLst>
              </c15:ser>
            </c15:filteredBarSeries>
          </c:ext>
        </c:extLst>
      </c:barChart>
      <c:lineChart>
        <c:grouping val="standard"/>
        <c:varyColors val="0"/>
        <c:ser>
          <c:idx val="7"/>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Allo'!$B$9:$F$9</c:f>
              <c:numCache>
                <c:formatCode>_(* #,##0_);_(* \(#,##0\);_(* "-"??_);_(@_)</c:formatCode>
                <c:ptCount val="5"/>
                <c:pt idx="0">
                  <c:v>300.27272727272737</c:v>
                </c:pt>
                <c:pt idx="1">
                  <c:v>311.9763636363636</c:v>
                </c:pt>
                <c:pt idx="2">
                  <c:v>297.27500000000003</c:v>
                </c:pt>
                <c:pt idx="3">
                  <c:v>310.05</c:v>
                </c:pt>
                <c:pt idx="4">
                  <c:v>315.94799999999998</c:v>
                </c:pt>
              </c:numCache>
            </c:numRef>
          </c:val>
          <c:smooth val="0"/>
          <c:extLst>
            <c:ext xmlns:c16="http://schemas.microsoft.com/office/drawing/2014/chart" uri="{C3380CC4-5D6E-409C-BE32-E72D297353CC}">
              <c16:uniqueId val="{00000007-C15C-4BC2-BAD8-EB7C1702C5E7}"/>
            </c:ext>
          </c:extLst>
        </c:ser>
        <c:dLbls>
          <c:showLegendKey val="0"/>
          <c:showVal val="1"/>
          <c:showCatName val="0"/>
          <c:showSerName val="0"/>
          <c:showPercent val="0"/>
          <c:showBubbleSize val="0"/>
        </c:dLbls>
        <c:marker val="1"/>
        <c:smooth val="0"/>
        <c:axId val="701522320"/>
        <c:axId val="701520024"/>
      </c:lineChart>
      <c:dateAx>
        <c:axId val="701522320"/>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0024"/>
        <c:crosses val="autoZero"/>
        <c:auto val="1"/>
        <c:lblOffset val="100"/>
        <c:baseTimeUnit val="months"/>
      </c:dateAx>
      <c:valAx>
        <c:axId val="7015200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CEC!$A$3</c:f>
              <c:strCache>
                <c:ptCount val="1"/>
                <c:pt idx="0">
                  <c:v>C2 SCG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CEC!$E$3:$F$3</c:f>
              <c:numCache>
                <c:formatCode>_(* #,##0_);_(* \(#,##0\);_(* "-"??_);_(@_)</c:formatCode>
                <c:ptCount val="2"/>
                <c:pt idx="0">
                  <c:v>9.544794239859387</c:v>
                </c:pt>
                <c:pt idx="1">
                  <c:v>9.6022326827199844</c:v>
                </c:pt>
              </c:numCache>
            </c:numRef>
          </c:val>
          <c:extLst>
            <c:ext xmlns:c16="http://schemas.microsoft.com/office/drawing/2014/chart" uri="{C3380CC4-5D6E-409C-BE32-E72D297353CC}">
              <c16:uniqueId val="{00000001-113B-4465-8110-44EFD45264B8}"/>
            </c:ext>
          </c:extLst>
        </c:ser>
        <c:ser>
          <c:idx val="2"/>
          <c:order val="2"/>
          <c:tx>
            <c:strRef>
              <c:f>CEC!$A$4</c:f>
              <c:strCache>
                <c:ptCount val="1"/>
                <c:pt idx="0">
                  <c:v>C2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CEC!$E$4:$F$4</c:f>
              <c:numCache>
                <c:formatCode>_(* #,##0_);_(* \(#,##0\);_(* "-"??_);_(@_)</c:formatCode>
                <c:ptCount val="2"/>
                <c:pt idx="0">
                  <c:v>165.4431001575627</c:v>
                </c:pt>
                <c:pt idx="1">
                  <c:v>166.43869983381305</c:v>
                </c:pt>
              </c:numCache>
            </c:numRef>
          </c:val>
          <c:extLst>
            <c:ext xmlns:c16="http://schemas.microsoft.com/office/drawing/2014/chart" uri="{C3380CC4-5D6E-409C-BE32-E72D297353CC}">
              <c16:uniqueId val="{00000002-113B-4465-8110-44EFD45264B8}"/>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c:f>
              <c:strCache>
                <c:ptCount val="1"/>
                <c:pt idx="0">
                  <c:v>C2 Production</c:v>
                </c:pt>
              </c:strCache>
            </c:strRef>
          </c:tx>
          <c:spPr>
            <a:ln w="2222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CEC!$E$2:$F$2</c:f>
              <c:numCache>
                <c:formatCode>_(* #,##0_);_(* \(#,##0\);_(* "-"??_);_(@_)</c:formatCode>
                <c:ptCount val="2"/>
                <c:pt idx="0">
                  <c:v>174.98789439742208</c:v>
                </c:pt>
                <c:pt idx="1">
                  <c:v>176.04093251653302</c:v>
                </c:pt>
              </c:numCache>
            </c:numRef>
          </c:val>
          <c:smooth val="0"/>
          <c:extLst>
            <c:ext xmlns:c16="http://schemas.microsoft.com/office/drawing/2014/chart" uri="{C3380CC4-5D6E-409C-BE32-E72D297353CC}">
              <c16:uniqueId val="{00000000-113B-4465-8110-44EFD45264B8}"/>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0892094673732788"/>
        </c:manualLayout>
      </c:layout>
      <c:barChart>
        <c:barDir val="col"/>
        <c:grouping val="stacked"/>
        <c:varyColors val="0"/>
        <c:ser>
          <c:idx val="1"/>
          <c:order val="1"/>
          <c:tx>
            <c:strRef>
              <c:f>CEC!$A$14</c:f>
              <c:strCache>
                <c:ptCount val="1"/>
                <c:pt idx="0">
                  <c:v>NGL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CEC!$E$14:$F$14</c:f>
              <c:numCache>
                <c:formatCode>0</c:formatCode>
                <c:ptCount val="2"/>
                <c:pt idx="0">
                  <c:v>45</c:v>
                </c:pt>
                <c:pt idx="1">
                  <c:v>44</c:v>
                </c:pt>
              </c:numCache>
            </c:numRef>
          </c:val>
          <c:extLst>
            <c:ext xmlns:c16="http://schemas.microsoft.com/office/drawing/2014/chart" uri="{C3380CC4-5D6E-409C-BE32-E72D297353CC}">
              <c16:uniqueId val="{00000000-63C0-4CA5-95C1-EDE1542237B3}"/>
            </c:ext>
          </c:extLst>
        </c:ser>
        <c:ser>
          <c:idx val="2"/>
          <c:order val="2"/>
          <c:tx>
            <c:strRef>
              <c:f>CEC!$A$15</c:f>
              <c:strCache>
                <c:ptCount val="1"/>
                <c:pt idx="0">
                  <c:v>NGL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CEC!$E$15:$F$15</c:f>
              <c:numCache>
                <c:formatCode>0</c:formatCode>
                <c:ptCount val="2"/>
                <c:pt idx="0">
                  <c:v>24.691358024691358</c:v>
                </c:pt>
                <c:pt idx="1">
                  <c:v>24.691358024691358</c:v>
                </c:pt>
              </c:numCache>
            </c:numRef>
          </c:val>
          <c:extLst>
            <c:ext xmlns:c16="http://schemas.microsoft.com/office/drawing/2014/chart" uri="{C3380CC4-5D6E-409C-BE32-E72D297353CC}">
              <c16:uniqueId val="{00000001-63C0-4CA5-95C1-EDE1542237B3}"/>
            </c:ext>
          </c:extLst>
        </c:ser>
        <c:ser>
          <c:idx val="3"/>
          <c:order val="3"/>
          <c:tx>
            <c:strRef>
              <c:f>CEC!$A$16</c:f>
              <c:strCache>
                <c:ptCount val="1"/>
                <c:pt idx="0">
                  <c:v>NGL Export</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CEC!$E$16:$F$16</c:f>
              <c:numCache>
                <c:formatCode>0</c:formatCode>
                <c:ptCount val="2"/>
                <c:pt idx="0">
                  <c:v>0.15</c:v>
                </c:pt>
                <c:pt idx="1">
                  <c:v>0.7</c:v>
                </c:pt>
              </c:numCache>
            </c:numRef>
          </c:val>
          <c:extLst>
            <c:ext xmlns:c16="http://schemas.microsoft.com/office/drawing/2014/chart" uri="{C3380CC4-5D6E-409C-BE32-E72D297353CC}">
              <c16:uniqueId val="{00000003-63C0-4CA5-95C1-EDE1542237B3}"/>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CEC!$A$13</c:f>
              <c:strCache>
                <c:ptCount val="1"/>
                <c:pt idx="0">
                  <c:v>NGL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CEC!$E$12:$F$12</c:f>
              <c:numCache>
                <c:formatCode>B1mmm\-yy</c:formatCode>
                <c:ptCount val="2"/>
                <c:pt idx="0">
                  <c:v>44502</c:v>
                </c:pt>
                <c:pt idx="1">
                  <c:v>44532</c:v>
                </c:pt>
              </c:numCache>
            </c:numRef>
          </c:cat>
          <c:val>
            <c:numRef>
              <c:f>CEC!$E$13:$F$13</c:f>
              <c:numCache>
                <c:formatCode>0</c:formatCode>
                <c:ptCount val="2"/>
                <c:pt idx="0">
                  <c:v>67.561263086404864</c:v>
                </c:pt>
                <c:pt idx="1">
                  <c:v>67.709999999999994</c:v>
                </c:pt>
              </c:numCache>
            </c:numRef>
          </c:val>
          <c:smooth val="0"/>
          <c:extLst>
            <c:ext xmlns:c16="http://schemas.microsoft.com/office/drawing/2014/chart" uri="{C3380CC4-5D6E-409C-BE32-E72D297353CC}">
              <c16:uniqueId val="{00000002-63C0-4CA5-95C1-EDE1542237B3}"/>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4310475590082972"/>
          <c:y val="0.8366388737490289"/>
          <c:w val="0.82741621565075674"/>
          <c:h val="0.128714529240545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2"/>
          <c:order val="1"/>
          <c:tx>
            <c:strRef>
              <c:f>CEC!$A$9</c:f>
              <c:strCache>
                <c:ptCount val="1"/>
                <c:pt idx="0">
                  <c:v>C3/LPG Petro</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CEC!$E$6:$F$6</c:f>
              <c:numCache>
                <c:formatCode>B1mmm\-yy</c:formatCode>
                <c:ptCount val="2"/>
                <c:pt idx="0">
                  <c:v>44502</c:v>
                </c:pt>
                <c:pt idx="1">
                  <c:v>44532</c:v>
                </c:pt>
              </c:numCache>
            </c:numRef>
          </c:cat>
          <c:val>
            <c:numRef>
              <c:f>CEC!$E$9:$F$9</c:f>
              <c:numCache>
                <c:formatCode>_(* #,##0_);_(* \(#,##0\);_(* "-"??_);_(@_)</c:formatCode>
                <c:ptCount val="2"/>
                <c:pt idx="0">
                  <c:v>102.54</c:v>
                </c:pt>
                <c:pt idx="1">
                  <c:v>102.29400000000001</c:v>
                </c:pt>
              </c:numCache>
            </c:numRef>
          </c:val>
          <c:extLst>
            <c:ext xmlns:c16="http://schemas.microsoft.com/office/drawing/2014/chart" uri="{C3380CC4-5D6E-409C-BE32-E72D297353CC}">
              <c16:uniqueId val="{00000001-7C9A-4C81-A64F-EA32542B33E4}"/>
            </c:ext>
          </c:extLst>
        </c:ser>
        <c:ser>
          <c:idx val="1"/>
          <c:order val="2"/>
          <c:tx>
            <c:strRef>
              <c:f>CEC!$A$8</c:f>
              <c:strCache>
                <c:ptCount val="1"/>
                <c:pt idx="0">
                  <c:v>C3/LPG Domestic</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CEC!$E$6:$F$6</c:f>
              <c:numCache>
                <c:formatCode>B1mmm\-yy</c:formatCode>
                <c:ptCount val="2"/>
                <c:pt idx="0">
                  <c:v>44502</c:v>
                </c:pt>
                <c:pt idx="1">
                  <c:v>44532</c:v>
                </c:pt>
              </c:numCache>
            </c:numRef>
          </c:cat>
          <c:val>
            <c:numRef>
              <c:f>CEC!$E$8:$F$8</c:f>
              <c:numCache>
                <c:formatCode>_(* #,##0_);_(* \(#,##0\);_(* "-"??_);_(@_)</c:formatCode>
                <c:ptCount val="2"/>
                <c:pt idx="0">
                  <c:v>209.17999999999998</c:v>
                </c:pt>
                <c:pt idx="1">
                  <c:v>217.41511431000009</c:v>
                </c:pt>
              </c:numCache>
            </c:numRef>
          </c:val>
          <c:extLst>
            <c:ext xmlns:c16="http://schemas.microsoft.com/office/drawing/2014/chart" uri="{C3380CC4-5D6E-409C-BE32-E72D297353CC}">
              <c16:uniqueId val="{00000000-7C9A-4C81-A64F-EA32542B33E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CEC!$A$7</c:f>
              <c:strCache>
                <c:ptCount val="1"/>
                <c:pt idx="0">
                  <c:v>C3/LPG Supply</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CEC!$E$6:$F$6</c:f>
              <c:numCache>
                <c:formatCode>B1mmm\-yy</c:formatCode>
                <c:ptCount val="2"/>
                <c:pt idx="0">
                  <c:v>44502</c:v>
                </c:pt>
                <c:pt idx="1">
                  <c:v>44532</c:v>
                </c:pt>
              </c:numCache>
            </c:numRef>
          </c:cat>
          <c:val>
            <c:numRef>
              <c:f>CEC!$E$7:$F$7</c:f>
              <c:numCache>
                <c:formatCode>_(* #,##0_);_(* \(#,##0\);_(* "-"??_);_(@_)</c:formatCode>
                <c:ptCount val="2"/>
                <c:pt idx="0">
                  <c:v>313.89999999999998</c:v>
                </c:pt>
                <c:pt idx="1">
                  <c:v>325.7004342231823</c:v>
                </c:pt>
              </c:numCache>
            </c:numRef>
          </c:val>
          <c:smooth val="0"/>
          <c:extLst>
            <c:ext xmlns:c16="http://schemas.microsoft.com/office/drawing/2014/chart" uri="{C3380CC4-5D6E-409C-BE32-E72D297353CC}">
              <c16:uniqueId val="{00000002-7C9A-4C81-A64F-EA32542B33E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CEC!$A$21</c:f>
              <c:strCache>
                <c:ptCount val="1"/>
                <c:pt idx="0">
                  <c:v>C5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CEC!$C$1:$D$1</c:f>
              <c:numCache>
                <c:formatCode>B1mmm\-yy</c:formatCode>
                <c:ptCount val="2"/>
                <c:pt idx="0">
                  <c:v>44441</c:v>
                </c:pt>
                <c:pt idx="1">
                  <c:v>44471</c:v>
                </c:pt>
              </c:numCache>
            </c:numRef>
          </c:cat>
          <c:val>
            <c:numRef>
              <c:f>CEC!$E$21:$F$21</c:f>
              <c:numCache>
                <c:formatCode>0</c:formatCode>
                <c:ptCount val="2"/>
                <c:pt idx="0">
                  <c:v>4.32</c:v>
                </c:pt>
                <c:pt idx="1">
                  <c:v>4.4640000000000004</c:v>
                </c:pt>
              </c:numCache>
            </c:numRef>
          </c:val>
          <c:extLst>
            <c:ext xmlns:c16="http://schemas.microsoft.com/office/drawing/2014/chart" uri="{C3380CC4-5D6E-409C-BE32-E72D297353CC}">
              <c16:uniqueId val="{00000000-546D-4525-8E41-C4B84A3140BD}"/>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CEC!$A$20</c:f>
              <c:strCache>
                <c:ptCount val="1"/>
                <c:pt idx="0">
                  <c:v>C5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CEC!$E$19:$F$19</c:f>
              <c:numCache>
                <c:formatCode>B1mmm\-yy</c:formatCode>
                <c:ptCount val="2"/>
                <c:pt idx="0">
                  <c:v>44502</c:v>
                </c:pt>
                <c:pt idx="1">
                  <c:v>44532</c:v>
                </c:pt>
              </c:numCache>
            </c:numRef>
          </c:cat>
          <c:val>
            <c:numRef>
              <c:f>CEC!$E$20:$F$20</c:f>
              <c:numCache>
                <c:formatCode>0</c:formatCode>
                <c:ptCount val="2"/>
                <c:pt idx="0">
                  <c:v>4.32</c:v>
                </c:pt>
                <c:pt idx="1">
                  <c:v>4.4640000000000004</c:v>
                </c:pt>
              </c:numCache>
            </c:numRef>
          </c:val>
          <c:smooth val="0"/>
          <c:extLst>
            <c:ext xmlns:c16="http://schemas.microsoft.com/office/drawing/2014/chart" uri="{C3380CC4-5D6E-409C-BE32-E72D297353CC}">
              <c16:uniqueId val="{00000002-546D-4525-8E41-C4B84A3140BD}"/>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6357092403248388"/>
          <c:y val="0.8668116004485551"/>
          <c:w val="0.79769859023994993"/>
          <c:h val="9.82539177508428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'C3LPG'!$L$194:$X$194</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9"/>
          <c:order val="0"/>
          <c:tx>
            <c:strRef>
              <c:f>'Graph DS'!$A$7</c:f>
              <c:strCache>
                <c:ptCount val="1"/>
                <c:pt idx="0">
                  <c:v>GSP KHM</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 DS'!$B$7:$M$7</c:f>
              <c:numCache>
                <c:formatCode>_(* #,##0_);_(* \(#,##0\);_(* "-"??_);_(@_)</c:formatCode>
                <c:ptCount val="12"/>
                <c:pt idx="0">
                  <c:v>15.75</c:v>
                </c:pt>
                <c:pt idx="1">
                  <c:v>16.37</c:v>
                </c:pt>
                <c:pt idx="2">
                  <c:v>17.515000000000001</c:v>
                </c:pt>
                <c:pt idx="3">
                  <c:v>16.52</c:v>
                </c:pt>
                <c:pt idx="4">
                  <c:v>18.445</c:v>
                </c:pt>
                <c:pt idx="5">
                  <c:v>12</c:v>
                </c:pt>
                <c:pt idx="6">
                  <c:v>17.824999999999999</c:v>
                </c:pt>
                <c:pt idx="7">
                  <c:v>15.9</c:v>
                </c:pt>
                <c:pt idx="8">
                  <c:v>6.2</c:v>
                </c:pt>
                <c:pt idx="9">
                  <c:v>8.06</c:v>
                </c:pt>
                <c:pt idx="10">
                  <c:v>1.56</c:v>
                </c:pt>
                <c:pt idx="11">
                  <c:v>0.36</c:v>
                </c:pt>
              </c:numCache>
            </c:numRef>
          </c:val>
          <c:extLst>
            <c:ext xmlns:c16="http://schemas.microsoft.com/office/drawing/2014/chart" uri="{C3380CC4-5D6E-409C-BE32-E72D297353CC}">
              <c16:uniqueId val="{00000000-60E2-4DA5-A7F8-6E4CBD5AEFA6}"/>
            </c:ext>
          </c:extLst>
        </c:ser>
        <c:ser>
          <c:idx val="4"/>
          <c:order val="1"/>
          <c:tx>
            <c:strRef>
              <c:f>'Graph DS'!$A$8</c:f>
              <c:strCache>
                <c:ptCount val="1"/>
                <c:pt idx="0">
                  <c:v>C3 Import to SCG</c:v>
                </c:pt>
              </c:strCache>
            </c:strRef>
          </c:tx>
          <c:spPr>
            <a:solidFill>
              <a:schemeClr val="accent5"/>
            </a:solidFill>
            <a:ln>
              <a:noFill/>
            </a:ln>
            <a:effectLst/>
          </c:spPr>
          <c:invertIfNegative val="0"/>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4-159A-4283-ACBA-BB353AE65927}"/>
            </c:ext>
          </c:extLst>
        </c:ser>
        <c:ser>
          <c:idx val="1"/>
          <c:order val="2"/>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59A-4283-ACBA-BB353AE65927}"/>
            </c:ext>
          </c:extLst>
        </c:ser>
        <c:ser>
          <c:idx val="2"/>
          <c:order val="3"/>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2-159A-4283-ACBA-BB353AE65927}"/>
            </c:ext>
          </c:extLst>
        </c:ser>
        <c:ser>
          <c:idx val="3"/>
          <c:order val="4"/>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159A-4283-ACBA-BB353AE65927}"/>
            </c:ext>
          </c:extLst>
        </c:ser>
        <c:ser>
          <c:idx val="7"/>
          <c:order val="5"/>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062-43B7-8750-02A914FB5568}"/>
            </c:ext>
          </c:extLst>
        </c:ser>
        <c:ser>
          <c:idx val="0"/>
          <c:order val="6"/>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0-159A-4283-ACBA-BB353AE65927}"/>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0-4465-40AA-B3E7-9131114E4628}"/>
            </c:ext>
          </c:extLst>
        </c:ser>
        <c:ser>
          <c:idx val="8"/>
          <c:order val="9"/>
          <c:tx>
            <c:strRef>
              <c:f>'Graph DS'!$A$8</c:f>
              <c:strCache>
                <c:ptCount val="1"/>
                <c:pt idx="0">
                  <c:v>C3 Import to SCG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0-80DC-4047-AF2E-1FE7BBD51199}"/>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5-159A-4283-ACBA-BB353AE65927}"/>
            </c:ext>
          </c:extLst>
        </c:ser>
        <c:dLbls>
          <c:dLblPos val="ctr"/>
          <c:showLegendKey val="0"/>
          <c:showVal val="1"/>
          <c:showCatName val="0"/>
          <c:showSerName val="0"/>
          <c:showPercent val="0"/>
          <c:showBubbleSize val="0"/>
        </c:dLbls>
        <c:marker val="1"/>
        <c:smooth val="0"/>
        <c:axId val="628675648"/>
        <c:axId val="628682208"/>
      </c:lineChart>
      <c:cat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Algn val="ctr"/>
        <c:lblOffset val="100"/>
        <c:noMultiLvlLbl val="1"/>
      </c:catAx>
      <c:valAx>
        <c:axId val="628682208"/>
        <c:scaling>
          <c:orientation val="minMax"/>
          <c:min val="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1"/>
          <c:order val="0"/>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FA1-4E0D-872D-A9AC17985573}"/>
            </c:ext>
          </c:extLst>
        </c:ser>
        <c:ser>
          <c:idx val="2"/>
          <c:order val="1"/>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1-4FA1-4E0D-872D-A9AC17985573}"/>
            </c:ext>
          </c:extLst>
        </c:ser>
        <c:ser>
          <c:idx val="4"/>
          <c:order val="2"/>
          <c:tx>
            <c:strRef>
              <c:f>'Graph DS'!$A$8</c:f>
              <c:strCache>
                <c:ptCount val="1"/>
                <c:pt idx="0">
                  <c:v>C3 Import to SCG</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2-4FA1-4E0D-872D-A9AC17985573}"/>
            </c:ext>
          </c:extLst>
        </c:ser>
        <c:ser>
          <c:idx val="3"/>
          <c:order val="3"/>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4FA1-4E0D-872D-A9AC17985573}"/>
            </c:ext>
          </c:extLst>
        </c:ser>
        <c:ser>
          <c:idx val="7"/>
          <c:order val="4"/>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4FA1-4E0D-872D-A9AC17985573}"/>
            </c:ext>
          </c:extLst>
        </c:ser>
        <c:ser>
          <c:idx val="0"/>
          <c:order val="5"/>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5-4FA1-4E0D-872D-A9AC17985573}"/>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6-4FA1-4E0D-872D-A9AC17985573}"/>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6"/>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7-4FA1-4E0D-872D-A9AC17985573}"/>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dLbls>
          <c:dLblPos val="ctr"/>
          <c:showLegendKey val="0"/>
          <c:showVal val="1"/>
          <c:showCatName val="0"/>
          <c:showSerName val="0"/>
          <c:showPercent val="0"/>
          <c:showBubbleSize val="0"/>
        </c:dLbls>
        <c:marker val="1"/>
        <c:smooth val="0"/>
        <c:axId val="738725880"/>
        <c:axId val="738721288"/>
        <c:extLst>
          <c:ext xmlns:c15="http://schemas.microsoft.com/office/drawing/2012/chart" uri="{02D57815-91ED-43cb-92C2-25804820EDAC}">
            <c15:filteredLineSeries>
              <c15:ser>
                <c:idx val="8"/>
                <c:order val="7"/>
                <c:tx>
                  <c:strRef>
                    <c:extLst>
                      <c:ext uri="{02D57815-91ED-43cb-92C2-25804820EDAC}">
                        <c15:formulaRef>
                          <c15:sqref>'Graph DS'!$A$10</c15:sqref>
                        </c15:formulaRef>
                      </c:ext>
                    </c:extLst>
                    <c:strCache>
                      <c:ptCount val="1"/>
                      <c:pt idx="0">
                        <c:v>% C3/LPG GSP Inventory</c:v>
                      </c:pt>
                    </c:strCache>
                  </c:strRef>
                </c:tx>
                <c:spPr>
                  <a:ln w="28575" cap="rnd">
                    <a:solidFill>
                      <a:srgbClr val="0000FF"/>
                    </a:solidFill>
                    <a:prstDash val="sysDot"/>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b"/>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DS'!$B$1:$M$1</c15:sqref>
                        </c15:formulaRef>
                      </c:ext>
                    </c:extLst>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extLst>
                      <c:ext uri="{02D57815-91ED-43cb-92C2-25804820EDAC}">
                        <c15:formulaRef>
                          <c15:sqref>'Graph DS'!$B$10:$M$10</c15:sqref>
                        </c15:formulaRef>
                      </c:ext>
                    </c:extLst>
                    <c:numCache>
                      <c:formatCode>0%</c:formatCode>
                      <c:ptCount val="12"/>
                    </c:numCache>
                  </c:numRef>
                </c:val>
                <c:smooth val="0"/>
                <c:extLst>
                  <c:ext xmlns:c16="http://schemas.microsoft.com/office/drawing/2014/chart" uri="{C3380CC4-5D6E-409C-BE32-E72D297353CC}">
                    <c16:uniqueId val="{00000008-4FA1-4E0D-872D-A9AC17985573}"/>
                  </c:ext>
                </c:extLst>
              </c15:ser>
            </c15:filteredLineSeries>
          </c:ext>
        </c:extLst>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1"/>
        <c:axPos val="r"/>
        <c:numFmt formatCode="0%" sourceLinked="1"/>
        <c:majorTickMark val="out"/>
        <c:minorTickMark val="none"/>
        <c:tickLblPos val="nextTo"/>
        <c:crossAx val="738725880"/>
        <c:crosses val="max"/>
        <c:crossBetween val="between"/>
      </c:valAx>
      <c:catAx>
        <c:axId val="738725880"/>
        <c:scaling>
          <c:orientation val="minMax"/>
        </c:scaling>
        <c:delete val="1"/>
        <c:axPos val="b"/>
        <c:numFmt formatCode="B1mmm\-yy" sourceLinked="1"/>
        <c:majorTickMark val="out"/>
        <c:minorTickMark val="none"/>
        <c:tickLblPos val="nextTo"/>
        <c:crossAx val="738721288"/>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c:f>
              <c:strCache>
                <c:ptCount val="1"/>
                <c:pt idx="0">
                  <c:v>GC (C3)</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19C7-4D3F-BC0C-49B3F1368317}"/>
            </c:ext>
          </c:extLst>
        </c:ser>
        <c:ser>
          <c:idx val="1"/>
          <c:order val="1"/>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19C7-4D3F-BC0C-49B3F1368317}"/>
            </c:ext>
          </c:extLst>
        </c:ser>
        <c:ser>
          <c:idx val="2"/>
          <c:order val="2"/>
          <c:tx>
            <c:strRef>
              <c:f>'Graph Allo'!$A$6</c:f>
              <c:strCache>
                <c:ptCount val="1"/>
                <c:pt idx="0">
                  <c:v>HMC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19C7-4D3F-BC0C-49B3F1368317}"/>
            </c:ext>
          </c:extLst>
        </c:ser>
        <c:ser>
          <c:idx val="3"/>
          <c:order val="3"/>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19C7-4D3F-BC0C-49B3F1368317}"/>
            </c:ext>
          </c:extLst>
        </c:ser>
        <c:ser>
          <c:idx val="4"/>
          <c:order val="4"/>
          <c:tx>
            <c:strRef>
              <c:f>'Graph Allo'!$A$8</c:f>
              <c:strCache>
                <c:ptCount val="1"/>
                <c:pt idx="0">
                  <c:v>Domestic</c:v>
                </c:pt>
              </c:strCache>
            </c:strRef>
          </c:tx>
          <c:spPr>
            <a:solidFill>
              <a:srgbClr val="CCFFFF"/>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19C7-4D3F-BC0C-49B3F1368317}"/>
            </c:ext>
          </c:extLst>
        </c:ser>
        <c:dLbls>
          <c:dLblPos val="ctr"/>
          <c:showLegendKey val="0"/>
          <c:showVal val="1"/>
          <c:showCatName val="0"/>
          <c:showSerName val="0"/>
          <c:showPercent val="0"/>
          <c:showBubbleSize val="0"/>
        </c:dLbls>
        <c:gapWidth val="150"/>
        <c:overlap val="100"/>
        <c:axId val="628675648"/>
        <c:axId val="628682208"/>
      </c:barChart>
      <c:lineChart>
        <c:grouping val="standard"/>
        <c:varyColors val="0"/>
        <c:ser>
          <c:idx val="5"/>
          <c:order val="5"/>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19C7-4D3F-BC0C-49B3F1368317}"/>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ser>
          <c:idx val="8"/>
          <c:order val="6"/>
          <c:tx>
            <c:strRef>
              <c:f>'Graph Allo'!$A$10</c:f>
              <c:strCache>
                <c:ptCount val="1"/>
                <c:pt idx="0">
                  <c:v>% C3/LPG GSP Inventory</c:v>
                </c:pt>
              </c:strCache>
            </c:strRef>
          </c:tx>
          <c:spPr>
            <a:ln w="28575" cap="rnd">
              <a:solidFill>
                <a:schemeClr val="accent3">
                  <a:lumMod val="60000"/>
                </a:schemeClr>
              </a:solidFill>
              <a:prstDash val="sysDot"/>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Allo'!$B$10:$M$10</c:f>
              <c:numCache>
                <c:formatCode>0%</c:formatCode>
                <c:ptCount val="12"/>
                <c:pt idx="0">
                  <c:v>0.25403924107025933</c:v>
                </c:pt>
                <c:pt idx="1">
                  <c:v>0.33483128996932265</c:v>
                </c:pt>
                <c:pt idx="2">
                  <c:v>0.44030814595945017</c:v>
                </c:pt>
                <c:pt idx="3">
                  <c:v>0.52359343951186588</c:v>
                </c:pt>
                <c:pt idx="4">
                  <c:v>0.46103669107740353</c:v>
                </c:pt>
                <c:pt idx="5">
                  <c:v>0.39779918773241624</c:v>
                </c:pt>
                <c:pt idx="6">
                  <c:v>0.66942577304125628</c:v>
                </c:pt>
                <c:pt idx="7">
                  <c:v>0.35713950005208561</c:v>
                </c:pt>
                <c:pt idx="8">
                  <c:v>0.35684026040672934</c:v>
                </c:pt>
                <c:pt idx="9">
                  <c:v>0.3512152386185301</c:v>
                </c:pt>
                <c:pt idx="10">
                  <c:v>0.35110414053853761</c:v>
                </c:pt>
                <c:pt idx="11">
                  <c:v>0.35166186409611494</c:v>
                </c:pt>
              </c:numCache>
            </c:numRef>
          </c:val>
          <c:smooth val="0"/>
          <c:extLst>
            <c:ext xmlns:c16="http://schemas.microsoft.com/office/drawing/2014/chart" uri="{C3380CC4-5D6E-409C-BE32-E72D297353CC}">
              <c16:uniqueId val="{00000006-19C7-4D3F-BC0C-49B3F1368317}"/>
            </c:ext>
          </c:extLst>
        </c:ser>
        <c:dLbls>
          <c:dLblPos val="ctr"/>
          <c:showLegendKey val="0"/>
          <c:showVal val="1"/>
          <c:showCatName val="0"/>
          <c:showSerName val="0"/>
          <c:showPercent val="0"/>
          <c:showBubbleSize val="0"/>
        </c:dLbls>
        <c:marker val="1"/>
        <c:smooth val="0"/>
        <c:axId val="738725880"/>
        <c:axId val="73872128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38725880"/>
        <c:crosses val="max"/>
        <c:crossBetween val="between"/>
      </c:valAx>
      <c:dateAx>
        <c:axId val="738725880"/>
        <c:scaling>
          <c:orientation val="minMax"/>
        </c:scaling>
        <c:delete val="1"/>
        <c:axPos val="b"/>
        <c:numFmt formatCode="B1mmm\-yy" sourceLinked="1"/>
        <c:majorTickMark val="out"/>
        <c:minorTickMark val="none"/>
        <c:tickLblPos val="nextTo"/>
        <c:crossAx val="738721288"/>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3"/>
          <c:order val="0"/>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E5D0-43F0-A913-667082AE32E7}"/>
            </c:ext>
          </c:extLst>
        </c:ser>
        <c:ser>
          <c:idx val="2"/>
          <c:order val="1"/>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E5D0-43F0-A913-667082AE32E7}"/>
            </c:ext>
          </c:extLst>
        </c:ser>
        <c:ser>
          <c:idx val="0"/>
          <c:order val="2"/>
          <c:tx>
            <c:strRef>
              <c:f>'Graph Allo'!$A$2</c:f>
              <c:strCache>
                <c:ptCount val="1"/>
                <c:pt idx="0">
                  <c:v>GC (C3)</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E5D0-43F0-A913-667082AE32E7}"/>
            </c:ext>
          </c:extLst>
        </c:ser>
        <c:ser>
          <c:idx val="7"/>
          <c:order val="3"/>
          <c:tx>
            <c:strRef>
              <c:f>'Graph Allo'!$A$4</c:f>
              <c:strCache>
                <c:ptCount val="1"/>
                <c:pt idx="0">
                  <c:v>SCG (C3)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Allo'!$B$4:$M$4</c:f>
              <c:numCache>
                <c:formatCode>_(* #,##0_);_(* \(#,##0\);_(* "-"??_);_(@_)</c:formatCode>
                <c:ptCount val="12"/>
                <c:pt idx="4">
                  <c:v>4.000915441226482</c:v>
                </c:pt>
                <c:pt idx="5">
                  <c:v>4</c:v>
                </c:pt>
                <c:pt idx="6">
                  <c:v>4</c:v>
                </c:pt>
                <c:pt idx="7">
                  <c:v>4</c:v>
                </c:pt>
                <c:pt idx="8">
                  <c:v>4</c:v>
                </c:pt>
                <c:pt idx="9">
                  <c:v>4</c:v>
                </c:pt>
                <c:pt idx="11">
                  <c:v>4</c:v>
                </c:pt>
              </c:numCache>
            </c:numRef>
          </c:val>
          <c:extLst>
            <c:ext xmlns:c16="http://schemas.microsoft.com/office/drawing/2014/chart" uri="{C3380CC4-5D6E-409C-BE32-E72D297353CC}">
              <c16:uniqueId val="{00000002-445B-4CED-B49F-08088943BD5F}"/>
            </c:ext>
          </c:extLst>
        </c:ser>
        <c:ser>
          <c:idx val="6"/>
          <c:order val="4"/>
          <c:tx>
            <c:strRef>
              <c:f>'Graph Allo'!$A$3</c:f>
              <c:strCache>
                <c:ptCount val="1"/>
                <c:pt idx="0">
                  <c:v>GC (LPG)</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Allo'!$B$3:$M$3</c:f>
              <c:numCache>
                <c:formatCode>_(* #,##0_);_(* \(#,##0\);_(* "-"??_);_(@_)</c:formatCode>
                <c:ptCount val="12"/>
                <c:pt idx="0">
                  <c:v>13</c:v>
                </c:pt>
                <c:pt idx="1">
                  <c:v>25</c:v>
                </c:pt>
                <c:pt idx="2">
                  <c:v>12</c:v>
                </c:pt>
                <c:pt idx="3">
                  <c:v>21</c:v>
                </c:pt>
                <c:pt idx="4">
                  <c:v>14</c:v>
                </c:pt>
                <c:pt idx="5">
                  <c:v>5</c:v>
                </c:pt>
                <c:pt idx="6">
                  <c:v>20</c:v>
                </c:pt>
                <c:pt idx="7">
                  <c:v>20</c:v>
                </c:pt>
                <c:pt idx="8">
                  <c:v>20</c:v>
                </c:pt>
                <c:pt idx="9">
                  <c:v>20</c:v>
                </c:pt>
                <c:pt idx="10">
                  <c:v>20</c:v>
                </c:pt>
                <c:pt idx="11">
                  <c:v>25</c:v>
                </c:pt>
              </c:numCache>
            </c:numRef>
          </c:val>
          <c:extLst>
            <c:ext xmlns:c16="http://schemas.microsoft.com/office/drawing/2014/chart" uri="{C3380CC4-5D6E-409C-BE32-E72D297353CC}">
              <c16:uniqueId val="{00000001-445B-4CED-B49F-08088943BD5F}"/>
            </c:ext>
          </c:extLst>
        </c:ser>
        <c:ser>
          <c:idx val="1"/>
          <c:order val="5"/>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E5D0-43F0-A913-667082AE32E7}"/>
            </c:ext>
          </c:extLst>
        </c:ser>
        <c:ser>
          <c:idx val="4"/>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E5D0-43F0-A913-667082AE32E7}"/>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6"/>
              </a:solidFill>
              <a:ln w="9525">
                <a:solidFill>
                  <a:schemeClr val="accent5"/>
                </a:solid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E5D0-43F0-A913-667082AE32E7}"/>
            </c:ext>
          </c:extLst>
        </c:ser>
        <c:dLbls>
          <c:dLblPos val="ctr"/>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NGL GSP Balance (Km3)</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Allo'!$A$23</c:f>
              <c:strCache>
                <c:ptCount val="1"/>
                <c:pt idx="0">
                  <c:v>GC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Allo'!$B$23:$M$23</c:f>
              <c:numCache>
                <c:formatCode>_(* #,##0_);_(* \(#,##0\);_(* "-"??_);_(@_)</c:formatCode>
                <c:ptCount val="12"/>
                <c:pt idx="0">
                  <c:v>38.888888888888886</c:v>
                </c:pt>
                <c:pt idx="1">
                  <c:v>37.037037037037038</c:v>
                </c:pt>
                <c:pt idx="2">
                  <c:v>38.580246913580247</c:v>
                </c:pt>
                <c:pt idx="3">
                  <c:v>30.864197530864196</c:v>
                </c:pt>
                <c:pt idx="4">
                  <c:v>39.351851851851848</c:v>
                </c:pt>
                <c:pt idx="5">
                  <c:v>37.037037037037038</c:v>
                </c:pt>
                <c:pt idx="6">
                  <c:v>38.580246913580247</c:v>
                </c:pt>
                <c:pt idx="7">
                  <c:v>37.037037037037038</c:v>
                </c:pt>
                <c:pt idx="8">
                  <c:v>38.580246913580247</c:v>
                </c:pt>
                <c:pt idx="9">
                  <c:v>35.493827160493829</c:v>
                </c:pt>
                <c:pt idx="10">
                  <c:v>40.123456790123456</c:v>
                </c:pt>
                <c:pt idx="11">
                  <c:v>35.493827160493829</c:v>
                </c:pt>
              </c:numCache>
            </c:numRef>
          </c:val>
          <c:extLst>
            <c:ext xmlns:c16="http://schemas.microsoft.com/office/drawing/2014/chart" uri="{C3380CC4-5D6E-409C-BE32-E72D297353CC}">
              <c16:uniqueId val="{00000000-D559-4659-AA82-1509D5F64E12}"/>
            </c:ext>
          </c:extLst>
        </c:ser>
        <c:ser>
          <c:idx val="1"/>
          <c:order val="1"/>
          <c:tx>
            <c:strRef>
              <c:f>'Graph Allo'!$A$24</c:f>
              <c:strCache>
                <c:ptCount val="1"/>
                <c:pt idx="0">
                  <c:v>SCG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Allo'!$B$24:$M$24</c:f>
              <c:numCache>
                <c:formatCode>_(* #,##0_);_(* \(#,##0\);_(* "-"??_);_(@_)</c:formatCode>
                <c:ptCount val="12"/>
                <c:pt idx="0">
                  <c:v>43.6</c:v>
                </c:pt>
                <c:pt idx="1">
                  <c:v>42.2</c:v>
                </c:pt>
                <c:pt idx="2">
                  <c:v>43.629629629629626</c:v>
                </c:pt>
                <c:pt idx="3">
                  <c:v>42.222222222222221</c:v>
                </c:pt>
                <c:pt idx="4">
                  <c:v>43.629629629629626</c:v>
                </c:pt>
                <c:pt idx="5">
                  <c:v>43.629629629629626</c:v>
                </c:pt>
                <c:pt idx="6">
                  <c:v>42.222222222222221</c:v>
                </c:pt>
                <c:pt idx="7">
                  <c:v>43.629629629629626</c:v>
                </c:pt>
                <c:pt idx="8">
                  <c:v>42.222222222222221</c:v>
                </c:pt>
                <c:pt idx="9">
                  <c:v>43.629629629629626</c:v>
                </c:pt>
                <c:pt idx="10">
                  <c:v>43.629629629629626</c:v>
                </c:pt>
                <c:pt idx="11">
                  <c:v>39.407407407407412</c:v>
                </c:pt>
              </c:numCache>
            </c:numRef>
          </c:val>
          <c:extLst>
            <c:ext xmlns:c16="http://schemas.microsoft.com/office/drawing/2014/chart" uri="{C3380CC4-5D6E-409C-BE32-E72D297353CC}">
              <c16:uniqueId val="{00000001-D559-4659-AA82-1509D5F64E12}"/>
            </c:ext>
          </c:extLst>
        </c:ser>
        <c:ser>
          <c:idx val="2"/>
          <c:order val="2"/>
          <c:tx>
            <c:strRef>
              <c:f>'Graph Allo'!$A$25</c:f>
              <c:strCache>
                <c:ptCount val="1"/>
                <c:pt idx="0">
                  <c:v>Export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Allo'!$B$25:$M$25</c:f>
              <c:numCache>
                <c:formatCode>_(* #,##0_);_(* \(#,##0\);_(* "-"??_);_(@_)</c:formatCode>
                <c:ptCount val="12"/>
                <c:pt idx="0" formatCode="_(* #,##0.0_);_(* \(#,##0.0\);_(* &quot;-&quot;??_);_(@_)">
                  <c:v>2.5</c:v>
                </c:pt>
              </c:numCache>
            </c:numRef>
          </c:val>
          <c:extLst>
            <c:ext xmlns:c16="http://schemas.microsoft.com/office/drawing/2014/chart" uri="{C3380CC4-5D6E-409C-BE32-E72D297353CC}">
              <c16:uniqueId val="{00000002-D559-4659-AA82-1509D5F64E12}"/>
            </c:ext>
          </c:extLst>
        </c:ser>
        <c:dLbls>
          <c:showLegendKey val="0"/>
          <c:showVal val="1"/>
          <c:showCatName val="0"/>
          <c:showSerName val="0"/>
          <c:showPercent val="0"/>
          <c:showBubbleSize val="0"/>
        </c:dLbls>
        <c:gapWidth val="150"/>
        <c:overlap val="100"/>
        <c:axId val="628675648"/>
        <c:axId val="628682208"/>
      </c:barChart>
      <c:lineChart>
        <c:grouping val="standard"/>
        <c:varyColors val="0"/>
        <c:ser>
          <c:idx val="5"/>
          <c:order val="3"/>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Allo'!$B$26:$M$26</c:f>
              <c:numCache>
                <c:formatCode>_(* #,##0_);_(* \(#,##0\);_(* "-"??_);_(@_)</c:formatCode>
                <c:ptCount val="12"/>
                <c:pt idx="0">
                  <c:v>80.8</c:v>
                </c:pt>
                <c:pt idx="1">
                  <c:v>77.786000000000001</c:v>
                </c:pt>
                <c:pt idx="2">
                  <c:v>81.843738095238095</c:v>
                </c:pt>
                <c:pt idx="3">
                  <c:v>73.823023809523818</c:v>
                </c:pt>
                <c:pt idx="4">
                  <c:v>82.342019420294847</c:v>
                </c:pt>
                <c:pt idx="5">
                  <c:v>81.342019420294847</c:v>
                </c:pt>
                <c:pt idx="6">
                  <c:v>80.242019420294852</c:v>
                </c:pt>
                <c:pt idx="7">
                  <c:v>81.342019420294847</c:v>
                </c:pt>
                <c:pt idx="8">
                  <c:v>80.242019420294852</c:v>
                </c:pt>
                <c:pt idx="9">
                  <c:v>79.938574632541147</c:v>
                </c:pt>
                <c:pt idx="10">
                  <c:v>82.348688686701848</c:v>
                </c:pt>
                <c:pt idx="11">
                  <c:v>74.932000000000002</c:v>
                </c:pt>
              </c:numCache>
            </c:numRef>
          </c:val>
          <c:smooth val="0"/>
          <c:extLst>
            <c:ext xmlns:c16="http://schemas.microsoft.com/office/drawing/2014/chart" uri="{C3380CC4-5D6E-409C-BE32-E72D297353CC}">
              <c16:uniqueId val="{00000005-D559-4659-AA82-1509D5F64E12}"/>
            </c:ext>
          </c:extLst>
        </c:ser>
        <c:dLbls>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26</xdr:col>
      <xdr:colOff>458773</xdr:colOff>
      <xdr:row>52</xdr:row>
      <xdr:rowOff>78356</xdr:rowOff>
    </xdr:from>
    <xdr:to>
      <xdr:col>41</xdr:col>
      <xdr:colOff>393752</xdr:colOff>
      <xdr:row>81</xdr:row>
      <xdr:rowOff>111696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492043</xdr:colOff>
      <xdr:row>45</xdr:row>
      <xdr:rowOff>119587</xdr:rowOff>
    </xdr:from>
    <xdr:to>
      <xdr:col>69</xdr:col>
      <xdr:colOff>401329</xdr:colOff>
      <xdr:row>77</xdr:row>
      <xdr:rowOff>66881</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431304</xdr:colOff>
      <xdr:row>53</xdr:row>
      <xdr:rowOff>4950</xdr:rowOff>
    </xdr:from>
    <xdr:to>
      <xdr:col>70</xdr:col>
      <xdr:colOff>241010</xdr:colOff>
      <xdr:row>81</xdr:row>
      <xdr:rowOff>145349</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415637</xdr:colOff>
      <xdr:row>97</xdr:row>
      <xdr:rowOff>92363</xdr:rowOff>
    </xdr:from>
    <xdr:to>
      <xdr:col>67</xdr:col>
      <xdr:colOff>287626</xdr:colOff>
      <xdr:row>123</xdr:row>
      <xdr:rowOff>14720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46</xdr:col>
      <xdr:colOff>700963</xdr:colOff>
      <xdr:row>229</xdr:row>
      <xdr:rowOff>28367</xdr:rowOff>
    </xdr:from>
    <xdr:to>
      <xdr:col>58</xdr:col>
      <xdr:colOff>93188</xdr:colOff>
      <xdr:row>268</xdr:row>
      <xdr:rowOff>21967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6046877" y="36952710"/>
          <a:ext cx="6609454" cy="7210828"/>
        </a:xfrm>
        <a:prstGeom prst="rect">
          <a:avLst/>
        </a:prstGeom>
      </xdr:spPr>
    </xdr:pic>
    <xdr:clientData/>
  </xdr:twoCellAnchor>
  <xdr:twoCellAnchor editAs="oneCell">
    <xdr:from>
      <xdr:col>61</xdr:col>
      <xdr:colOff>404503</xdr:colOff>
      <xdr:row>109</xdr:row>
      <xdr:rowOff>80747</xdr:rowOff>
    </xdr:from>
    <xdr:to>
      <xdr:col>73</xdr:col>
      <xdr:colOff>4980</xdr:colOff>
      <xdr:row>126</xdr:row>
      <xdr:rowOff>153512</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47966003" y="16599818"/>
          <a:ext cx="7547049" cy="31570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245221</xdr:colOff>
      <xdr:row>1</xdr:row>
      <xdr:rowOff>36017</xdr:rowOff>
    </xdr:from>
    <xdr:to>
      <xdr:col>29</xdr:col>
      <xdr:colOff>184727</xdr:colOff>
      <xdr:row>24</xdr:row>
      <xdr:rowOff>138545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346363</xdr:colOff>
      <xdr:row>27</xdr:row>
      <xdr:rowOff>103909</xdr:rowOff>
    </xdr:from>
    <xdr:to>
      <xdr:col>32</xdr:col>
      <xdr:colOff>526142</xdr:colOff>
      <xdr:row>52</xdr:row>
      <xdr:rowOff>119577</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38100</xdr:colOff>
      <xdr:row>0</xdr:row>
      <xdr:rowOff>172358</xdr:rowOff>
    </xdr:from>
    <xdr:to>
      <xdr:col>47</xdr:col>
      <xdr:colOff>253094</xdr:colOff>
      <xdr:row>21</xdr:row>
      <xdr:rowOff>120651</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239485</xdr:colOff>
      <xdr:row>0</xdr:row>
      <xdr:rowOff>141515</xdr:rowOff>
    </xdr:from>
    <xdr:to>
      <xdr:col>30</xdr:col>
      <xdr:colOff>435430</xdr:colOff>
      <xdr:row>29</xdr:row>
      <xdr:rowOff>21771</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72838</xdr:colOff>
      <xdr:row>32</xdr:row>
      <xdr:rowOff>170330</xdr:rowOff>
    </xdr:from>
    <xdr:to>
      <xdr:col>30</xdr:col>
      <xdr:colOff>268783</xdr:colOff>
      <xdr:row>52</xdr:row>
      <xdr:rowOff>61472</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224135</xdr:colOff>
      <xdr:row>31</xdr:row>
      <xdr:rowOff>81642</xdr:rowOff>
    </xdr:from>
    <xdr:to>
      <xdr:col>17</xdr:col>
      <xdr:colOff>312058</xdr:colOff>
      <xdr:row>54</xdr:row>
      <xdr:rowOff>56243</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49482</xdr:colOff>
      <xdr:row>26</xdr:row>
      <xdr:rowOff>62675</xdr:rowOff>
    </xdr:from>
    <xdr:to>
      <xdr:col>15</xdr:col>
      <xdr:colOff>86783</xdr:colOff>
      <xdr:row>44</xdr:row>
      <xdr:rowOff>180752</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6284027" y="4865584"/>
          <a:ext cx="6121756" cy="3443168"/>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15874</xdr:colOff>
      <xdr:row>0</xdr:row>
      <xdr:rowOff>85725</xdr:rowOff>
    </xdr:from>
    <xdr:to>
      <xdr:col>11</xdr:col>
      <xdr:colOff>457474</xdr:colOff>
      <xdr:row>12</xdr:row>
      <xdr:rowOff>94196</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18142</xdr:colOff>
      <xdr:row>13</xdr:row>
      <xdr:rowOff>117929</xdr:rowOff>
    </xdr:from>
    <xdr:to>
      <xdr:col>11</xdr:col>
      <xdr:colOff>459742</xdr:colOff>
      <xdr:row>25</xdr:row>
      <xdr:rowOff>126400</xdr:rowOff>
    </xdr:to>
    <xdr:graphicFrame macro="">
      <xdr:nvGraphicFramePr>
        <xdr:cNvPr id="7" name="Chart 6">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562428</xdr:colOff>
      <xdr:row>0</xdr:row>
      <xdr:rowOff>154214</xdr:rowOff>
    </xdr:from>
    <xdr:to>
      <xdr:col>16</xdr:col>
      <xdr:colOff>394428</xdr:colOff>
      <xdr:row>12</xdr:row>
      <xdr:rowOff>162685</xdr:rowOff>
    </xdr:to>
    <xdr:graphicFrame macro="">
      <xdr:nvGraphicFramePr>
        <xdr:cNvPr id="8" name="Chart 7">
          <a:extLst>
            <a:ext uri="{FF2B5EF4-FFF2-40B4-BE49-F238E27FC236}">
              <a16:creationId xmlns:a16="http://schemas.microsoft.com/office/drawing/2014/main" id="{00000000-0008-0000-0B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32123</xdr:colOff>
      <xdr:row>13</xdr:row>
      <xdr:rowOff>143862</xdr:rowOff>
    </xdr:from>
    <xdr:to>
      <xdr:col>16</xdr:col>
      <xdr:colOff>473723</xdr:colOff>
      <xdr:row>25</xdr:row>
      <xdr:rowOff>152333</xdr:rowOff>
    </xdr:to>
    <xdr:graphicFrame macro="">
      <xdr:nvGraphicFramePr>
        <xdr:cNvPr id="11" name="Chart 10">
          <a:extLst>
            <a:ext uri="{FF2B5EF4-FFF2-40B4-BE49-F238E27FC236}">
              <a16:creationId xmlns:a16="http://schemas.microsoft.com/office/drawing/2014/main" i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ow r="97">
          <cell r="BI97">
            <v>880</v>
          </cell>
        </row>
      </sheetData>
      <sheetData sheetId="1">
        <row r="97">
          <cell r="BI97">
            <v>880</v>
          </cell>
        </row>
      </sheetData>
      <sheetData sheetId="2">
        <row r="97">
          <cell r="BI97">
            <v>880</v>
          </cell>
        </row>
      </sheetData>
      <sheetData sheetId="3"/>
      <sheetData sheetId="4"/>
      <sheetData sheetId="5"/>
      <sheetData sheetId="6"/>
      <sheetData sheetId="7"/>
      <sheetData sheetId="8"/>
      <sheetData sheetId="9"/>
      <sheetData sheetId="10"/>
      <sheetData sheetId="11"/>
      <sheetData sheetId="12"/>
      <sheetData sheetId="13"/>
      <sheetData sheetId="14">
        <row r="97">
          <cell r="BI97">
            <v>880</v>
          </cell>
        </row>
      </sheetData>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zoomScale="85" zoomScaleNormal="85" workbookViewId="0">
      <selection activeCell="P27" sqref="P27"/>
    </sheetView>
  </sheetViews>
  <sheetFormatPr defaultColWidth="8.90625" defaultRowHeight="14"/>
  <cols>
    <col min="1" max="1" width="22.08984375" style="875" customWidth="1"/>
    <col min="2" max="2" width="8.453125" style="900" customWidth="1"/>
    <col min="3" max="14" width="9" style="875" customWidth="1"/>
    <col min="15" max="15" width="10" style="875" bestFit="1" customWidth="1"/>
    <col min="16" max="16384" width="8.90625" style="875"/>
  </cols>
  <sheetData>
    <row r="1" spans="1:15" s="871" customFormat="1" ht="20.5" thickBot="1">
      <c r="A1" s="871" t="s">
        <v>371</v>
      </c>
      <c r="C1" s="871" t="s">
        <v>372</v>
      </c>
      <c r="H1" s="871" t="s">
        <v>378</v>
      </c>
    </row>
    <row r="2" spans="1:15" ht="14.5" thickBot="1">
      <c r="A2" s="872" t="s">
        <v>132</v>
      </c>
      <c r="B2" s="873" t="s">
        <v>72</v>
      </c>
      <c r="C2" s="874">
        <v>44563</v>
      </c>
      <c r="D2" s="874">
        <v>44594</v>
      </c>
      <c r="E2" s="874">
        <v>44622</v>
      </c>
      <c r="F2" s="874">
        <v>44653</v>
      </c>
      <c r="G2" s="905">
        <v>44683</v>
      </c>
      <c r="H2" s="874">
        <v>44714</v>
      </c>
      <c r="I2" s="874">
        <v>44744</v>
      </c>
      <c r="J2" s="874">
        <v>44775</v>
      </c>
      <c r="K2" s="874">
        <v>44806</v>
      </c>
      <c r="L2" s="874">
        <v>44836</v>
      </c>
      <c r="M2" s="874">
        <v>44867</v>
      </c>
      <c r="N2" s="874">
        <v>44897</v>
      </c>
      <c r="O2" s="873" t="s">
        <v>193</v>
      </c>
    </row>
    <row r="3" spans="1:15">
      <c r="A3" s="876" t="s">
        <v>190</v>
      </c>
      <c r="B3" s="877" t="s">
        <v>44</v>
      </c>
      <c r="C3" s="878">
        <v>22.32</v>
      </c>
      <c r="D3" s="878">
        <v>20.16</v>
      </c>
      <c r="E3" s="878">
        <v>22.32</v>
      </c>
      <c r="F3" s="878">
        <v>21.6</v>
      </c>
      <c r="G3" s="878">
        <v>20.696458958306906</v>
      </c>
      <c r="H3" s="878">
        <v>21.495000612044336</v>
      </c>
      <c r="I3" s="878">
        <v>22.208400882482515</v>
      </c>
      <c r="J3" s="878">
        <v>22.208400882482515</v>
      </c>
      <c r="K3" s="878">
        <v>21.492000854015362</v>
      </c>
      <c r="L3" s="878">
        <v>22.208400882482515</v>
      </c>
      <c r="M3" s="878">
        <v>21.493800128102269</v>
      </c>
      <c r="N3" s="878">
        <v>22.208687557995255</v>
      </c>
      <c r="O3" s="879">
        <f>SUM(C3:N3)</f>
        <v>260.41115075791168</v>
      </c>
    </row>
    <row r="4" spans="1:15">
      <c r="A4" s="876" t="s">
        <v>206</v>
      </c>
      <c r="B4" s="877" t="s">
        <v>44</v>
      </c>
      <c r="C4" s="878">
        <v>27.094247936755426</v>
      </c>
      <c r="D4" s="878">
        <v>44.376204922087474</v>
      </c>
      <c r="E4" s="878">
        <v>35.459411974996357</v>
      </c>
      <c r="F4" s="878">
        <v>55.196231377422905</v>
      </c>
      <c r="G4" s="878">
        <v>48.944447559565369</v>
      </c>
      <c r="H4" s="878">
        <v>27.270534941852073</v>
      </c>
      <c r="I4" s="878">
        <v>27.296656416635514</v>
      </c>
      <c r="J4" s="878">
        <v>26.926453995704733</v>
      </c>
      <c r="K4" s="878">
        <v>22.77674442112442</v>
      </c>
      <c r="L4" s="878">
        <v>32.35370743215087</v>
      </c>
      <c r="M4" s="878">
        <v>31.163401179015615</v>
      </c>
      <c r="N4" s="878">
        <v>22.241831728518061</v>
      </c>
      <c r="O4" s="879">
        <f t="shared" ref="O4:O13" si="0">SUM(C4:N4)</f>
        <v>401.0998738858288</v>
      </c>
    </row>
    <row r="5" spans="1:15">
      <c r="A5" s="876" t="s">
        <v>191</v>
      </c>
      <c r="B5" s="877" t="s">
        <v>44</v>
      </c>
      <c r="C5" s="878">
        <v>8.4809999999999999</v>
      </c>
      <c r="D5" s="878"/>
      <c r="E5" s="878"/>
      <c r="F5" s="878"/>
      <c r="G5" s="878"/>
      <c r="H5" s="878"/>
      <c r="I5" s="878"/>
      <c r="J5" s="878">
        <v>10</v>
      </c>
      <c r="K5" s="878"/>
      <c r="L5" s="878"/>
      <c r="M5" s="878"/>
      <c r="N5" s="878"/>
      <c r="O5" s="879">
        <f t="shared" si="0"/>
        <v>18.481000000000002</v>
      </c>
    </row>
    <row r="6" spans="1:15">
      <c r="A6" s="876" t="s">
        <v>248</v>
      </c>
      <c r="B6" s="877" t="s">
        <v>44</v>
      </c>
      <c r="C6" s="878"/>
      <c r="D6" s="878"/>
      <c r="E6" s="878"/>
      <c r="F6" s="878"/>
      <c r="G6" s="878"/>
      <c r="H6" s="878"/>
      <c r="I6" s="878"/>
      <c r="J6" s="878"/>
      <c r="K6" s="878"/>
      <c r="L6" s="878"/>
      <c r="M6" s="878"/>
      <c r="N6" s="878"/>
      <c r="O6" s="879">
        <f t="shared" si="0"/>
        <v>0</v>
      </c>
    </row>
    <row r="7" spans="1:15">
      <c r="A7" s="876" t="s">
        <v>192</v>
      </c>
      <c r="B7" s="877" t="s">
        <v>44</v>
      </c>
      <c r="C7" s="878">
        <v>26</v>
      </c>
      <c r="D7" s="878">
        <v>10</v>
      </c>
      <c r="E7" s="878">
        <v>18</v>
      </c>
      <c r="F7" s="878"/>
      <c r="G7" s="878">
        <v>5</v>
      </c>
      <c r="H7" s="878">
        <v>26</v>
      </c>
      <c r="I7" s="878">
        <v>26</v>
      </c>
      <c r="J7" s="878">
        <v>27</v>
      </c>
      <c r="K7" s="878">
        <v>29</v>
      </c>
      <c r="L7" s="878">
        <v>22</v>
      </c>
      <c r="M7" s="878">
        <v>22</v>
      </c>
      <c r="N7" s="878">
        <v>29</v>
      </c>
      <c r="O7" s="879">
        <f t="shared" si="0"/>
        <v>240</v>
      </c>
    </row>
    <row r="8" spans="1:15">
      <c r="A8" s="876" t="s">
        <v>13</v>
      </c>
      <c r="B8" s="877" t="s">
        <v>44</v>
      </c>
      <c r="C8" s="878">
        <v>32.549999999999997</v>
      </c>
      <c r="D8" s="878">
        <v>29.4</v>
      </c>
      <c r="E8" s="878">
        <v>32.549999999999997</v>
      </c>
      <c r="F8" s="878">
        <v>31.5</v>
      </c>
      <c r="G8" s="878">
        <v>30.33400575990245</v>
      </c>
      <c r="H8" s="878">
        <v>31.5</v>
      </c>
      <c r="I8" s="878">
        <v>32.549999999999997</v>
      </c>
      <c r="J8" s="878">
        <v>13.65</v>
      </c>
      <c r="K8" s="878">
        <v>31.5</v>
      </c>
      <c r="L8" s="878">
        <v>32.549999999999997</v>
      </c>
      <c r="M8" s="878">
        <v>31.5</v>
      </c>
      <c r="N8" s="878">
        <v>32.549999999999997</v>
      </c>
      <c r="O8" s="879">
        <f t="shared" si="0"/>
        <v>362.13400575990249</v>
      </c>
    </row>
    <row r="9" spans="1:15">
      <c r="A9" s="880" t="s">
        <v>14</v>
      </c>
      <c r="B9" s="881" t="s">
        <v>44</v>
      </c>
      <c r="C9" s="882">
        <v>18.684931506849313</v>
      </c>
      <c r="D9" s="882">
        <v>16.876712328767123</v>
      </c>
      <c r="E9" s="882">
        <v>18.684931506849313</v>
      </c>
      <c r="F9" s="882">
        <v>18.082191780821915</v>
      </c>
      <c r="G9" s="882">
        <v>17.452999999999999</v>
      </c>
      <c r="H9" s="882">
        <v>18.082191780821915</v>
      </c>
      <c r="I9" s="882">
        <v>18.684931506849313</v>
      </c>
      <c r="J9" s="882">
        <v>18.684931506849313</v>
      </c>
      <c r="K9" s="882">
        <v>18.082191780821915</v>
      </c>
      <c r="L9" s="882">
        <v>18.684931506849313</v>
      </c>
      <c r="M9" s="882">
        <v>18.684931506849313</v>
      </c>
      <c r="N9" s="882">
        <v>18.684931506849313</v>
      </c>
      <c r="O9" s="883">
        <f t="shared" si="0"/>
        <v>219.37080821917809</v>
      </c>
    </row>
    <row r="10" spans="1:15" ht="14.5" thickBot="1">
      <c r="A10" s="884" t="s">
        <v>251</v>
      </c>
      <c r="B10" s="885" t="s">
        <v>44</v>
      </c>
      <c r="C10" s="886">
        <v>4</v>
      </c>
      <c r="D10" s="886">
        <v>4</v>
      </c>
      <c r="E10" s="886">
        <v>6</v>
      </c>
      <c r="F10" s="886">
        <v>6</v>
      </c>
      <c r="G10" s="886"/>
      <c r="H10" s="886">
        <v>2.5</v>
      </c>
      <c r="I10" s="886">
        <v>2.5</v>
      </c>
      <c r="J10" s="886">
        <v>7.0390684931506868</v>
      </c>
      <c r="K10" s="886">
        <v>6</v>
      </c>
      <c r="L10" s="886">
        <v>6</v>
      </c>
      <c r="M10" s="886">
        <v>5.5</v>
      </c>
      <c r="N10" s="886">
        <v>6</v>
      </c>
      <c r="O10" s="887">
        <f t="shared" si="0"/>
        <v>55.539068493150687</v>
      </c>
    </row>
    <row r="11" spans="1:15">
      <c r="A11" s="876" t="s">
        <v>373</v>
      </c>
      <c r="B11" s="877" t="s">
        <v>44</v>
      </c>
      <c r="C11" s="878">
        <v>5</v>
      </c>
      <c r="D11" s="878">
        <v>12.177</v>
      </c>
      <c r="E11" s="878">
        <v>13.481</v>
      </c>
      <c r="F11" s="878">
        <v>13.045999999999999</v>
      </c>
      <c r="G11" s="878"/>
      <c r="H11" s="878"/>
      <c r="I11" s="878"/>
      <c r="J11" s="878"/>
      <c r="K11" s="878"/>
      <c r="L11" s="878"/>
      <c r="M11" s="878"/>
      <c r="N11" s="878"/>
      <c r="O11" s="879">
        <f t="shared" si="0"/>
        <v>43.704000000000001</v>
      </c>
    </row>
    <row r="12" spans="1:15">
      <c r="A12" s="876" t="s">
        <v>374</v>
      </c>
      <c r="B12" s="877" t="s">
        <v>44</v>
      </c>
      <c r="C12" s="878"/>
      <c r="D12" s="878"/>
      <c r="E12" s="878"/>
      <c r="F12" s="878"/>
      <c r="G12" s="878">
        <v>13.481</v>
      </c>
      <c r="H12" s="878">
        <v>13.045999999999999</v>
      </c>
      <c r="I12" s="878">
        <v>13.481</v>
      </c>
      <c r="J12" s="878">
        <v>3.4809999999999999</v>
      </c>
      <c r="K12" s="878">
        <v>13.045999999999999</v>
      </c>
      <c r="L12" s="878">
        <v>10.8</v>
      </c>
      <c r="M12" s="878">
        <v>10.8</v>
      </c>
      <c r="N12" s="878">
        <v>10.8</v>
      </c>
      <c r="O12" s="879">
        <f t="shared" si="0"/>
        <v>88.935000000000002</v>
      </c>
    </row>
    <row r="13" spans="1:15" ht="14.5" thickBot="1">
      <c r="A13" s="888" t="s">
        <v>375</v>
      </c>
      <c r="B13" s="889" t="s">
        <v>44</v>
      </c>
      <c r="C13" s="890"/>
      <c r="D13" s="890"/>
      <c r="E13" s="890"/>
      <c r="F13" s="890"/>
      <c r="G13" s="890">
        <v>0</v>
      </c>
      <c r="H13" s="890">
        <v>34.861799729561781</v>
      </c>
      <c r="I13" s="890">
        <v>47.748060573613706</v>
      </c>
      <c r="J13" s="890">
        <v>47.748059323430049</v>
      </c>
      <c r="K13" s="890">
        <v>19.89204045832156</v>
      </c>
      <c r="L13" s="890">
        <v>43.545179998576657</v>
      </c>
      <c r="M13" s="890">
        <v>42.982199800729759</v>
      </c>
      <c r="N13" s="890">
        <v>17.454420186460034</v>
      </c>
      <c r="O13" s="891">
        <f t="shared" si="0"/>
        <v>254.23176007069355</v>
      </c>
    </row>
    <row r="15" spans="1:15" s="871" customFormat="1" ht="20.5" thickBot="1">
      <c r="A15" s="871" t="s">
        <v>376</v>
      </c>
      <c r="C15" s="871" t="s">
        <v>380</v>
      </c>
      <c r="H15" s="871" t="s">
        <v>379</v>
      </c>
    </row>
    <row r="16" spans="1:15" ht="14.5" thickBot="1">
      <c r="A16" s="872" t="s">
        <v>132</v>
      </c>
      <c r="B16" s="873" t="s">
        <v>72</v>
      </c>
      <c r="C16" s="874">
        <v>44563</v>
      </c>
      <c r="D16" s="874">
        <v>44594</v>
      </c>
      <c r="E16" s="874">
        <v>44622</v>
      </c>
      <c r="F16" s="874">
        <v>44653</v>
      </c>
      <c r="G16" s="905">
        <v>44683</v>
      </c>
      <c r="H16" s="874">
        <v>44714</v>
      </c>
      <c r="I16" s="874">
        <v>44744</v>
      </c>
      <c r="J16" s="874">
        <v>44775</v>
      </c>
      <c r="K16" s="874">
        <v>44806</v>
      </c>
      <c r="L16" s="874">
        <v>44836</v>
      </c>
      <c r="M16" s="874">
        <v>44867</v>
      </c>
      <c r="N16" s="874">
        <v>44897</v>
      </c>
      <c r="O16" s="873" t="s">
        <v>193</v>
      </c>
    </row>
    <row r="17" spans="1:23">
      <c r="A17" s="876" t="s">
        <v>190</v>
      </c>
      <c r="B17" s="877" t="s">
        <v>44</v>
      </c>
      <c r="C17" s="878">
        <v>21.547722772277229</v>
      </c>
      <c r="D17" s="878">
        <v>19.259009900990097</v>
      </c>
      <c r="E17" s="878">
        <v>21.805148514851485</v>
      </c>
      <c r="F17" s="878">
        <v>21.213861386138614</v>
      </c>
      <c r="G17" s="878">
        <v>18.733152659023851</v>
      </c>
      <c r="H17" s="878">
        <v>20.20787189917305</v>
      </c>
      <c r="I17" s="878">
        <v>20.663846427036969</v>
      </c>
      <c r="J17" s="892">
        <v>31.950975139908259</v>
      </c>
      <c r="K17" s="878">
        <v>21.234575111441107</v>
      </c>
      <c r="L17" s="878">
        <v>21.950975139908259</v>
      </c>
      <c r="M17" s="878">
        <v>20.721522900379497</v>
      </c>
      <c r="N17" s="878">
        <v>21.693836072846739</v>
      </c>
      <c r="O17" s="893">
        <f>SUM(C17:N17)</f>
        <v>260.98249792397513</v>
      </c>
      <c r="Q17" s="875">
        <v>260</v>
      </c>
      <c r="R17" s="903">
        <v>0.26</v>
      </c>
      <c r="S17" s="904">
        <f>G3*R17</f>
        <v>5.381079329159796</v>
      </c>
      <c r="T17" s="904">
        <f>G3-S17</f>
        <v>15.31537962914711</v>
      </c>
      <c r="V17" s="875">
        <f>Q17*R17</f>
        <v>67.600000000000009</v>
      </c>
      <c r="W17" s="875">
        <f>Q17-V17</f>
        <v>192.39999999999998</v>
      </c>
    </row>
    <row r="18" spans="1:23">
      <c r="A18" s="876" t="s">
        <v>206</v>
      </c>
      <c r="B18" s="877" t="s">
        <v>44</v>
      </c>
      <c r="C18" s="878">
        <v>27.094247936755426</v>
      </c>
      <c r="D18" s="878">
        <v>44.376204922087474</v>
      </c>
      <c r="E18" s="878">
        <v>35.459411974996357</v>
      </c>
      <c r="F18" s="878">
        <v>55.196231377422905</v>
      </c>
      <c r="G18" s="878">
        <v>48.944447559565369</v>
      </c>
      <c r="H18" s="878">
        <v>27.270534941852073</v>
      </c>
      <c r="I18" s="878">
        <v>27.296656416635514</v>
      </c>
      <c r="J18" s="878">
        <v>26.926453995704733</v>
      </c>
      <c r="K18" s="878">
        <v>22.77674442112442</v>
      </c>
      <c r="L18" s="878">
        <v>32.35370743215087</v>
      </c>
      <c r="M18" s="878">
        <v>31.163401179015615</v>
      </c>
      <c r="N18" s="878">
        <v>22.241831728518061</v>
      </c>
      <c r="O18" s="894">
        <f t="shared" ref="O18:O27" si="1">SUM(C18:N18)</f>
        <v>401.0998738858288</v>
      </c>
    </row>
    <row r="19" spans="1:23">
      <c r="A19" s="876" t="s">
        <v>191</v>
      </c>
      <c r="B19" s="877" t="s">
        <v>44</v>
      </c>
      <c r="C19" s="878"/>
      <c r="D19" s="878"/>
      <c r="E19" s="878"/>
      <c r="F19" s="878"/>
      <c r="G19" s="878"/>
      <c r="H19" s="878"/>
      <c r="I19" s="878"/>
      <c r="J19" s="878"/>
      <c r="K19" s="878"/>
      <c r="L19" s="878"/>
      <c r="M19" s="878"/>
      <c r="N19" s="878"/>
      <c r="O19" s="894">
        <f t="shared" si="1"/>
        <v>0</v>
      </c>
    </row>
    <row r="20" spans="1:23">
      <c r="A20" s="876" t="s">
        <v>248</v>
      </c>
      <c r="B20" s="877" t="s">
        <v>44</v>
      </c>
      <c r="C20" s="878"/>
      <c r="D20" s="878"/>
      <c r="E20" s="878"/>
      <c r="F20" s="878"/>
      <c r="G20" s="878"/>
      <c r="H20" s="878"/>
      <c r="I20" s="878"/>
      <c r="J20" s="878"/>
      <c r="K20" s="878"/>
      <c r="L20" s="878"/>
      <c r="M20" s="878"/>
      <c r="N20" s="878"/>
      <c r="O20" s="894">
        <f t="shared" si="1"/>
        <v>0</v>
      </c>
    </row>
    <row r="21" spans="1:23">
      <c r="A21" s="876" t="s">
        <v>192</v>
      </c>
      <c r="B21" s="877" t="s">
        <v>44</v>
      </c>
      <c r="C21" s="878">
        <v>26</v>
      </c>
      <c r="D21" s="878">
        <v>10</v>
      </c>
      <c r="E21" s="878">
        <v>18</v>
      </c>
      <c r="F21" s="878"/>
      <c r="G21" s="878">
        <v>5</v>
      </c>
      <c r="H21" s="878">
        <v>26</v>
      </c>
      <c r="I21" s="878">
        <v>26</v>
      </c>
      <c r="J21" s="878">
        <v>27</v>
      </c>
      <c r="K21" s="878">
        <v>29</v>
      </c>
      <c r="L21" s="878">
        <v>22</v>
      </c>
      <c r="M21" s="878">
        <v>22</v>
      </c>
      <c r="N21" s="878">
        <v>29</v>
      </c>
      <c r="O21" s="894">
        <f t="shared" si="1"/>
        <v>240</v>
      </c>
    </row>
    <row r="22" spans="1:23">
      <c r="A22" s="876" t="s">
        <v>13</v>
      </c>
      <c r="B22" s="877" t="s">
        <v>44</v>
      </c>
      <c r="C22" s="892">
        <v>35.602381188118805</v>
      </c>
      <c r="D22" s="878">
        <v>28.013861386138611</v>
      </c>
      <c r="E22" s="878">
        <v>31.757920792079204</v>
      </c>
      <c r="F22" s="878">
        <v>30.905940594059405</v>
      </c>
      <c r="G22" s="878">
        <v>27.203465346534649</v>
      </c>
      <c r="H22" s="878">
        <v>29.519801980198018</v>
      </c>
      <c r="I22" s="878">
        <v>30.173762376237619</v>
      </c>
      <c r="J22" s="878">
        <v>13.253960396039604</v>
      </c>
      <c r="K22" s="878">
        <v>31.103960396039604</v>
      </c>
      <c r="L22" s="878">
        <v>32.153960396039601</v>
      </c>
      <c r="M22" s="878">
        <v>30.311881188118811</v>
      </c>
      <c r="N22" s="878">
        <v>31.757920792079204</v>
      </c>
      <c r="O22" s="893">
        <f t="shared" si="1"/>
        <v>351.75881683168313</v>
      </c>
      <c r="Q22" s="875">
        <v>400</v>
      </c>
      <c r="R22" s="903">
        <v>0.4</v>
      </c>
      <c r="S22" s="904">
        <f>G8*R22</f>
        <v>12.133602303960981</v>
      </c>
      <c r="T22" s="904">
        <f>G8-S22</f>
        <v>18.200403455941469</v>
      </c>
      <c r="V22" s="875">
        <f t="shared" ref="V22:V23" si="2">Q22*R22</f>
        <v>160</v>
      </c>
      <c r="W22" s="875">
        <f t="shared" ref="W22:W23" si="3">Q22-V22</f>
        <v>240</v>
      </c>
    </row>
    <row r="23" spans="1:23">
      <c r="A23" s="880" t="s">
        <v>14</v>
      </c>
      <c r="B23" s="881" t="s">
        <v>44</v>
      </c>
      <c r="C23" s="892">
        <v>29.755859409567336</v>
      </c>
      <c r="D23" s="882">
        <v>22.772256917999496</v>
      </c>
      <c r="E23" s="882">
        <v>25.861894063032683</v>
      </c>
      <c r="F23" s="882">
        <v>25.178549668153629</v>
      </c>
      <c r="G23" s="882">
        <v>21.876745548181198</v>
      </c>
      <c r="H23" s="882">
        <v>23.965678381024919</v>
      </c>
      <c r="I23" s="882">
        <v>25.724</v>
      </c>
      <c r="J23" s="882">
        <v>25.724</v>
      </c>
      <c r="K23" s="882">
        <v>24.696999999999999</v>
      </c>
      <c r="L23" s="882">
        <v>26.208428716498027</v>
      </c>
      <c r="M23" s="882">
        <v>25.515359409567335</v>
      </c>
      <c r="N23" s="882">
        <v>25.861894063032683</v>
      </c>
      <c r="O23" s="895">
        <f t="shared" si="1"/>
        <v>303.14166617705729</v>
      </c>
      <c r="Q23" s="875">
        <v>350</v>
      </c>
      <c r="R23" s="903">
        <v>0.35</v>
      </c>
      <c r="S23" s="904">
        <f>G9*R23</f>
        <v>6.1085499999999993</v>
      </c>
      <c r="T23" s="904">
        <f>G9-S23</f>
        <v>11.34445</v>
      </c>
      <c r="V23" s="875">
        <f t="shared" si="2"/>
        <v>122.49999999999999</v>
      </c>
      <c r="W23" s="875">
        <f t="shared" si="3"/>
        <v>227.5</v>
      </c>
    </row>
    <row r="24" spans="1:23" ht="14.5" thickBot="1">
      <c r="A24" s="884" t="s">
        <v>251</v>
      </c>
      <c r="B24" s="885" t="s">
        <v>44</v>
      </c>
      <c r="C24" s="886"/>
      <c r="D24" s="886"/>
      <c r="E24" s="886"/>
      <c r="F24" s="886"/>
      <c r="G24" s="886"/>
      <c r="H24" s="886"/>
      <c r="I24" s="886"/>
      <c r="J24" s="886"/>
      <c r="K24" s="886"/>
      <c r="L24" s="886"/>
      <c r="M24" s="886"/>
      <c r="N24" s="886"/>
      <c r="O24" s="896">
        <f t="shared" si="1"/>
        <v>0</v>
      </c>
    </row>
    <row r="25" spans="1:23">
      <c r="A25" s="876" t="s">
        <v>373</v>
      </c>
      <c r="B25" s="877" t="s">
        <v>44</v>
      </c>
      <c r="C25" s="897">
        <v>13.481</v>
      </c>
      <c r="D25" s="878">
        <v>12.177</v>
      </c>
      <c r="E25" s="878">
        <v>13.481</v>
      </c>
      <c r="F25" s="878">
        <v>13.045999999999999</v>
      </c>
      <c r="G25" s="878"/>
      <c r="H25" s="878"/>
      <c r="I25" s="878"/>
      <c r="J25" s="878"/>
      <c r="K25" s="878"/>
      <c r="L25" s="878"/>
      <c r="M25" s="878"/>
      <c r="N25" s="878"/>
      <c r="O25" s="898">
        <f t="shared" si="1"/>
        <v>52.185000000000002</v>
      </c>
    </row>
    <row r="26" spans="1:23">
      <c r="A26" s="876" t="s">
        <v>374</v>
      </c>
      <c r="B26" s="877" t="s">
        <v>44</v>
      </c>
      <c r="C26" s="878"/>
      <c r="D26" s="878"/>
      <c r="E26" s="878"/>
      <c r="F26" s="878"/>
      <c r="G26" s="878">
        <v>13.481</v>
      </c>
      <c r="H26" s="878">
        <v>13.045999999999999</v>
      </c>
      <c r="I26" s="878">
        <v>13.481</v>
      </c>
      <c r="J26" s="897">
        <v>13.481</v>
      </c>
      <c r="K26" s="878">
        <v>13.045999999999999</v>
      </c>
      <c r="L26" s="878">
        <v>10.8</v>
      </c>
      <c r="M26" s="878">
        <v>10.8</v>
      </c>
      <c r="N26" s="878">
        <v>10.8</v>
      </c>
      <c r="O26" s="898">
        <f t="shared" si="1"/>
        <v>98.934999999999988</v>
      </c>
    </row>
    <row r="27" spans="1:23" ht="14.5" thickBot="1">
      <c r="A27" s="888" t="s">
        <v>375</v>
      </c>
      <c r="B27" s="889" t="s">
        <v>44</v>
      </c>
      <c r="C27" s="890"/>
      <c r="D27" s="890"/>
      <c r="E27" s="890"/>
      <c r="F27" s="890"/>
      <c r="G27" s="890">
        <v>0</v>
      </c>
      <c r="H27" s="890">
        <v>34.861799729561781</v>
      </c>
      <c r="I27" s="890">
        <v>47.748060573613706</v>
      </c>
      <c r="J27" s="890">
        <v>47.748059323430049</v>
      </c>
      <c r="K27" s="890">
        <v>19.89204045832156</v>
      </c>
      <c r="L27" s="890">
        <v>43.545179998576657</v>
      </c>
      <c r="M27" s="890">
        <v>42.982199800729759</v>
      </c>
      <c r="N27" s="890">
        <v>17.454420186460034</v>
      </c>
      <c r="O27" s="899">
        <f t="shared" si="1"/>
        <v>254.23176007069355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46"/>
  <sheetViews>
    <sheetView topLeftCell="A28" zoomScale="115" zoomScaleNormal="115" workbookViewId="0">
      <selection activeCell="F40" sqref="F40"/>
    </sheetView>
  </sheetViews>
  <sheetFormatPr defaultRowHeight="14.5"/>
  <cols>
    <col min="1" max="1" width="15.08984375" customWidth="1"/>
    <col min="2" max="2" width="17.08984375" bestFit="1" customWidth="1"/>
    <col min="3" max="5" width="15.08984375" customWidth="1"/>
    <col min="6" max="6" width="11.08984375" bestFit="1" customWidth="1"/>
    <col min="8" max="8" width="13" bestFit="1" customWidth="1"/>
    <col min="9" max="9" width="11.08984375" bestFit="1" customWidth="1"/>
    <col min="10" max="10" width="10.08984375" bestFit="1" customWidth="1"/>
  </cols>
  <sheetData>
    <row r="1" spans="1:9">
      <c r="A1" s="147"/>
      <c r="B1" s="147"/>
      <c r="C1" s="147" t="s">
        <v>75</v>
      </c>
      <c r="D1" s="147" t="s">
        <v>76</v>
      </c>
      <c r="E1" s="214" t="s">
        <v>77</v>
      </c>
    </row>
    <row r="2" spans="1:9">
      <c r="A2" s="126" t="s">
        <v>78</v>
      </c>
      <c r="B2" s="215" t="s">
        <v>79</v>
      </c>
      <c r="C2" s="216">
        <v>454000</v>
      </c>
      <c r="D2" s="216">
        <v>605000</v>
      </c>
      <c r="E2" s="217" t="s">
        <v>80</v>
      </c>
      <c r="F2">
        <f>70*24*365</f>
        <v>613200</v>
      </c>
      <c r="G2" s="209">
        <f t="shared" ref="G2:H4" si="0">C2/365/24</f>
        <v>51.826484018264836</v>
      </c>
      <c r="H2" s="209">
        <f t="shared" si="0"/>
        <v>69.063926940639263</v>
      </c>
    </row>
    <row r="3" spans="1:9">
      <c r="A3" s="126" t="s">
        <v>81</v>
      </c>
      <c r="B3" s="215" t="s">
        <v>82</v>
      </c>
      <c r="C3" s="216">
        <v>370000</v>
      </c>
      <c r="D3" s="216">
        <v>500000</v>
      </c>
      <c r="E3" s="217" t="s">
        <v>80</v>
      </c>
      <c r="G3" s="209">
        <f t="shared" si="0"/>
        <v>42.237442922374427</v>
      </c>
      <c r="H3" s="209">
        <f t="shared" si="0"/>
        <v>57.077625570776256</v>
      </c>
    </row>
    <row r="4" spans="1:9">
      <c r="A4" s="126"/>
      <c r="B4" s="215" t="s">
        <v>83</v>
      </c>
      <c r="C4" s="216">
        <v>1300000</v>
      </c>
      <c r="D4" s="216">
        <v>1350000</v>
      </c>
      <c r="E4" s="217" t="s">
        <v>84</v>
      </c>
      <c r="G4" s="209">
        <f t="shared" si="0"/>
        <v>148.40182648401827</v>
      </c>
      <c r="H4" s="209">
        <f t="shared" si="0"/>
        <v>154.10958904109589</v>
      </c>
    </row>
    <row r="5" spans="1:9">
      <c r="A5" s="126"/>
      <c r="B5" s="218" t="s">
        <v>85</v>
      </c>
      <c r="C5" s="219">
        <v>2124000</v>
      </c>
      <c r="D5" s="219">
        <v>2455000</v>
      </c>
      <c r="G5" s="256">
        <f>SUM(G2:G4)</f>
        <v>242.46575342465752</v>
      </c>
      <c r="H5" s="256">
        <f>SUM(H2:H4)</f>
        <v>280.2511415525114</v>
      </c>
    </row>
    <row r="6" spans="1:9">
      <c r="G6" t="s">
        <v>86</v>
      </c>
    </row>
    <row r="7" spans="1:9">
      <c r="E7" s="217"/>
    </row>
    <row r="8" spans="1:9">
      <c r="C8" s="147" t="s">
        <v>75</v>
      </c>
      <c r="D8" s="147" t="s">
        <v>76</v>
      </c>
    </row>
    <row r="9" spans="1:9">
      <c r="A9" s="2" t="s">
        <v>87</v>
      </c>
      <c r="B9" s="126" t="s">
        <v>88</v>
      </c>
      <c r="C9" s="220">
        <v>126000</v>
      </c>
      <c r="D9" s="220">
        <v>168000</v>
      </c>
      <c r="E9" s="217" t="s">
        <v>80</v>
      </c>
    </row>
    <row r="10" spans="1:9">
      <c r="A10" s="2" t="s">
        <v>89</v>
      </c>
      <c r="B10" s="126" t="s">
        <v>90</v>
      </c>
      <c r="C10" s="220">
        <v>100000</v>
      </c>
      <c r="D10" s="220">
        <v>160000</v>
      </c>
      <c r="E10" s="217" t="s">
        <v>80</v>
      </c>
      <c r="F10" s="266"/>
      <c r="H10" s="221" t="s">
        <v>31</v>
      </c>
      <c r="I10" s="221" t="s">
        <v>77</v>
      </c>
    </row>
    <row r="11" spans="1:9">
      <c r="A11" s="126" t="s">
        <v>81</v>
      </c>
      <c r="B11" s="126" t="s">
        <v>91</v>
      </c>
      <c r="C11" s="220">
        <v>240000</v>
      </c>
      <c r="D11" s="220">
        <v>240000</v>
      </c>
      <c r="E11" s="222" t="s">
        <v>92</v>
      </c>
      <c r="F11" s="266"/>
      <c r="H11" s="223" t="s">
        <v>93</v>
      </c>
      <c r="I11" s="223" t="s">
        <v>92</v>
      </c>
    </row>
    <row r="12" spans="1:9">
      <c r="A12" s="2"/>
      <c r="B12" t="s">
        <v>94</v>
      </c>
      <c r="C12" s="220">
        <v>156000</v>
      </c>
      <c r="D12" s="220">
        <v>156000</v>
      </c>
      <c r="E12" s="222" t="s">
        <v>80</v>
      </c>
      <c r="F12" s="266"/>
      <c r="H12" s="223" t="s">
        <v>95</v>
      </c>
      <c r="I12" s="223" t="s">
        <v>80</v>
      </c>
    </row>
    <row r="13" spans="1:9">
      <c r="A13" s="2"/>
      <c r="B13" t="s">
        <v>96</v>
      </c>
      <c r="C13" s="220">
        <v>336000</v>
      </c>
      <c r="D13" s="220">
        <v>336000</v>
      </c>
      <c r="E13" s="217" t="s">
        <v>80</v>
      </c>
      <c r="F13" s="266"/>
      <c r="H13" s="223" t="s">
        <v>97</v>
      </c>
      <c r="I13" s="223" t="s">
        <v>98</v>
      </c>
    </row>
    <row r="14" spans="1:9">
      <c r="A14" s="2"/>
      <c r="B14" s="215" t="s">
        <v>99</v>
      </c>
      <c r="C14" s="224">
        <v>958000</v>
      </c>
      <c r="D14" s="224">
        <v>1060000</v>
      </c>
      <c r="H14" s="223" t="s">
        <v>100</v>
      </c>
      <c r="I14" s="223" t="s">
        <v>101</v>
      </c>
    </row>
    <row r="15" spans="1:9">
      <c r="A15" s="2"/>
      <c r="B15" s="215" t="s">
        <v>102</v>
      </c>
      <c r="C15" s="224">
        <v>350000</v>
      </c>
      <c r="D15" s="224">
        <v>410000</v>
      </c>
      <c r="E15" s="217" t="s">
        <v>98</v>
      </c>
      <c r="H15" s="223" t="s">
        <v>103</v>
      </c>
      <c r="I15" s="223" t="s">
        <v>104</v>
      </c>
    </row>
    <row r="16" spans="1:9">
      <c r="A16" s="2"/>
      <c r="B16" s="215" t="s">
        <v>105</v>
      </c>
      <c r="C16" s="224">
        <v>330000</v>
      </c>
      <c r="D16" s="224">
        <v>330000</v>
      </c>
      <c r="E16" s="217" t="s">
        <v>101</v>
      </c>
    </row>
    <row r="17" spans="1:11">
      <c r="B17" s="215" t="s">
        <v>68</v>
      </c>
      <c r="C17" s="224">
        <v>48000</v>
      </c>
      <c r="D17" s="224">
        <v>240000</v>
      </c>
      <c r="E17" s="217" t="s">
        <v>104</v>
      </c>
    </row>
    <row r="18" spans="1:11">
      <c r="B18" s="218" t="s">
        <v>106</v>
      </c>
      <c r="C18" s="225">
        <f>SUM(C14:C17)</f>
        <v>1686000</v>
      </c>
      <c r="D18" s="225">
        <f>SUM(D14:D17)</f>
        <v>2040000</v>
      </c>
    </row>
    <row r="20" spans="1:11">
      <c r="B20" s="215" t="s">
        <v>107</v>
      </c>
      <c r="C20" s="226">
        <v>200000</v>
      </c>
      <c r="D20" s="226">
        <v>400000</v>
      </c>
      <c r="E20" s="217" t="s">
        <v>368</v>
      </c>
    </row>
    <row r="21" spans="1:11">
      <c r="C21" s="147" t="s">
        <v>75</v>
      </c>
      <c r="D21" s="147" t="s">
        <v>76</v>
      </c>
    </row>
    <row r="22" spans="1:11">
      <c r="A22" s="2" t="s">
        <v>73</v>
      </c>
      <c r="B22" t="s">
        <v>82</v>
      </c>
      <c r="C22" s="220"/>
      <c r="D22" s="220"/>
      <c r="E22" s="217"/>
      <c r="F22" s="211"/>
    </row>
    <row r="23" spans="1:11">
      <c r="A23" s="126" t="s">
        <v>108</v>
      </c>
      <c r="B23" t="s">
        <v>68</v>
      </c>
      <c r="C23" s="220">
        <v>380000</v>
      </c>
      <c r="D23" s="220">
        <v>600000</v>
      </c>
      <c r="E23" s="217" t="s">
        <v>104</v>
      </c>
      <c r="F23" s="211"/>
      <c r="G23" t="s">
        <v>76</v>
      </c>
      <c r="H23">
        <v>100</v>
      </c>
      <c r="I23" t="s">
        <v>109</v>
      </c>
      <c r="J23" s="226">
        <f>H23*24*30</f>
        <v>72000</v>
      </c>
      <c r="K23" t="s">
        <v>110</v>
      </c>
    </row>
    <row r="24" spans="1:11">
      <c r="B24" t="s">
        <v>59</v>
      </c>
      <c r="D24" s="220">
        <v>50000</v>
      </c>
      <c r="E24" s="217" t="s">
        <v>111</v>
      </c>
      <c r="F24" s="211"/>
      <c r="G24" t="s">
        <v>112</v>
      </c>
    </row>
    <row r="25" spans="1:11">
      <c r="B25" t="s">
        <v>113</v>
      </c>
      <c r="C25" s="220">
        <v>1800</v>
      </c>
      <c r="D25" s="220">
        <v>103200</v>
      </c>
      <c r="E25" s="217" t="s">
        <v>114</v>
      </c>
      <c r="F25" s="211"/>
    </row>
    <row r="26" spans="1:11">
      <c r="B26" t="s">
        <v>115</v>
      </c>
      <c r="F26" s="211"/>
    </row>
    <row r="27" spans="1:11">
      <c r="C27">
        <f>C23*0.648</f>
        <v>246240</v>
      </c>
      <c r="D27">
        <f>D23*0.648</f>
        <v>388800</v>
      </c>
    </row>
    <row r="28" spans="1:11">
      <c r="E28" s="217"/>
    </row>
    <row r="29" spans="1:11">
      <c r="C29" s="147" t="s">
        <v>75</v>
      </c>
      <c r="D29" s="147" t="s">
        <v>76</v>
      </c>
      <c r="E29" s="217"/>
    </row>
    <row r="30" spans="1:11">
      <c r="A30" s="2" t="s">
        <v>116</v>
      </c>
      <c r="B30" t="s">
        <v>68</v>
      </c>
      <c r="C30" s="224">
        <v>26000</v>
      </c>
      <c r="D30" s="224">
        <v>87000</v>
      </c>
      <c r="E30" s="217" t="s">
        <v>117</v>
      </c>
    </row>
    <row r="31" spans="1:11">
      <c r="A31" s="126" t="s">
        <v>81</v>
      </c>
      <c r="E31" s="217"/>
    </row>
    <row r="32" spans="1:11">
      <c r="E32" s="217"/>
    </row>
    <row r="33" spans="1:5">
      <c r="E33" s="217"/>
    </row>
    <row r="34" spans="1:5">
      <c r="C34" s="147" t="s">
        <v>75</v>
      </c>
      <c r="D34" s="126"/>
    </row>
    <row r="35" spans="1:5">
      <c r="A35" s="2" t="s">
        <v>118</v>
      </c>
      <c r="B35" t="s">
        <v>119</v>
      </c>
      <c r="C35" s="224">
        <v>120000</v>
      </c>
      <c r="E35" s="217" t="s">
        <v>120</v>
      </c>
    </row>
    <row r="36" spans="1:5">
      <c r="A36" s="126" t="s">
        <v>81</v>
      </c>
      <c r="B36" t="s">
        <v>121</v>
      </c>
      <c r="C36" s="224">
        <v>7200</v>
      </c>
      <c r="E36" s="217" t="s">
        <v>122</v>
      </c>
    </row>
    <row r="37" spans="1:5">
      <c r="B37" s="218" t="s">
        <v>123</v>
      </c>
      <c r="C37" s="225">
        <v>127200</v>
      </c>
    </row>
    <row r="40" spans="1:5">
      <c r="A40" t="s">
        <v>124</v>
      </c>
    </row>
    <row r="41" spans="1:5">
      <c r="A41" t="s">
        <v>49</v>
      </c>
      <c r="B41" s="226">
        <v>129000</v>
      </c>
      <c r="C41" t="s">
        <v>125</v>
      </c>
    </row>
    <row r="42" spans="1:5">
      <c r="A42" t="s">
        <v>15</v>
      </c>
      <c r="B42" s="226">
        <v>45000</v>
      </c>
      <c r="C42" t="s">
        <v>125</v>
      </c>
    </row>
    <row r="43" spans="1:5">
      <c r="A43" t="s">
        <v>20</v>
      </c>
      <c r="B43" s="226">
        <v>50000</v>
      </c>
      <c r="C43" t="s">
        <v>125</v>
      </c>
    </row>
    <row r="44" spans="1:5">
      <c r="A44" t="s">
        <v>126</v>
      </c>
      <c r="B44" s="226">
        <v>224000</v>
      </c>
      <c r="C44" t="s">
        <v>125</v>
      </c>
      <c r="D44" s="227">
        <v>2688000</v>
      </c>
      <c r="E44" t="s">
        <v>127</v>
      </c>
    </row>
    <row r="46" spans="1:5">
      <c r="A46" t="s">
        <v>128</v>
      </c>
      <c r="B46" s="228">
        <v>133333.33333333334</v>
      </c>
      <c r="C46" t="s">
        <v>125</v>
      </c>
      <c r="D46" s="226">
        <v>1600000</v>
      </c>
      <c r="E46" t="s">
        <v>127</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N22"/>
  <sheetViews>
    <sheetView workbookViewId="0">
      <selection activeCell="G28" sqref="G28"/>
    </sheetView>
  </sheetViews>
  <sheetFormatPr defaultColWidth="8.08984375" defaultRowHeight="14.5"/>
  <cols>
    <col min="1" max="1" width="13.08984375" style="147" bestFit="1" customWidth="1"/>
    <col min="2" max="14" width="8.6328125" style="126" customWidth="1"/>
    <col min="15" max="16384" width="8.08984375" style="126"/>
  </cols>
  <sheetData>
    <row r="1" spans="1:8">
      <c r="A1" s="971" t="s">
        <v>129</v>
      </c>
      <c r="B1" s="210" t="s">
        <v>130</v>
      </c>
      <c r="C1" s="210" t="s">
        <v>131</v>
      </c>
      <c r="D1" s="210" t="s">
        <v>132</v>
      </c>
      <c r="E1" s="210" t="s">
        <v>89</v>
      </c>
      <c r="F1" s="210" t="s">
        <v>74</v>
      </c>
      <c r="G1" s="973" t="s">
        <v>73</v>
      </c>
      <c r="H1" s="974"/>
    </row>
    <row r="2" spans="1:8">
      <c r="A2" s="972"/>
      <c r="B2" s="210" t="s">
        <v>133</v>
      </c>
      <c r="C2" s="210" t="s">
        <v>134</v>
      </c>
      <c r="D2" s="210" t="s">
        <v>134</v>
      </c>
      <c r="E2" s="210" t="s">
        <v>134</v>
      </c>
      <c r="F2" s="210" t="s">
        <v>134</v>
      </c>
      <c r="G2" s="210" t="s">
        <v>134</v>
      </c>
      <c r="H2" s="210" t="s">
        <v>135</v>
      </c>
    </row>
    <row r="3" spans="1:8">
      <c r="A3" s="210" t="s">
        <v>136</v>
      </c>
      <c r="B3" s="221">
        <v>420</v>
      </c>
      <c r="C3" s="229">
        <v>1056</v>
      </c>
      <c r="D3" s="221">
        <v>290</v>
      </c>
      <c r="E3" s="229">
        <v>1160</v>
      </c>
      <c r="F3" s="229">
        <f t="shared" ref="F3:F8" si="0">D3+E3</f>
        <v>1450</v>
      </c>
      <c r="G3" s="221">
        <v>247</v>
      </c>
      <c r="H3" s="229">
        <f t="shared" ref="H3:H8" si="1">G3/0.667</f>
        <v>370.31484257871062</v>
      </c>
    </row>
    <row r="4" spans="1:8">
      <c r="A4" s="210" t="s">
        <v>137</v>
      </c>
      <c r="B4" s="975">
        <v>820</v>
      </c>
      <c r="C4" s="229">
        <v>1788</v>
      </c>
      <c r="D4" s="221">
        <v>0</v>
      </c>
      <c r="E4" s="221">
        <v>0</v>
      </c>
      <c r="F4" s="229">
        <f t="shared" si="0"/>
        <v>0</v>
      </c>
      <c r="G4" s="221">
        <v>0</v>
      </c>
      <c r="H4" s="229">
        <f t="shared" si="1"/>
        <v>0</v>
      </c>
    </row>
    <row r="5" spans="1:8">
      <c r="A5" s="210" t="s">
        <v>138</v>
      </c>
      <c r="B5" s="976"/>
      <c r="C5" s="221">
        <v>174</v>
      </c>
      <c r="D5" s="221">
        <v>250</v>
      </c>
      <c r="E5" s="229">
        <v>1030</v>
      </c>
      <c r="F5" s="229">
        <f t="shared" si="0"/>
        <v>1280</v>
      </c>
      <c r="G5" s="221">
        <v>180</v>
      </c>
      <c r="H5" s="229">
        <f t="shared" si="1"/>
        <v>269.86506746626685</v>
      </c>
    </row>
    <row r="6" spans="1:8">
      <c r="A6" s="210" t="s">
        <v>139</v>
      </c>
      <c r="B6" s="977"/>
      <c r="C6" s="221">
        <v>230</v>
      </c>
      <c r="D6" s="221">
        <v>354</v>
      </c>
      <c r="E6" s="229">
        <v>1416</v>
      </c>
      <c r="F6" s="229">
        <f t="shared" si="0"/>
        <v>1770</v>
      </c>
      <c r="G6" s="221">
        <v>243</v>
      </c>
      <c r="H6" s="229">
        <f t="shared" si="1"/>
        <v>364.31784107946027</v>
      </c>
    </row>
    <row r="7" spans="1:8">
      <c r="A7" s="210" t="s">
        <v>140</v>
      </c>
      <c r="B7" s="221">
        <v>570</v>
      </c>
      <c r="C7" s="229">
        <v>1512</v>
      </c>
      <c r="D7" s="221">
        <v>361</v>
      </c>
      <c r="E7" s="229">
        <v>2046</v>
      </c>
      <c r="F7" s="229">
        <f t="shared" si="0"/>
        <v>2407</v>
      </c>
      <c r="G7" s="221">
        <v>308</v>
      </c>
      <c r="H7" s="229">
        <f t="shared" si="1"/>
        <v>461.76911544227886</v>
      </c>
    </row>
    <row r="8" spans="1:8">
      <c r="A8" s="210" t="s">
        <v>141</v>
      </c>
      <c r="B8" s="221">
        <v>840</v>
      </c>
      <c r="C8" s="229">
        <v>2016</v>
      </c>
      <c r="D8" s="229">
        <v>1800</v>
      </c>
      <c r="E8" s="229">
        <v>1200</v>
      </c>
      <c r="F8" s="229">
        <f t="shared" si="0"/>
        <v>3000</v>
      </c>
      <c r="G8" s="221">
        <v>387</v>
      </c>
      <c r="H8" s="229">
        <f t="shared" si="1"/>
        <v>580.20989505247371</v>
      </c>
    </row>
    <row r="10" spans="1:8">
      <c r="A10" s="978" t="s">
        <v>129</v>
      </c>
      <c r="B10" s="230" t="s">
        <v>130</v>
      </c>
      <c r="C10" s="230" t="s">
        <v>131</v>
      </c>
      <c r="D10" s="230" t="s">
        <v>132</v>
      </c>
      <c r="E10" s="230" t="s">
        <v>89</v>
      </c>
      <c r="F10" s="230" t="s">
        <v>74</v>
      </c>
      <c r="G10" s="978" t="s">
        <v>73</v>
      </c>
      <c r="H10" s="978"/>
    </row>
    <row r="11" spans="1:8">
      <c r="A11" s="978"/>
      <c r="B11" s="230" t="s">
        <v>133</v>
      </c>
      <c r="C11" s="230" t="s">
        <v>142</v>
      </c>
      <c r="D11" s="230" t="s">
        <v>142</v>
      </c>
      <c r="E11" s="230" t="s">
        <v>142</v>
      </c>
      <c r="F11" s="230" t="s">
        <v>142</v>
      </c>
      <c r="G11" s="230" t="s">
        <v>142</v>
      </c>
      <c r="H11" s="230" t="s">
        <v>108</v>
      </c>
    </row>
    <row r="12" spans="1:8">
      <c r="A12" s="230" t="s">
        <v>136</v>
      </c>
      <c r="B12" s="231">
        <v>420</v>
      </c>
      <c r="C12" s="231">
        <f t="shared" ref="C12:H17" si="2">C3*365</f>
        <v>385440</v>
      </c>
      <c r="D12" s="231">
        <f t="shared" si="2"/>
        <v>105850</v>
      </c>
      <c r="E12" s="231">
        <f t="shared" si="2"/>
        <v>423400</v>
      </c>
      <c r="F12" s="231">
        <f t="shared" si="2"/>
        <v>529250</v>
      </c>
      <c r="G12" s="231">
        <f t="shared" si="2"/>
        <v>90155</v>
      </c>
      <c r="H12" s="231">
        <f t="shared" si="2"/>
        <v>135164.91754122937</v>
      </c>
    </row>
    <row r="13" spans="1:8">
      <c r="A13" s="230" t="s">
        <v>137</v>
      </c>
      <c r="B13" s="970">
        <v>820</v>
      </c>
      <c r="C13" s="231">
        <f t="shared" si="2"/>
        <v>652620</v>
      </c>
      <c r="D13" s="231">
        <f t="shared" si="2"/>
        <v>0</v>
      </c>
      <c r="E13" s="231">
        <f t="shared" si="2"/>
        <v>0</v>
      </c>
      <c r="F13" s="231">
        <f t="shared" si="2"/>
        <v>0</v>
      </c>
      <c r="G13" s="231">
        <f t="shared" si="2"/>
        <v>0</v>
      </c>
      <c r="H13" s="231">
        <f t="shared" si="2"/>
        <v>0</v>
      </c>
    </row>
    <row r="14" spans="1:8">
      <c r="A14" s="230" t="s">
        <v>138</v>
      </c>
      <c r="B14" s="970"/>
      <c r="C14" s="231">
        <f t="shared" si="2"/>
        <v>63510</v>
      </c>
      <c r="D14" s="231">
        <f t="shared" si="2"/>
        <v>91250</v>
      </c>
      <c r="E14" s="231">
        <f t="shared" si="2"/>
        <v>375950</v>
      </c>
      <c r="F14" s="231">
        <f t="shared" si="2"/>
        <v>467200</v>
      </c>
      <c r="G14" s="231">
        <f t="shared" si="2"/>
        <v>65700</v>
      </c>
      <c r="H14" s="231">
        <f t="shared" si="2"/>
        <v>98500.749625187396</v>
      </c>
    </row>
    <row r="15" spans="1:8">
      <c r="A15" s="230" t="s">
        <v>139</v>
      </c>
      <c r="B15" s="970"/>
      <c r="C15" s="231">
        <f t="shared" si="2"/>
        <v>83950</v>
      </c>
      <c r="D15" s="231">
        <f t="shared" si="2"/>
        <v>129210</v>
      </c>
      <c r="E15" s="231">
        <f t="shared" si="2"/>
        <v>516840</v>
      </c>
      <c r="F15" s="231">
        <f t="shared" si="2"/>
        <v>646050</v>
      </c>
      <c r="G15" s="231">
        <f t="shared" si="2"/>
        <v>88695</v>
      </c>
      <c r="H15" s="231">
        <f t="shared" si="2"/>
        <v>132976.011994003</v>
      </c>
    </row>
    <row r="16" spans="1:8">
      <c r="A16" s="230" t="s">
        <v>140</v>
      </c>
      <c r="B16" s="231">
        <v>570</v>
      </c>
      <c r="C16" s="231">
        <f t="shared" si="2"/>
        <v>551880</v>
      </c>
      <c r="D16" s="231">
        <f t="shared" si="2"/>
        <v>131765</v>
      </c>
      <c r="E16" s="231">
        <f t="shared" si="2"/>
        <v>746790</v>
      </c>
      <c r="F16" s="231">
        <f t="shared" si="2"/>
        <v>878555</v>
      </c>
      <c r="G16" s="231">
        <f t="shared" si="2"/>
        <v>112420</v>
      </c>
      <c r="H16" s="231">
        <f t="shared" si="2"/>
        <v>168545.72713643179</v>
      </c>
    </row>
    <row r="17" spans="1:14">
      <c r="A17" s="230" t="s">
        <v>141</v>
      </c>
      <c r="B17" s="231">
        <v>840</v>
      </c>
      <c r="C17" s="231">
        <f t="shared" si="2"/>
        <v>735840</v>
      </c>
      <c r="D17" s="231">
        <f t="shared" si="2"/>
        <v>657000</v>
      </c>
      <c r="E17" s="231">
        <f t="shared" si="2"/>
        <v>438000</v>
      </c>
      <c r="F17" s="231">
        <f t="shared" si="2"/>
        <v>1095000</v>
      </c>
      <c r="G17" s="231">
        <f t="shared" si="2"/>
        <v>141255</v>
      </c>
      <c r="H17" s="231">
        <f t="shared" si="2"/>
        <v>211776.6116941529</v>
      </c>
    </row>
    <row r="20" spans="1:14">
      <c r="A20"/>
      <c r="B20">
        <v>31</v>
      </c>
      <c r="C20">
        <v>28</v>
      </c>
      <c r="D20">
        <v>31</v>
      </c>
      <c r="E20">
        <v>30</v>
      </c>
      <c r="F20">
        <v>31</v>
      </c>
      <c r="G20">
        <v>30</v>
      </c>
      <c r="H20">
        <v>31</v>
      </c>
      <c r="I20">
        <v>31</v>
      </c>
      <c r="J20">
        <v>30</v>
      </c>
      <c r="K20">
        <v>31</v>
      </c>
      <c r="L20">
        <v>30</v>
      </c>
      <c r="M20">
        <v>31</v>
      </c>
      <c r="N20"/>
    </row>
    <row r="21" spans="1:14">
      <c r="A21" t="s">
        <v>279</v>
      </c>
      <c r="B21" t="s">
        <v>280</v>
      </c>
      <c r="C21" t="s">
        <v>281</v>
      </c>
      <c r="D21" t="s">
        <v>282</v>
      </c>
      <c r="E21" t="s">
        <v>283</v>
      </c>
      <c r="F21" t="s">
        <v>284</v>
      </c>
      <c r="G21" t="s">
        <v>285</v>
      </c>
      <c r="H21" t="s">
        <v>286</v>
      </c>
      <c r="I21" t="s">
        <v>287</v>
      </c>
      <c r="J21" t="s">
        <v>288</v>
      </c>
      <c r="K21" t="s">
        <v>289</v>
      </c>
      <c r="L21" t="s">
        <v>290</v>
      </c>
      <c r="M21" t="s">
        <v>291</v>
      </c>
      <c r="N21"/>
    </row>
    <row r="22" spans="1:14">
      <c r="A22" t="s">
        <v>105</v>
      </c>
      <c r="B22" s="652">
        <f>$N$22/365*B20/1000</f>
        <v>21.232876712328764</v>
      </c>
      <c r="C22" s="652">
        <f t="shared" ref="C22:M22" si="3">$N$22/365*C20/1000</f>
        <v>19.17808219178082</v>
      </c>
      <c r="D22" s="652">
        <f t="shared" si="3"/>
        <v>21.232876712328764</v>
      </c>
      <c r="E22" s="652">
        <f t="shared" si="3"/>
        <v>20.547945205479454</v>
      </c>
      <c r="F22" s="652">
        <f t="shared" si="3"/>
        <v>21.232876712328764</v>
      </c>
      <c r="G22" s="652">
        <f t="shared" si="3"/>
        <v>20.547945205479454</v>
      </c>
      <c r="H22" s="652">
        <f t="shared" si="3"/>
        <v>21.232876712328764</v>
      </c>
      <c r="I22" s="652">
        <f t="shared" si="3"/>
        <v>21.232876712328764</v>
      </c>
      <c r="J22" s="652">
        <f t="shared" si="3"/>
        <v>20.547945205479454</v>
      </c>
      <c r="K22" s="652">
        <f t="shared" si="3"/>
        <v>21.232876712328764</v>
      </c>
      <c r="L22" s="652">
        <f t="shared" si="3"/>
        <v>20.547945205479454</v>
      </c>
      <c r="M22" s="652">
        <f t="shared" si="3"/>
        <v>21.232876712328764</v>
      </c>
      <c r="N22">
        <v>250000</v>
      </c>
    </row>
  </sheetData>
  <mergeCells count="6">
    <mergeCell ref="B13:B15"/>
    <mergeCell ref="A1:A2"/>
    <mergeCell ref="G1:H1"/>
    <mergeCell ref="B4:B6"/>
    <mergeCell ref="A10:A11"/>
    <mergeCell ref="G10:H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F24"/>
  <sheetViews>
    <sheetView zoomScale="85" zoomScaleNormal="85" workbookViewId="0">
      <selection activeCell="U26" sqref="U26"/>
    </sheetView>
  </sheetViews>
  <sheetFormatPr defaultRowHeight="14.5"/>
  <cols>
    <col min="1" max="1" width="17.81640625" customWidth="1"/>
    <col min="2" max="2" width="9.6328125" bestFit="1" customWidth="1"/>
  </cols>
  <sheetData>
    <row r="1" spans="1:6">
      <c r="B1" s="503">
        <f>'C2'!J6</f>
        <v>44410</v>
      </c>
      <c r="C1" s="503">
        <f>'C2'!K6</f>
        <v>44441</v>
      </c>
      <c r="D1" s="503">
        <f>'C2'!L6</f>
        <v>44471</v>
      </c>
      <c r="E1" s="503">
        <f>'C2'!M6</f>
        <v>44502</v>
      </c>
      <c r="F1" s="503">
        <f>'C2'!N6</f>
        <v>44532</v>
      </c>
    </row>
    <row r="2" spans="1:6">
      <c r="A2" t="s">
        <v>300</v>
      </c>
      <c r="B2" s="209">
        <f>'C2'!J7</f>
        <v>193.0435882228262</v>
      </c>
      <c r="C2" s="209">
        <f>'C2'!K7</f>
        <v>177.73827566607315</v>
      </c>
      <c r="D2" s="209">
        <f>'C2'!L7</f>
        <v>166.17736924990098</v>
      </c>
      <c r="E2" s="209">
        <f>'C2'!M7</f>
        <v>174.98789439742208</v>
      </c>
      <c r="F2" s="209">
        <f>'C2'!N7</f>
        <v>176.04093251653302</v>
      </c>
    </row>
    <row r="3" spans="1:6">
      <c r="A3" t="s">
        <v>242</v>
      </c>
      <c r="B3" s="209">
        <f>'C2'!J26/1000</f>
        <v>10.529650266699614</v>
      </c>
      <c r="C3" s="209">
        <f>'C2'!K26/1000</f>
        <v>9.6948150363312635</v>
      </c>
      <c r="D3" s="209">
        <f>'C2'!L26/1000</f>
        <v>9.0642201409036911</v>
      </c>
      <c r="E3" s="209">
        <f>'C2'!M26/1000</f>
        <v>9.544794239859387</v>
      </c>
      <c r="F3" s="209">
        <f>'C2'!N26/1000</f>
        <v>9.6022326827199844</v>
      </c>
    </row>
    <row r="4" spans="1:6">
      <c r="A4" t="s">
        <v>241</v>
      </c>
      <c r="B4" s="209">
        <f>'C2'!J34/1000</f>
        <v>182.51393795612657</v>
      </c>
      <c r="C4" s="209">
        <f>'C2'!K34/1000</f>
        <v>168.0434606297419</v>
      </c>
      <c r="D4" s="209">
        <f>'C2'!L34/1000</f>
        <v>157.11314910899725</v>
      </c>
      <c r="E4" s="209">
        <f>'C2'!M34/1000</f>
        <v>165.4431001575627</v>
      </c>
      <c r="F4" s="209">
        <f>'C2'!N34/1000</f>
        <v>166.43869983381305</v>
      </c>
    </row>
    <row r="6" spans="1:6">
      <c r="B6" s="503">
        <f>B1</f>
        <v>44410</v>
      </c>
      <c r="C6" s="503">
        <f>C1</f>
        <v>44441</v>
      </c>
      <c r="D6" s="503">
        <f>D1</f>
        <v>44471</v>
      </c>
      <c r="E6" s="503">
        <f>E1</f>
        <v>44502</v>
      </c>
      <c r="F6" s="503">
        <f>F1</f>
        <v>44532</v>
      </c>
    </row>
    <row r="7" spans="1:6">
      <c r="A7" t="s">
        <v>301</v>
      </c>
      <c r="B7" s="209">
        <f>'C3LPG'!AF65+'C3LPG'!AF8</f>
        <v>330.45500000000004</v>
      </c>
      <c r="C7" s="209">
        <f>'C3LPG'!AG65+'C3LPG'!AG8</f>
        <v>335.80632875843219</v>
      </c>
      <c r="D7" s="209">
        <f>'C3LPG'!AH65+'C3LPG'!AH8</f>
        <v>315.4412718412205</v>
      </c>
      <c r="E7" s="209">
        <f>'C3LPG'!AI65+'C3LPG'!AI8</f>
        <v>313.89999999999998</v>
      </c>
      <c r="F7" s="209">
        <f>'C3LPG'!AJ65+'C3LPG'!AJ8</f>
        <v>325.7004342231823</v>
      </c>
    </row>
    <row r="8" spans="1:6">
      <c r="A8" t="s">
        <v>302</v>
      </c>
      <c r="B8" s="209">
        <f>'C3LPG'!AF179+'C3LPG'!AF121+'C3LPG'!AF122</f>
        <v>197.44499999999999</v>
      </c>
      <c r="C8" s="209">
        <f>'C3LPG'!AG179+'C3LPG'!AG121+'C3LPG'!AG122</f>
        <v>201.68</v>
      </c>
      <c r="D8" s="209">
        <f>'C3LPG'!AH179+'C3LPG'!AH121+'C3LPG'!AH122</f>
        <v>205.48999999999998</v>
      </c>
      <c r="E8" s="209">
        <f>'C3LPG'!AI179+'C3LPG'!AI121+'C3LPG'!AI122</f>
        <v>209.17999999999998</v>
      </c>
      <c r="F8" s="209">
        <f>'C3LPG'!AJ179+'C3LPG'!AJ121+'C3LPG'!AJ122</f>
        <v>217.41511431000009</v>
      </c>
    </row>
    <row r="9" spans="1:6">
      <c r="A9" t="s">
        <v>303</v>
      </c>
      <c r="B9" s="209">
        <f>'C3LPG'!AF176</f>
        <v>123.10399999999998</v>
      </c>
      <c r="C9" s="209">
        <f>'C3LPG'!AG176</f>
        <v>147.90600000000001</v>
      </c>
      <c r="D9" s="209">
        <f>'C3LPG'!AH176</f>
        <v>107.60600000000001</v>
      </c>
      <c r="E9" s="209">
        <f>'C3LPG'!AI176</f>
        <v>102.54</v>
      </c>
      <c r="F9" s="209">
        <f>'C3LPG'!AJ176</f>
        <v>102.29400000000001</v>
      </c>
    </row>
    <row r="10" spans="1:6">
      <c r="B10" s="694">
        <f>B8+B9</f>
        <v>320.54899999999998</v>
      </c>
      <c r="C10" s="694">
        <f>C8+C9</f>
        <v>349.58600000000001</v>
      </c>
      <c r="D10" s="694">
        <f>D8+D9</f>
        <v>313.096</v>
      </c>
      <c r="E10" s="694">
        <f>E8+E9</f>
        <v>311.71999999999997</v>
      </c>
      <c r="F10" s="694">
        <f>F8+F9</f>
        <v>319.70911431000013</v>
      </c>
    </row>
    <row r="12" spans="1:6">
      <c r="B12" s="503">
        <f>B6</f>
        <v>44410</v>
      </c>
      <c r="C12" s="503">
        <f>C6</f>
        <v>44441</v>
      </c>
      <c r="D12" s="503">
        <f>D6</f>
        <v>44471</v>
      </c>
      <c r="E12" s="503">
        <f>E6</f>
        <v>44502</v>
      </c>
      <c r="F12" s="503">
        <f>F6</f>
        <v>44532</v>
      </c>
    </row>
    <row r="13" spans="1:6">
      <c r="A13" t="s">
        <v>304</v>
      </c>
      <c r="B13" s="696">
        <f>NGL!BR6</f>
        <v>72.67</v>
      </c>
      <c r="C13" s="696">
        <f>NGL!BS6</f>
        <v>68.257807160242166</v>
      </c>
      <c r="D13" s="696">
        <f>NGL!BT6</f>
        <v>66.308557944549975</v>
      </c>
      <c r="E13" s="696">
        <f>NGL!BU6</f>
        <v>67.561263086404864</v>
      </c>
      <c r="F13" s="696">
        <f>NGL!BV6</f>
        <v>67.709999999999994</v>
      </c>
    </row>
    <row r="14" spans="1:6">
      <c r="A14" t="s">
        <v>305</v>
      </c>
      <c r="B14" s="696">
        <f>NGL!BR8</f>
        <v>41.500000000000007</v>
      </c>
      <c r="C14" s="696">
        <f>NGL!BS8</f>
        <v>43.537037037037038</v>
      </c>
      <c r="D14" s="696">
        <f>NGL!BT8</f>
        <v>45.20987654320988</v>
      </c>
      <c r="E14" s="696">
        <f>NGL!BU8</f>
        <v>45</v>
      </c>
      <c r="F14" s="696">
        <f>NGL!BV8</f>
        <v>44</v>
      </c>
    </row>
    <row r="15" spans="1:6">
      <c r="A15" t="s">
        <v>306</v>
      </c>
      <c r="B15" s="696">
        <f>NGL!BR7</f>
        <v>30.401234567901231</v>
      </c>
      <c r="C15" s="696">
        <f>NGL!BS7</f>
        <v>25.462962962962962</v>
      </c>
      <c r="D15" s="696">
        <f>NGL!BT7</f>
        <v>18.518518518518519</v>
      </c>
      <c r="E15" s="696">
        <f>NGL!BU7</f>
        <v>24.691358024691358</v>
      </c>
      <c r="F15" s="696">
        <f>NGL!BV7</f>
        <v>24.691358024691358</v>
      </c>
    </row>
    <row r="16" spans="1:6">
      <c r="A16" t="s">
        <v>309</v>
      </c>
      <c r="B16" s="696">
        <f>NGL!BR10</f>
        <v>1.3</v>
      </c>
      <c r="C16" s="696">
        <f>NGL!BS10</f>
        <v>0.6</v>
      </c>
      <c r="D16" s="696">
        <f>NGL!BT10</f>
        <v>1.75</v>
      </c>
      <c r="E16" s="696">
        <f>NGL!BU10</f>
        <v>0.15</v>
      </c>
      <c r="F16" s="696">
        <f>NGL!BV10</f>
        <v>0.7</v>
      </c>
    </row>
    <row r="17" spans="1:6">
      <c r="B17" s="694">
        <f>B15+B16+B14</f>
        <v>73.201234567901238</v>
      </c>
      <c r="C17" s="694">
        <f>C15+C16+C14</f>
        <v>69.599999999999994</v>
      </c>
      <c r="D17" s="694">
        <f>D15+D16+D14</f>
        <v>65.478395061728406</v>
      </c>
      <c r="E17" s="694">
        <f>E15+E16+E14</f>
        <v>69.84135802469136</v>
      </c>
      <c r="F17" s="694">
        <f>F15+F16+F14</f>
        <v>69.391358024691357</v>
      </c>
    </row>
    <row r="18" spans="1:6">
      <c r="B18" s="695">
        <v>31</v>
      </c>
      <c r="C18" s="695">
        <v>30</v>
      </c>
      <c r="D18" s="695">
        <f>31-9</f>
        <v>22</v>
      </c>
      <c r="E18" s="695">
        <v>30</v>
      </c>
      <c r="F18" s="695">
        <v>31</v>
      </c>
    </row>
    <row r="19" spans="1:6">
      <c r="B19" s="503">
        <f>B12</f>
        <v>44410</v>
      </c>
      <c r="C19" s="503">
        <f>C12</f>
        <v>44441</v>
      </c>
      <c r="D19" s="503">
        <f>D12</f>
        <v>44471</v>
      </c>
      <c r="E19" s="503">
        <f>E12</f>
        <v>44502</v>
      </c>
      <c r="F19" s="503">
        <f>F12</f>
        <v>44532</v>
      </c>
    </row>
    <row r="20" spans="1:6">
      <c r="A20" t="s">
        <v>307</v>
      </c>
      <c r="B20" s="696">
        <f>(6*24*B18)/1000</f>
        <v>4.4640000000000004</v>
      </c>
      <c r="C20" s="696">
        <f>(6*24*C18)/1000</f>
        <v>4.32</v>
      </c>
      <c r="D20" s="696">
        <f>(6*24*D18)/1000</f>
        <v>3.1680000000000001</v>
      </c>
      <c r="E20" s="696">
        <f>(6*24*E18)/1000</f>
        <v>4.32</v>
      </c>
      <c r="F20" s="696">
        <f>(6*24*F18)/1000</f>
        <v>4.4640000000000004</v>
      </c>
    </row>
    <row r="21" spans="1:6">
      <c r="A21" t="s">
        <v>308</v>
      </c>
      <c r="B21" s="696">
        <f>B20</f>
        <v>4.4640000000000004</v>
      </c>
      <c r="C21" s="696">
        <f>C20</f>
        <v>4.32</v>
      </c>
      <c r="D21" s="696">
        <f>D20</f>
        <v>3.1680000000000001</v>
      </c>
      <c r="E21" s="696">
        <f>E20</f>
        <v>4.32</v>
      </c>
      <c r="F21" s="696">
        <f>F20</f>
        <v>4.4640000000000004</v>
      </c>
    </row>
    <row r="24" spans="1:6">
      <c r="D24">
        <f>3168/24</f>
        <v>132</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9"/>
  <sheetViews>
    <sheetView zoomScale="70" zoomScaleNormal="70" workbookViewId="0">
      <pane xSplit="2" ySplit="6" topLeftCell="M16" activePane="bottomRight" state="frozen"/>
      <selection pane="topRight" activeCell="C1" sqref="C1"/>
      <selection pane="bottomLeft" activeCell="A7" sqref="A7"/>
      <selection pane="bottomRight" activeCell="R42" sqref="R42"/>
    </sheetView>
  </sheetViews>
  <sheetFormatPr defaultRowHeight="14.5"/>
  <cols>
    <col min="1" max="1" width="42.1796875" style="512" bestFit="1" customWidth="1"/>
    <col min="3" max="3" width="10.36328125" customWidth="1"/>
    <col min="4" max="5" width="10.453125" customWidth="1"/>
    <col min="6" max="10" width="10.453125" bestFit="1" customWidth="1"/>
    <col min="11" max="11" width="11.1796875" bestFit="1" customWidth="1"/>
    <col min="12" max="12" width="11.90625" bestFit="1" customWidth="1"/>
    <col min="13" max="13" width="10.453125" bestFit="1" customWidth="1"/>
    <col min="14" max="14" width="12.453125" customWidth="1"/>
    <col min="15" max="27" width="10.453125" bestFit="1" customWidth="1"/>
    <col min="28" max="28" width="11.08984375" style="3" bestFit="1" customWidth="1"/>
    <col min="29" max="29" width="15.90625" bestFit="1" customWidth="1"/>
  </cols>
  <sheetData>
    <row r="1" spans="1:29">
      <c r="A1" s="505" t="s">
        <v>354</v>
      </c>
      <c r="B1" s="2" t="s">
        <v>44</v>
      </c>
      <c r="C1" s="321">
        <v>200.00475408799599</v>
      </c>
      <c r="D1" s="321">
        <v>180.7371222570533</v>
      </c>
      <c r="E1" s="321">
        <v>202.46136608303385</v>
      </c>
      <c r="F1" s="321">
        <v>187.53</v>
      </c>
      <c r="G1" s="321">
        <v>203.11200000000002</v>
      </c>
      <c r="H1" s="321">
        <v>196.68700000000001</v>
      </c>
      <c r="I1" s="321">
        <v>150.75173545437815</v>
      </c>
      <c r="J1" s="321">
        <v>193.0435882228262</v>
      </c>
      <c r="K1" s="321">
        <v>180.5803865250665</v>
      </c>
      <c r="L1" s="321">
        <v>167.46549672759602</v>
      </c>
      <c r="M1" s="321">
        <v>179.08405382674519</v>
      </c>
      <c r="N1" s="321">
        <v>185.45798885858702</v>
      </c>
      <c r="O1" s="321">
        <v>200.52441636570526</v>
      </c>
      <c r="P1" s="321">
        <v>181.20796972245586</v>
      </c>
      <c r="Q1" s="321">
        <v>200.54145079899072</v>
      </c>
      <c r="R1" s="321">
        <v>181.33359125315394</v>
      </c>
      <c r="S1" s="321">
        <v>153.20429100084104</v>
      </c>
      <c r="T1" s="321">
        <v>173.25143818334737</v>
      </c>
      <c r="U1" s="321">
        <v>179.02648612279231</v>
      </c>
      <c r="V1" s="321">
        <v>182.08737762825905</v>
      </c>
      <c r="W1" s="321">
        <v>176.21359125315394</v>
      </c>
      <c r="X1" s="321">
        <v>182.08737762825905</v>
      </c>
      <c r="Y1" s="321">
        <v>182.08737762825905</v>
      </c>
      <c r="Z1" s="321">
        <v>182.08737762825905</v>
      </c>
      <c r="AA1" s="321">
        <v>182.08737762825905</v>
      </c>
      <c r="AB1" s="519"/>
    </row>
    <row r="2" spans="1:29">
      <c r="A2" s="512" t="s">
        <v>243</v>
      </c>
      <c r="B2" s="2" t="s">
        <v>44</v>
      </c>
      <c r="C2" s="211">
        <f t="shared" ref="C2:Z2" si="0">C7-C1</f>
        <v>-0.99693893053157012</v>
      </c>
      <c r="D2" s="211">
        <f t="shared" si="0"/>
        <v>1.5036723472260292</v>
      </c>
      <c r="E2" s="211">
        <f t="shared" si="0"/>
        <v>1.4694360233963266</v>
      </c>
      <c r="F2" s="211">
        <f t="shared" si="0"/>
        <v>-3.1503056426332421</v>
      </c>
      <c r="G2" s="211">
        <f t="shared" si="0"/>
        <v>0.50199999999998113</v>
      </c>
      <c r="H2" s="211">
        <f t="shared" si="0"/>
        <v>-0.42500000000001137</v>
      </c>
      <c r="I2" s="211">
        <f t="shared" si="0"/>
        <v>-3.7527586206896331</v>
      </c>
      <c r="J2" s="211">
        <f t="shared" si="0"/>
        <v>0</v>
      </c>
      <c r="K2" s="211">
        <f t="shared" si="0"/>
        <v>-2.842110858993351</v>
      </c>
      <c r="L2" s="211">
        <f t="shared" si="0"/>
        <v>-1.288127477695042</v>
      </c>
      <c r="M2" s="211">
        <f t="shared" si="0"/>
        <v>-0.60738042728442565</v>
      </c>
      <c r="N2" s="211">
        <f t="shared" si="0"/>
        <v>-2.8243448082296538</v>
      </c>
      <c r="O2" s="211">
        <f t="shared" si="0"/>
        <v>-11.854913669420682</v>
      </c>
      <c r="P2" s="211">
        <f t="shared" si="0"/>
        <v>-16.455875525651805</v>
      </c>
      <c r="Q2" s="211">
        <f t="shared" si="0"/>
        <v>-18.43501429772914</v>
      </c>
      <c r="R2" s="211">
        <f t="shared" si="0"/>
        <v>-5.5277628259041478</v>
      </c>
      <c r="S2" s="211">
        <f t="shared" si="0"/>
        <v>-22.211148864592104</v>
      </c>
      <c r="T2" s="211">
        <f t="shared" si="0"/>
        <v>-14.524137931034517</v>
      </c>
      <c r="U2" s="211">
        <f t="shared" si="0"/>
        <v>-15.008275862069041</v>
      </c>
      <c r="V2" s="211">
        <f t="shared" si="0"/>
        <v>-26.590960470984015</v>
      </c>
      <c r="W2" s="211">
        <f t="shared" si="0"/>
        <v>-3.0365853658536821</v>
      </c>
      <c r="X2" s="211">
        <f t="shared" si="0"/>
        <v>-3.1378048780487688</v>
      </c>
      <c r="Y2" s="211">
        <f t="shared" si="0"/>
        <v>-8.2269571068123923</v>
      </c>
      <c r="Z2" s="211">
        <f t="shared" si="0"/>
        <v>-16.551820016820841</v>
      </c>
      <c r="AA2" s="211">
        <f t="shared" ref="AA2" si="1">AA7-AA1</f>
        <v>-16.551820016820841</v>
      </c>
      <c r="AB2" s="519"/>
    </row>
    <row r="3" spans="1:29">
      <c r="A3" s="512" t="s">
        <v>238</v>
      </c>
      <c r="B3" s="2" t="s">
        <v>44</v>
      </c>
      <c r="C3" s="321">
        <v>46.417000000000002</v>
      </c>
      <c r="D3" s="321">
        <v>44.466758620689653</v>
      </c>
      <c r="E3" s="321">
        <v>48.368068965517239</v>
      </c>
      <c r="F3" s="321">
        <v>45.692999999999998</v>
      </c>
      <c r="G3" s="321">
        <v>48.36</v>
      </c>
      <c r="H3" s="321">
        <v>46.930999999999997</v>
      </c>
      <c r="I3" s="321">
        <v>47.648999923620792</v>
      </c>
      <c r="J3" s="321">
        <v>45.688551724137902</v>
      </c>
      <c r="K3" s="321">
        <v>46.027724137931045</v>
      </c>
      <c r="L3" s="321">
        <v>46.397861654910244</v>
      </c>
      <c r="M3" s="321">
        <v>42.765517241379328</v>
      </c>
      <c r="N3" s="321">
        <v>45.978275862068962</v>
      </c>
      <c r="O3" s="321">
        <v>47.526206896551727</v>
      </c>
      <c r="P3" s="321">
        <v>42.926896551724141</v>
      </c>
      <c r="Q3" s="321">
        <v>47.526206896551727</v>
      </c>
      <c r="R3" s="321">
        <v>45.993103448275861</v>
      </c>
      <c r="S3" s="321">
        <v>48.144827586206901</v>
      </c>
      <c r="T3" s="321">
        <v>43.572413793103472</v>
      </c>
      <c r="U3" s="321">
        <v>45.024827586206918</v>
      </c>
      <c r="V3" s="321">
        <v>47.526206896551727</v>
      </c>
      <c r="W3" s="321">
        <v>45.993103448275861</v>
      </c>
      <c r="X3" s="321">
        <v>47.526206896551727</v>
      </c>
      <c r="Y3" s="321">
        <v>47.526206896551727</v>
      </c>
      <c r="Z3" s="321">
        <v>47.526206896551727</v>
      </c>
      <c r="AA3" s="321">
        <v>47.526206896551727</v>
      </c>
    </row>
    <row r="4" spans="1:29">
      <c r="A4" s="512" t="s">
        <v>243</v>
      </c>
      <c r="B4" s="2" t="s">
        <v>44</v>
      </c>
      <c r="C4" s="211">
        <f>C9-C3</f>
        <v>-0.28151834684843635</v>
      </c>
      <c r="D4" s="211">
        <f t="shared" ref="D4:Z4" si="2">D9-D3</f>
        <v>-1.0419212381248784</v>
      </c>
      <c r="E4" s="211">
        <f t="shared" si="2"/>
        <v>1.4799310344827603</v>
      </c>
      <c r="F4" s="211">
        <f t="shared" si="2"/>
        <v>-0.23889655172413882</v>
      </c>
      <c r="G4" s="211">
        <f t="shared" si="2"/>
        <v>0.11599999999999966</v>
      </c>
      <c r="H4" s="211">
        <f t="shared" si="2"/>
        <v>0.42300000000000182</v>
      </c>
      <c r="I4" s="211">
        <f t="shared" si="2"/>
        <v>-0.33675862068965046</v>
      </c>
      <c r="J4" s="211">
        <f t="shared" si="2"/>
        <v>0</v>
      </c>
      <c r="K4" s="211">
        <f t="shared" si="2"/>
        <v>0.22451724137930285</v>
      </c>
      <c r="L4" s="211">
        <f t="shared" si="2"/>
        <v>1.6371383450897525</v>
      </c>
      <c r="M4" s="211">
        <f t="shared" si="2"/>
        <v>0.66935856161766338</v>
      </c>
      <c r="N4" s="211">
        <f t="shared" si="2"/>
        <v>0.51793103448276412</v>
      </c>
      <c r="O4" s="211">
        <f t="shared" si="2"/>
        <v>-1.3448275862068897</v>
      </c>
      <c r="P4" s="211">
        <f t="shared" si="2"/>
        <v>-9.0372413793103519</v>
      </c>
      <c r="Q4" s="211">
        <f t="shared" si="2"/>
        <v>-4.1689655172413609</v>
      </c>
      <c r="R4" s="211">
        <f t="shared" si="2"/>
        <v>-2.4206896551723887</v>
      </c>
      <c r="S4" s="211">
        <f t="shared" si="2"/>
        <v>-9.6827586206896825</v>
      </c>
      <c r="T4" s="211">
        <f t="shared" si="2"/>
        <v>-14.524137931034531</v>
      </c>
      <c r="U4" s="211">
        <f t="shared" si="2"/>
        <v>-15.008275862069013</v>
      </c>
      <c r="V4" s="211">
        <f t="shared" si="2"/>
        <v>-18.343448275862091</v>
      </c>
      <c r="W4" s="211">
        <f t="shared" si="2"/>
        <v>0</v>
      </c>
      <c r="X4" s="211">
        <f t="shared" si="2"/>
        <v>0</v>
      </c>
      <c r="Y4" s="211">
        <f t="shared" si="2"/>
        <v>-1.5331034482758668</v>
      </c>
      <c r="Z4" s="211">
        <f t="shared" si="2"/>
        <v>-8.5965517241379317</v>
      </c>
      <c r="AA4" s="211">
        <f t="shared" ref="AA4" si="3">AA9-AA3</f>
        <v>-8.5965517241379317</v>
      </c>
    </row>
    <row r="5" spans="1:29">
      <c r="A5" s="499"/>
      <c r="B5" s="213"/>
      <c r="C5" s="500">
        <v>31</v>
      </c>
      <c r="D5" s="564">
        <v>28</v>
      </c>
      <c r="E5" s="564">
        <v>31</v>
      </c>
      <c r="F5" s="564">
        <v>30</v>
      </c>
      <c r="G5" s="564">
        <v>31</v>
      </c>
      <c r="H5" s="564">
        <v>30</v>
      </c>
      <c r="I5" s="564">
        <v>31</v>
      </c>
      <c r="J5" s="564">
        <v>31</v>
      </c>
      <c r="K5" s="564">
        <v>30</v>
      </c>
      <c r="L5" s="564">
        <v>31</v>
      </c>
      <c r="M5" s="564">
        <v>30</v>
      </c>
      <c r="N5" s="564">
        <v>31</v>
      </c>
      <c r="O5" s="564">
        <v>31</v>
      </c>
      <c r="P5" s="564">
        <v>28</v>
      </c>
      <c r="Q5" s="564">
        <v>31</v>
      </c>
      <c r="R5" s="564">
        <v>30</v>
      </c>
      <c r="S5" s="564">
        <v>31</v>
      </c>
      <c r="T5" s="564">
        <v>30</v>
      </c>
      <c r="U5" s="564">
        <v>31</v>
      </c>
      <c r="V5" s="564">
        <v>31</v>
      </c>
      <c r="W5" s="564">
        <v>30</v>
      </c>
      <c r="X5" s="564">
        <v>31</v>
      </c>
      <c r="Y5" s="564">
        <v>30</v>
      </c>
      <c r="Z5" s="564">
        <v>31</v>
      </c>
      <c r="AA5" s="564">
        <v>31</v>
      </c>
      <c r="AB5" s="520"/>
      <c r="AC5" s="500"/>
    </row>
    <row r="6" spans="1:29">
      <c r="A6" s="501" t="s">
        <v>236</v>
      </c>
      <c r="B6" s="501" t="s">
        <v>72</v>
      </c>
      <c r="C6" s="502">
        <v>44198</v>
      </c>
      <c r="D6" s="502">
        <v>44229</v>
      </c>
      <c r="E6" s="502">
        <v>44257</v>
      </c>
      <c r="F6" s="502">
        <v>44288</v>
      </c>
      <c r="G6" s="502">
        <v>44318</v>
      </c>
      <c r="H6" s="502">
        <v>44349</v>
      </c>
      <c r="I6" s="502">
        <v>44379</v>
      </c>
      <c r="J6" s="502">
        <v>44410</v>
      </c>
      <c r="K6" s="502">
        <v>44441</v>
      </c>
      <c r="L6" s="503">
        <v>44471</v>
      </c>
      <c r="M6" s="503">
        <v>44502</v>
      </c>
      <c r="N6" s="503">
        <v>44532</v>
      </c>
      <c r="O6" s="503">
        <v>44563</v>
      </c>
      <c r="P6" s="503">
        <v>44594</v>
      </c>
      <c r="Q6" s="503">
        <v>44622</v>
      </c>
      <c r="R6" s="503">
        <v>44653</v>
      </c>
      <c r="S6" s="503">
        <v>44683</v>
      </c>
      <c r="T6" s="503">
        <v>44714</v>
      </c>
      <c r="U6" s="503">
        <v>44744</v>
      </c>
      <c r="V6" s="503">
        <v>44775</v>
      </c>
      <c r="W6" s="503">
        <v>44806</v>
      </c>
      <c r="X6" s="503">
        <v>44836</v>
      </c>
      <c r="Y6" s="503">
        <v>44867</v>
      </c>
      <c r="Z6" s="503">
        <v>44897</v>
      </c>
      <c r="AA6" s="503">
        <v>44928</v>
      </c>
      <c r="AB6" s="516"/>
      <c r="AC6" s="504" t="s">
        <v>193</v>
      </c>
    </row>
    <row r="7" spans="1:29">
      <c r="A7" s="505" t="s">
        <v>367</v>
      </c>
      <c r="B7" s="506" t="s">
        <v>44</v>
      </c>
      <c r="C7" s="514">
        <v>199.00781515746442</v>
      </c>
      <c r="D7" s="507">
        <v>182.24079460427933</v>
      </c>
      <c r="E7" s="507">
        <v>203.93080210643018</v>
      </c>
      <c r="F7" s="507">
        <v>184.37969435736676</v>
      </c>
      <c r="G7" s="507">
        <v>203.614</v>
      </c>
      <c r="H7" s="507">
        <v>196.262</v>
      </c>
      <c r="I7" s="507">
        <v>146.99897683368852</v>
      </c>
      <c r="J7" s="507">
        <v>193.0435882228262</v>
      </c>
      <c r="K7" s="507">
        <v>177.73827566607315</v>
      </c>
      <c r="L7" s="507">
        <v>166.17736924990098</v>
      </c>
      <c r="M7" s="507">
        <v>178.47667339946076</v>
      </c>
      <c r="N7" s="507">
        <v>182.63364405035736</v>
      </c>
      <c r="O7" s="507">
        <v>188.66950269628458</v>
      </c>
      <c r="P7" s="507">
        <v>164.75209419680405</v>
      </c>
      <c r="Q7" s="507">
        <v>182.10643650126158</v>
      </c>
      <c r="R7" s="507">
        <v>175.80582842724979</v>
      </c>
      <c r="S7" s="507">
        <v>130.99314213624893</v>
      </c>
      <c r="T7" s="507">
        <v>158.72730025231286</v>
      </c>
      <c r="U7" s="507">
        <v>164.01821026072327</v>
      </c>
      <c r="V7" s="507">
        <v>155.49641715727503</v>
      </c>
      <c r="W7" s="507">
        <v>173.17700588730025</v>
      </c>
      <c r="X7" s="507">
        <v>178.94957275021028</v>
      </c>
      <c r="Y7" s="507">
        <v>173.86042052144666</v>
      </c>
      <c r="Z7" s="507">
        <v>165.53555761143821</v>
      </c>
      <c r="AA7" s="507">
        <v>165.53555761143821</v>
      </c>
      <c r="AB7" s="515"/>
      <c r="AC7" s="607">
        <f>SUM(C7:N7)</f>
        <v>2214.5036336478474</v>
      </c>
    </row>
    <row r="8" spans="1:29">
      <c r="A8" s="499" t="str">
        <f>A7</f>
        <v>Total C2 (Ability 12rev1_4Nov'21)</v>
      </c>
      <c r="B8" s="506" t="s">
        <v>237</v>
      </c>
      <c r="C8" s="508">
        <f>C7/24/C5*1000</f>
        <v>267.48362252347368</v>
      </c>
      <c r="D8" s="508">
        <f t="shared" ref="D8:Z8" si="4">D7/24/D5*1000</f>
        <v>271.19165863732042</v>
      </c>
      <c r="E8" s="508">
        <f t="shared" si="4"/>
        <v>274.10054046563198</v>
      </c>
      <c r="F8" s="508">
        <f t="shared" si="4"/>
        <v>256.08290882967606</v>
      </c>
      <c r="G8" s="508">
        <f t="shared" si="4"/>
        <v>273.67473118279571</v>
      </c>
      <c r="H8" s="508">
        <f t="shared" si="4"/>
        <v>272.58611111111111</v>
      </c>
      <c r="I8" s="508">
        <f t="shared" si="4"/>
        <v>197.57926993775337</v>
      </c>
      <c r="J8" s="508">
        <f>J7/24/J5*1000</f>
        <v>259.46718847154062</v>
      </c>
      <c r="K8" s="508">
        <f t="shared" si="4"/>
        <v>246.85871620287935</v>
      </c>
      <c r="L8" s="508">
        <f t="shared" si="4"/>
        <v>223.35667909932926</v>
      </c>
      <c r="M8" s="508">
        <f t="shared" si="4"/>
        <v>247.8842686103622</v>
      </c>
      <c r="N8" s="508">
        <f t="shared" si="4"/>
        <v>245.47532802467387</v>
      </c>
      <c r="O8" s="508">
        <f t="shared" si="4"/>
        <v>253.58804125844702</v>
      </c>
      <c r="P8" s="508">
        <f t="shared" si="4"/>
        <v>245.16680684048222</v>
      </c>
      <c r="Q8" s="508">
        <f t="shared" si="4"/>
        <v>244.76671572750215</v>
      </c>
      <c r="R8" s="508">
        <f t="shared" si="4"/>
        <v>244.1747617045136</v>
      </c>
      <c r="S8" s="508">
        <f t="shared" si="4"/>
        <v>176.06605125839911</v>
      </c>
      <c r="T8" s="508">
        <f t="shared" si="4"/>
        <v>220.45458368376785</v>
      </c>
      <c r="U8" s="508">
        <f t="shared" si="4"/>
        <v>220.45458368376782</v>
      </c>
      <c r="V8" s="508">
        <f t="shared" si="4"/>
        <v>209.00056069526215</v>
      </c>
      <c r="W8" s="508">
        <f t="shared" si="4"/>
        <v>240.52361928791703</v>
      </c>
      <c r="X8" s="508">
        <f t="shared" si="4"/>
        <v>240.52361928791706</v>
      </c>
      <c r="Y8" s="508">
        <f t="shared" si="4"/>
        <v>241.47280627978702</v>
      </c>
      <c r="Z8" s="508">
        <f t="shared" si="4"/>
        <v>222.49402904763198</v>
      </c>
      <c r="AA8" s="508">
        <f t="shared" ref="AA8" si="5">AA7/24/AA5*1000</f>
        <v>222.49402904763198</v>
      </c>
      <c r="AB8" s="458"/>
      <c r="AC8" s="608"/>
    </row>
    <row r="9" spans="1:29">
      <c r="A9" s="536" t="s">
        <v>238</v>
      </c>
      <c r="B9" s="506" t="s">
        <v>44</v>
      </c>
      <c r="C9" s="514">
        <v>46.135481653151565</v>
      </c>
      <c r="D9" s="514">
        <v>43.424837382564775</v>
      </c>
      <c r="E9" s="514">
        <v>49.847999999999999</v>
      </c>
      <c r="F9" s="514">
        <v>45.454103448275859</v>
      </c>
      <c r="G9" s="514">
        <v>48.475999999999999</v>
      </c>
      <c r="H9" s="514">
        <v>47.353999999999999</v>
      </c>
      <c r="I9" s="514">
        <v>47.312241302931142</v>
      </c>
      <c r="J9" s="514">
        <v>45.688551724137902</v>
      </c>
      <c r="K9" s="514">
        <v>46.252241379310348</v>
      </c>
      <c r="L9" s="514">
        <v>48.034999999999997</v>
      </c>
      <c r="M9" s="514">
        <v>43.434875802996991</v>
      </c>
      <c r="N9" s="514">
        <v>46.496206896551726</v>
      </c>
      <c r="O9" s="514">
        <v>46.181379310344838</v>
      </c>
      <c r="P9" s="514">
        <v>33.889655172413789</v>
      </c>
      <c r="Q9" s="514">
        <v>43.357241379310366</v>
      </c>
      <c r="R9" s="514">
        <v>43.572413793103472</v>
      </c>
      <c r="S9" s="514">
        <v>38.462068965517219</v>
      </c>
      <c r="T9" s="514">
        <v>29.048275862068941</v>
      </c>
      <c r="U9" s="514">
        <v>30.016551724137905</v>
      </c>
      <c r="V9" s="514">
        <v>29.182758620689636</v>
      </c>
      <c r="W9" s="514">
        <v>45.993103448275861</v>
      </c>
      <c r="X9" s="514">
        <v>47.526206896551727</v>
      </c>
      <c r="Y9" s="514">
        <v>45.993103448275861</v>
      </c>
      <c r="Z9" s="514">
        <v>38.929655172413796</v>
      </c>
      <c r="AA9" s="514">
        <v>38.929655172413796</v>
      </c>
      <c r="AB9" s="443"/>
      <c r="AC9" s="607">
        <f>SUM(C9:N9)</f>
        <v>557.91153958992027</v>
      </c>
    </row>
    <row r="10" spans="1:29">
      <c r="A10" s="499" t="s">
        <v>238</v>
      </c>
      <c r="B10" s="506" t="s">
        <v>237</v>
      </c>
      <c r="C10" s="509">
        <f>C9/24/C5*1000</f>
        <v>62.010055985418774</v>
      </c>
      <c r="D10" s="509">
        <f t="shared" ref="D10:Z10" si="6">D9/24/D5*1000</f>
        <v>64.620293724054733</v>
      </c>
      <c r="E10" s="509">
        <f t="shared" si="6"/>
        <v>67</v>
      </c>
      <c r="F10" s="509">
        <f t="shared" si="6"/>
        <v>63.130699233716477</v>
      </c>
      <c r="G10" s="509">
        <f t="shared" si="6"/>
        <v>65.15591397849461</v>
      </c>
      <c r="H10" s="509">
        <f t="shared" si="6"/>
        <v>65.769444444444446</v>
      </c>
      <c r="I10" s="509">
        <f>I9/24/I5*1000</f>
        <v>63.591722181359053</v>
      </c>
      <c r="J10" s="509">
        <f t="shared" si="6"/>
        <v>61.409343715239118</v>
      </c>
      <c r="K10" s="509">
        <f t="shared" si="6"/>
        <v>64.239224137931046</v>
      </c>
      <c r="L10" s="509">
        <f t="shared" si="6"/>
        <v>64.563172043010752</v>
      </c>
      <c r="M10" s="509">
        <f t="shared" si="6"/>
        <v>60.326216393051375</v>
      </c>
      <c r="N10" s="509">
        <f t="shared" si="6"/>
        <v>62.494901742677051</v>
      </c>
      <c r="O10" s="509">
        <f t="shared" si="6"/>
        <v>62.0717463848721</v>
      </c>
      <c r="P10" s="509">
        <f t="shared" si="6"/>
        <v>50.431034482758612</v>
      </c>
      <c r="Q10" s="509">
        <f t="shared" si="6"/>
        <v>58.275862068965544</v>
      </c>
      <c r="R10" s="509">
        <f t="shared" si="6"/>
        <v>60.517241379310377</v>
      </c>
      <c r="S10" s="509">
        <f t="shared" si="6"/>
        <v>51.696329254727445</v>
      </c>
      <c r="T10" s="509">
        <f t="shared" si="6"/>
        <v>40.344827586206861</v>
      </c>
      <c r="U10" s="509">
        <f t="shared" si="6"/>
        <v>40.344827586206861</v>
      </c>
      <c r="V10" s="509">
        <f t="shared" si="6"/>
        <v>39.224137931034456</v>
      </c>
      <c r="W10" s="509">
        <f t="shared" si="6"/>
        <v>63.87931034482758</v>
      </c>
      <c r="X10" s="509">
        <f t="shared" si="6"/>
        <v>63.879310344827594</v>
      </c>
      <c r="Y10" s="509">
        <f t="shared" si="6"/>
        <v>63.87931034482758</v>
      </c>
      <c r="Z10" s="509">
        <f t="shared" si="6"/>
        <v>52.324805339265851</v>
      </c>
      <c r="AA10" s="509">
        <f t="shared" ref="AA10" si="7">AA9/24/AA5*1000</f>
        <v>52.324805339265851</v>
      </c>
      <c r="AB10" s="521"/>
      <c r="AC10" s="608"/>
    </row>
    <row r="11" spans="1:29">
      <c r="A11" s="499"/>
      <c r="B11" s="506"/>
      <c r="C11" s="509"/>
      <c r="D11" s="509"/>
      <c r="E11" s="509"/>
      <c r="F11" s="509"/>
      <c r="G11" s="509"/>
      <c r="H11" s="509"/>
      <c r="I11" s="509"/>
      <c r="J11" s="509"/>
      <c r="K11" s="706"/>
      <c r="L11" s="509"/>
      <c r="M11" s="509"/>
      <c r="N11" s="509"/>
      <c r="O11" s="509"/>
      <c r="P11" s="509"/>
      <c r="Q11" s="509"/>
      <c r="R11" s="509"/>
      <c r="S11" s="509"/>
      <c r="T11" s="509"/>
      <c r="U11" s="509"/>
      <c r="V11" s="509"/>
      <c r="W11" s="509"/>
      <c r="X11" s="509"/>
      <c r="Y11" s="509"/>
      <c r="Z11" s="509"/>
      <c r="AA11" s="509"/>
      <c r="AB11" s="521"/>
      <c r="AC11" s="608"/>
    </row>
    <row r="12" spans="1:29">
      <c r="A12" s="499" t="s">
        <v>239</v>
      </c>
      <c r="B12" s="506"/>
      <c r="C12" s="509"/>
      <c r="D12" s="509"/>
      <c r="E12" s="509"/>
      <c r="F12" s="509"/>
      <c r="G12" s="509"/>
      <c r="H12" s="509"/>
      <c r="I12" s="509"/>
      <c r="J12" s="509"/>
      <c r="K12" s="509"/>
      <c r="L12" s="509"/>
      <c r="M12" s="509"/>
      <c r="N12" s="509"/>
      <c r="O12" s="509"/>
      <c r="P12" s="509"/>
      <c r="Q12" s="509"/>
      <c r="R12" s="509"/>
      <c r="S12" s="509"/>
      <c r="T12" s="509"/>
      <c r="U12" s="509"/>
      <c r="V12" s="509"/>
      <c r="W12" s="509"/>
      <c r="X12" s="509"/>
      <c r="Y12" s="509"/>
      <c r="Z12" s="509"/>
      <c r="AA12" s="509"/>
      <c r="AB12" s="521"/>
      <c r="AC12" s="512" t="s">
        <v>295</v>
      </c>
    </row>
    <row r="13" spans="1:29">
      <c r="A13" s="499" t="s">
        <v>266</v>
      </c>
      <c r="B13" s="506" t="s">
        <v>237</v>
      </c>
      <c r="C13" s="509"/>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519"/>
      <c r="AC13" s="608"/>
    </row>
    <row r="14" spans="1:29">
      <c r="A14" s="499" t="s">
        <v>271</v>
      </c>
      <c r="B14" s="506" t="s">
        <v>237</v>
      </c>
      <c r="C14" s="509"/>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519"/>
      <c r="AC14" s="608"/>
    </row>
    <row r="15" spans="1:29">
      <c r="A15" s="499"/>
      <c r="B15" s="506"/>
      <c r="C15" s="509"/>
      <c r="D15" s="509"/>
      <c r="E15" s="509"/>
      <c r="F15" s="509"/>
      <c r="G15" s="509"/>
      <c r="H15" s="509"/>
      <c r="I15" s="509"/>
      <c r="J15" s="509"/>
      <c r="K15" s="509"/>
      <c r="L15" s="509"/>
      <c r="M15" s="509"/>
      <c r="N15" s="509"/>
      <c r="O15" s="509"/>
      <c r="P15" s="509"/>
      <c r="Q15" s="509"/>
      <c r="R15" s="509"/>
      <c r="S15" s="509"/>
      <c r="T15" s="509"/>
      <c r="U15" s="509"/>
      <c r="V15" s="509"/>
      <c r="W15" s="509"/>
      <c r="X15" s="509"/>
      <c r="Y15" s="509"/>
      <c r="Z15" s="509"/>
      <c r="AA15" s="509"/>
      <c r="AB15" s="521"/>
      <c r="AC15" s="608"/>
    </row>
    <row r="16" spans="1:29">
      <c r="A16" s="499" t="s">
        <v>265</v>
      </c>
      <c r="B16" s="506" t="s">
        <v>237</v>
      </c>
      <c r="C16" s="510"/>
      <c r="D16" s="510"/>
      <c r="E16" s="510">
        <f t="shared" ref="E16:R16" si="8">E8-275</f>
        <v>-0.89945953436802029</v>
      </c>
      <c r="F16" s="510">
        <f t="shared" si="8"/>
        <v>-18.917091170323943</v>
      </c>
      <c r="G16" s="510">
        <f t="shared" si="8"/>
        <v>-1.3252688172042895</v>
      </c>
      <c r="H16" s="510">
        <f t="shared" si="8"/>
        <v>-2.4138888888888914</v>
      </c>
      <c r="I16" s="510">
        <f t="shared" si="8"/>
        <v>-77.420730062246633</v>
      </c>
      <c r="J16" s="510">
        <f t="shared" si="8"/>
        <v>-15.532811528459376</v>
      </c>
      <c r="K16" s="510">
        <f t="shared" si="8"/>
        <v>-28.14128379712065</v>
      </c>
      <c r="L16" s="510">
        <f t="shared" si="8"/>
        <v>-51.643320900670744</v>
      </c>
      <c r="M16" s="510">
        <f t="shared" si="8"/>
        <v>-27.115731389637801</v>
      </c>
      <c r="N16" s="510">
        <f t="shared" si="8"/>
        <v>-29.524671975326129</v>
      </c>
      <c r="O16" s="510">
        <f t="shared" si="8"/>
        <v>-21.411958741552979</v>
      </c>
      <c r="P16" s="510">
        <f t="shared" si="8"/>
        <v>-29.833193159517776</v>
      </c>
      <c r="Q16" s="510">
        <f t="shared" si="8"/>
        <v>-30.233284272497855</v>
      </c>
      <c r="R16" s="510">
        <f t="shared" si="8"/>
        <v>-30.8252382954864</v>
      </c>
      <c r="S16" s="510">
        <f>S8-275</f>
        <v>-98.933948741600886</v>
      </c>
      <c r="T16" s="510">
        <f t="shared" ref="T16:Z16" si="9">T8-275</f>
        <v>-54.545416316232149</v>
      </c>
      <c r="U16" s="510">
        <f t="shared" si="9"/>
        <v>-54.545416316232178</v>
      </c>
      <c r="V16" s="510">
        <f t="shared" si="9"/>
        <v>-65.999439304737848</v>
      </c>
      <c r="W16" s="510">
        <f t="shared" si="9"/>
        <v>-34.476380712082971</v>
      </c>
      <c r="X16" s="510">
        <f t="shared" si="9"/>
        <v>-34.476380712082943</v>
      </c>
      <c r="Y16" s="510">
        <f t="shared" si="9"/>
        <v>-33.527193720212978</v>
      </c>
      <c r="Z16" s="510">
        <f t="shared" si="9"/>
        <v>-52.505970952368017</v>
      </c>
      <c r="AA16" s="510">
        <f t="shared" ref="AA16" si="10">AA8-275</f>
        <v>-52.505970952368017</v>
      </c>
      <c r="AB16" s="522"/>
      <c r="AC16" s="608"/>
    </row>
    <row r="17" spans="1:32">
      <c r="A17" s="499" t="s">
        <v>240</v>
      </c>
      <c r="B17" s="506"/>
      <c r="C17" s="213"/>
      <c r="D17" s="213"/>
      <c r="E17" s="436"/>
      <c r="F17" s="436"/>
      <c r="G17" s="436"/>
      <c r="H17" s="436"/>
      <c r="I17" s="436"/>
      <c r="J17" s="436"/>
      <c r="K17" s="436"/>
      <c r="L17" s="436"/>
      <c r="M17" s="436"/>
      <c r="N17" s="436"/>
      <c r="O17" s="436"/>
      <c r="P17" s="436"/>
      <c r="Q17" s="436"/>
      <c r="R17" s="436"/>
      <c r="S17" s="436"/>
      <c r="T17" s="436"/>
      <c r="U17" s="436"/>
      <c r="V17" s="436"/>
      <c r="W17" s="436"/>
      <c r="X17" s="436"/>
      <c r="Y17" s="436"/>
      <c r="Z17" s="436"/>
      <c r="AA17" s="436"/>
      <c r="AB17" s="522"/>
      <c r="AC17" s="608"/>
    </row>
    <row r="18" spans="1:32">
      <c r="A18" s="499" t="s">
        <v>0</v>
      </c>
      <c r="B18" s="506" t="s">
        <v>237</v>
      </c>
      <c r="C18" s="213"/>
      <c r="D18" s="510"/>
      <c r="E18" s="510">
        <f t="shared" ref="E18:Z18" si="11">E13/(E13+E14)*E16</f>
        <v>-0.85039810522067372</v>
      </c>
      <c r="F18" s="510">
        <f t="shared" si="11"/>
        <v>-17.885249833760817</v>
      </c>
      <c r="G18" s="510">
        <f t="shared" si="11"/>
        <v>-1.2529814271749646</v>
      </c>
      <c r="H18" s="510">
        <f t="shared" si="11"/>
        <v>-2.2822222222222246</v>
      </c>
      <c r="I18" s="510">
        <f t="shared" si="11"/>
        <v>-73.197781149760459</v>
      </c>
      <c r="J18" s="510">
        <f t="shared" si="11"/>
        <v>-14.685567263270682</v>
      </c>
      <c r="K18" s="510">
        <f t="shared" si="11"/>
        <v>-26.606304680914068</v>
      </c>
      <c r="L18" s="510">
        <f t="shared" si="11"/>
        <v>-48.826412487906886</v>
      </c>
      <c r="M18" s="510">
        <f t="shared" si="11"/>
        <v>-25.636691495657558</v>
      </c>
      <c r="N18" s="510">
        <f t="shared" si="11"/>
        <v>-27.914235322126522</v>
      </c>
      <c r="O18" s="510">
        <f t="shared" si="11"/>
        <v>-20.244033719286453</v>
      </c>
      <c r="P18" s="510">
        <f t="shared" si="11"/>
        <v>-28.205928078089535</v>
      </c>
      <c r="Q18" s="510">
        <f t="shared" si="11"/>
        <v>-28.584196039452518</v>
      </c>
      <c r="R18" s="510">
        <f t="shared" si="11"/>
        <v>-29.143861661187142</v>
      </c>
      <c r="S18" s="510">
        <f t="shared" si="11"/>
        <v>-93.537551537513565</v>
      </c>
      <c r="T18" s="510">
        <f t="shared" si="11"/>
        <v>-51.570211789892213</v>
      </c>
      <c r="U18" s="510">
        <f t="shared" si="11"/>
        <v>-51.570211789892241</v>
      </c>
      <c r="V18" s="510">
        <f t="shared" si="11"/>
        <v>-62.399469888115782</v>
      </c>
      <c r="W18" s="510">
        <f t="shared" si="11"/>
        <v>-32.595850855060263</v>
      </c>
      <c r="X18" s="510">
        <f t="shared" si="11"/>
        <v>-32.595850855060235</v>
      </c>
      <c r="Y18" s="510">
        <f t="shared" si="11"/>
        <v>-31.69843769911045</v>
      </c>
      <c r="Z18" s="510">
        <f t="shared" si="11"/>
        <v>-49.64200890042067</v>
      </c>
      <c r="AA18" s="510">
        <f t="shared" ref="AA18" si="12">AA13/(AA13+AA14)*AA16</f>
        <v>-49.64200890042067</v>
      </c>
      <c r="AB18" s="522"/>
      <c r="AC18" s="608"/>
    </row>
    <row r="19" spans="1:32">
      <c r="A19" s="499" t="s">
        <v>185</v>
      </c>
      <c r="B19" s="506" t="s">
        <v>237</v>
      </c>
      <c r="C19" s="213"/>
      <c r="D19" s="510"/>
      <c r="E19" s="510">
        <f t="shared" ref="E19:Z19" si="13">E14/(E13+E14)*E16</f>
        <v>-4.9061429147346555E-2</v>
      </c>
      <c r="F19" s="510">
        <f t="shared" si="13"/>
        <v>-1.031841336563124</v>
      </c>
      <c r="G19" s="510">
        <f t="shared" si="13"/>
        <v>-7.2287390029324883E-2</v>
      </c>
      <c r="H19" s="510">
        <f t="shared" si="13"/>
        <v>-0.13166666666666679</v>
      </c>
      <c r="I19" s="510">
        <f>I14/(I13+I14)*I16</f>
        <v>-4.2229489124861797</v>
      </c>
      <c r="J19" s="510">
        <f t="shared" si="13"/>
        <v>-0.84724426518869322</v>
      </c>
      <c r="K19" s="510">
        <f t="shared" si="13"/>
        <v>-1.5349791162065809</v>
      </c>
      <c r="L19" s="510">
        <f t="shared" si="13"/>
        <v>-2.8169084127638588</v>
      </c>
      <c r="M19" s="510">
        <f t="shared" si="13"/>
        <v>-1.4790398939802436</v>
      </c>
      <c r="N19" s="510">
        <f t="shared" si="13"/>
        <v>-1.610436653199607</v>
      </c>
      <c r="O19" s="510">
        <f t="shared" si="13"/>
        <v>-1.1679250222665261</v>
      </c>
      <c r="P19" s="510">
        <f t="shared" si="13"/>
        <v>-1.6272650814282423</v>
      </c>
      <c r="Q19" s="510">
        <f t="shared" si="13"/>
        <v>-1.6490882330453374</v>
      </c>
      <c r="R19" s="510">
        <f t="shared" si="13"/>
        <v>-1.6813766342992582</v>
      </c>
      <c r="S19" s="510">
        <f t="shared" si="13"/>
        <v>-5.3963972040873207</v>
      </c>
      <c r="T19" s="510">
        <f t="shared" si="13"/>
        <v>-2.9752045263399354</v>
      </c>
      <c r="U19" s="510">
        <f t="shared" si="13"/>
        <v>-2.9752045263399367</v>
      </c>
      <c r="V19" s="510">
        <f t="shared" si="13"/>
        <v>-3.5999694166220642</v>
      </c>
      <c r="W19" s="510">
        <f t="shared" si="13"/>
        <v>-1.8805298570227074</v>
      </c>
      <c r="X19" s="510">
        <f t="shared" si="13"/>
        <v>-1.8805298570227058</v>
      </c>
      <c r="Y19" s="510">
        <f t="shared" si="13"/>
        <v>-1.828756021102526</v>
      </c>
      <c r="Z19" s="510">
        <f t="shared" si="13"/>
        <v>-2.8639620519473463</v>
      </c>
      <c r="AA19" s="510">
        <f t="shared" ref="AA19" si="14">AA14/(AA13+AA14)*AA16</f>
        <v>-2.8639620519473463</v>
      </c>
      <c r="AB19" s="522"/>
      <c r="AC19" s="608"/>
    </row>
    <row r="20" spans="1:32">
      <c r="A20" s="499"/>
      <c r="B20" s="506"/>
      <c r="C20" s="213"/>
      <c r="D20" s="213"/>
      <c r="E20" s="436"/>
      <c r="F20" s="436"/>
      <c r="G20" s="436"/>
      <c r="H20" s="436"/>
      <c r="I20" s="436"/>
      <c r="J20" s="436"/>
      <c r="K20" s="436"/>
      <c r="L20" s="436"/>
      <c r="M20" s="436"/>
      <c r="N20" s="436"/>
      <c r="O20" s="436"/>
      <c r="P20" s="436"/>
      <c r="Q20" s="436"/>
      <c r="R20" s="436"/>
      <c r="S20" s="436"/>
      <c r="T20" s="436"/>
      <c r="U20" s="436"/>
      <c r="V20" s="436"/>
      <c r="W20" s="436"/>
      <c r="X20" s="436"/>
      <c r="Y20" s="436"/>
      <c r="Z20" s="436"/>
      <c r="AA20" s="436"/>
      <c r="AB20" s="522"/>
      <c r="AC20" s="608"/>
    </row>
    <row r="21" spans="1:32">
      <c r="A21" s="501" t="s">
        <v>242</v>
      </c>
      <c r="B21" s="501" t="s">
        <v>72</v>
      </c>
      <c r="C21" s="502">
        <f t="shared" ref="C21:Z21" si="15">C6</f>
        <v>44198</v>
      </c>
      <c r="D21" s="502">
        <f t="shared" si="15"/>
        <v>44229</v>
      </c>
      <c r="E21" s="502">
        <f t="shared" si="15"/>
        <v>44257</v>
      </c>
      <c r="F21" s="502">
        <f t="shared" si="15"/>
        <v>44288</v>
      </c>
      <c r="G21" s="502">
        <f t="shared" si="15"/>
        <v>44318</v>
      </c>
      <c r="H21" s="502">
        <f t="shared" si="15"/>
        <v>44349</v>
      </c>
      <c r="I21" s="502">
        <f t="shared" si="15"/>
        <v>44379</v>
      </c>
      <c r="J21" s="502">
        <f t="shared" si="15"/>
        <v>44410</v>
      </c>
      <c r="K21" s="502">
        <f t="shared" si="15"/>
        <v>44441</v>
      </c>
      <c r="L21" s="503">
        <f t="shared" si="15"/>
        <v>44471</v>
      </c>
      <c r="M21" s="503">
        <f t="shared" si="15"/>
        <v>44502</v>
      </c>
      <c r="N21" s="503">
        <f t="shared" si="15"/>
        <v>44532</v>
      </c>
      <c r="O21" s="503">
        <f t="shared" si="15"/>
        <v>44563</v>
      </c>
      <c r="P21" s="503">
        <f t="shared" si="15"/>
        <v>44594</v>
      </c>
      <c r="Q21" s="503">
        <f t="shared" si="15"/>
        <v>44622</v>
      </c>
      <c r="R21" s="503">
        <f t="shared" si="15"/>
        <v>44653</v>
      </c>
      <c r="S21" s="503">
        <f t="shared" si="15"/>
        <v>44683</v>
      </c>
      <c r="T21" s="503">
        <f t="shared" si="15"/>
        <v>44714</v>
      </c>
      <c r="U21" s="503">
        <f t="shared" si="15"/>
        <v>44744</v>
      </c>
      <c r="V21" s="503">
        <f t="shared" si="15"/>
        <v>44775</v>
      </c>
      <c r="W21" s="503">
        <f t="shared" si="15"/>
        <v>44806</v>
      </c>
      <c r="X21" s="503">
        <f t="shared" si="15"/>
        <v>44836</v>
      </c>
      <c r="Y21" s="503">
        <f t="shared" si="15"/>
        <v>44867</v>
      </c>
      <c r="Z21" s="503">
        <f t="shared" si="15"/>
        <v>44897</v>
      </c>
      <c r="AA21" s="503">
        <f t="shared" ref="AA21" si="16">AA6</f>
        <v>44928</v>
      </c>
      <c r="AB21" s="522"/>
      <c r="AC21" s="608"/>
    </row>
    <row r="22" spans="1:32" s="651" customFormat="1">
      <c r="A22" s="645" t="s">
        <v>292</v>
      </c>
      <c r="B22" s="646" t="s">
        <v>45</v>
      </c>
      <c r="C22" s="647">
        <v>0</v>
      </c>
      <c r="D22" s="647">
        <v>0</v>
      </c>
      <c r="E22" s="648">
        <v>5040</v>
      </c>
      <c r="F22" s="648">
        <v>5760</v>
      </c>
      <c r="G22" s="648">
        <v>11160</v>
      </c>
      <c r="H22" s="648">
        <v>11664</v>
      </c>
      <c r="I22" s="648">
        <v>11160</v>
      </c>
      <c r="J22" s="648">
        <v>11160</v>
      </c>
      <c r="K22" s="648">
        <v>10800</v>
      </c>
      <c r="L22" s="648">
        <v>11160</v>
      </c>
      <c r="M22" s="648">
        <v>10800</v>
      </c>
      <c r="N22" s="648">
        <v>11160</v>
      </c>
      <c r="O22" s="648">
        <v>11160</v>
      </c>
      <c r="P22" s="648">
        <v>10080</v>
      </c>
      <c r="Q22" s="648">
        <v>11160</v>
      </c>
      <c r="R22" s="648">
        <v>10800</v>
      </c>
      <c r="S22" s="648">
        <v>11160</v>
      </c>
      <c r="T22" s="648">
        <v>10800</v>
      </c>
      <c r="U22" s="648">
        <v>11160</v>
      </c>
      <c r="V22" s="648">
        <v>11160</v>
      </c>
      <c r="W22" s="648">
        <v>10800</v>
      </c>
      <c r="X22" s="648">
        <v>11160</v>
      </c>
      <c r="Y22" s="648">
        <v>10800</v>
      </c>
      <c r="Z22" s="648">
        <v>10800</v>
      </c>
      <c r="AA22" s="648">
        <v>10800</v>
      </c>
      <c r="AB22" s="649">
        <v>10800</v>
      </c>
      <c r="AC22" s="650">
        <v>11160</v>
      </c>
      <c r="AD22" s="686">
        <v>10800</v>
      </c>
      <c r="AE22" s="686">
        <v>11160</v>
      </c>
      <c r="AF22"/>
    </row>
    <row r="23" spans="1:32">
      <c r="A23" s="596" t="s">
        <v>292</v>
      </c>
      <c r="B23" s="597" t="s">
        <v>44</v>
      </c>
      <c r="C23" s="600">
        <v>0</v>
      </c>
      <c r="D23" s="601">
        <v>0</v>
      </c>
      <c r="E23" s="601">
        <f>E22/1000</f>
        <v>5.04</v>
      </c>
      <c r="F23" s="601">
        <f t="shared" ref="F23:Z23" si="17">F22/1000</f>
        <v>5.76</v>
      </c>
      <c r="G23" s="601">
        <f t="shared" si="17"/>
        <v>11.16</v>
      </c>
      <c r="H23" s="601">
        <f t="shared" si="17"/>
        <v>11.664</v>
      </c>
      <c r="I23" s="601">
        <f t="shared" si="17"/>
        <v>11.16</v>
      </c>
      <c r="J23" s="601">
        <f t="shared" si="17"/>
        <v>11.16</v>
      </c>
      <c r="K23" s="601">
        <f t="shared" si="17"/>
        <v>10.8</v>
      </c>
      <c r="L23" s="601">
        <f t="shared" si="17"/>
        <v>11.16</v>
      </c>
      <c r="M23" s="601">
        <f t="shared" si="17"/>
        <v>10.8</v>
      </c>
      <c r="N23" s="601">
        <f t="shared" si="17"/>
        <v>11.16</v>
      </c>
      <c r="O23" s="601">
        <f t="shared" si="17"/>
        <v>11.16</v>
      </c>
      <c r="P23" s="601">
        <f t="shared" si="17"/>
        <v>10.08</v>
      </c>
      <c r="Q23" s="601">
        <f t="shared" si="17"/>
        <v>11.16</v>
      </c>
      <c r="R23" s="601">
        <f t="shared" si="17"/>
        <v>10.8</v>
      </c>
      <c r="S23" s="601">
        <f t="shared" si="17"/>
        <v>11.16</v>
      </c>
      <c r="T23" s="601">
        <f t="shared" si="17"/>
        <v>10.8</v>
      </c>
      <c r="U23" s="601">
        <f t="shared" si="17"/>
        <v>11.16</v>
      </c>
      <c r="V23" s="601">
        <f t="shared" si="17"/>
        <v>11.16</v>
      </c>
      <c r="W23" s="601">
        <f t="shared" si="17"/>
        <v>10.8</v>
      </c>
      <c r="X23" s="601">
        <f t="shared" si="17"/>
        <v>11.16</v>
      </c>
      <c r="Y23" s="601">
        <f t="shared" si="17"/>
        <v>10.8</v>
      </c>
      <c r="Z23" s="601">
        <f t="shared" si="17"/>
        <v>10.8</v>
      </c>
      <c r="AA23" s="601">
        <f t="shared" ref="AA23" si="18">AA22/1000</f>
        <v>10.8</v>
      </c>
      <c r="AB23" s="522"/>
      <c r="AC23" s="608"/>
    </row>
    <row r="24" spans="1:32">
      <c r="A24" s="596" t="s">
        <v>292</v>
      </c>
      <c r="B24" s="597" t="s">
        <v>237</v>
      </c>
      <c r="C24" s="598">
        <f t="shared" ref="C24:Z24" si="19">C23/24/C5*1000</f>
        <v>0</v>
      </c>
      <c r="D24" s="599">
        <f t="shared" si="19"/>
        <v>0</v>
      </c>
      <c r="E24" s="599">
        <f t="shared" si="19"/>
        <v>6.774193548387097</v>
      </c>
      <c r="F24" s="599">
        <f t="shared" si="19"/>
        <v>8</v>
      </c>
      <c r="G24" s="599">
        <f t="shared" si="19"/>
        <v>15.000000000000002</v>
      </c>
      <c r="H24" s="627">
        <f t="shared" si="19"/>
        <v>16.2</v>
      </c>
      <c r="I24" s="627">
        <f t="shared" si="19"/>
        <v>15.000000000000002</v>
      </c>
      <c r="J24" s="599">
        <f t="shared" si="19"/>
        <v>15.000000000000002</v>
      </c>
      <c r="K24" s="599">
        <f t="shared" si="19"/>
        <v>15.000000000000002</v>
      </c>
      <c r="L24" s="599">
        <f t="shared" si="19"/>
        <v>15.000000000000002</v>
      </c>
      <c r="M24" s="599">
        <f t="shared" si="19"/>
        <v>15.000000000000002</v>
      </c>
      <c r="N24" s="599">
        <f t="shared" si="19"/>
        <v>15.000000000000002</v>
      </c>
      <c r="O24" s="599">
        <f t="shared" si="19"/>
        <v>15.000000000000002</v>
      </c>
      <c r="P24" s="599">
        <f t="shared" si="19"/>
        <v>15</v>
      </c>
      <c r="Q24" s="599">
        <f t="shared" si="19"/>
        <v>15.000000000000002</v>
      </c>
      <c r="R24" s="599">
        <f t="shared" si="19"/>
        <v>15.000000000000002</v>
      </c>
      <c r="S24" s="599">
        <f t="shared" si="19"/>
        <v>15.000000000000002</v>
      </c>
      <c r="T24" s="599">
        <f t="shared" si="19"/>
        <v>15.000000000000002</v>
      </c>
      <c r="U24" s="599">
        <f t="shared" si="19"/>
        <v>15.000000000000002</v>
      </c>
      <c r="V24" s="599">
        <f t="shared" si="19"/>
        <v>15.000000000000002</v>
      </c>
      <c r="W24" s="599">
        <f t="shared" si="19"/>
        <v>15.000000000000002</v>
      </c>
      <c r="X24" s="599">
        <f t="shared" si="19"/>
        <v>15.000000000000002</v>
      </c>
      <c r="Y24" s="599">
        <f t="shared" si="19"/>
        <v>15.000000000000002</v>
      </c>
      <c r="Z24" s="599">
        <f t="shared" si="19"/>
        <v>14.516129032258066</v>
      </c>
      <c r="AA24" s="599">
        <f t="shared" ref="AA24" si="20">AA23/24/AA5*1000</f>
        <v>14.516129032258066</v>
      </c>
      <c r="AB24" s="522"/>
      <c r="AC24" s="608" t="s">
        <v>277</v>
      </c>
    </row>
    <row r="25" spans="1:32">
      <c r="A25" s="596" t="s">
        <v>292</v>
      </c>
      <c r="B25" s="597" t="s">
        <v>249</v>
      </c>
      <c r="C25" s="598"/>
      <c r="D25" s="599">
        <f>D24*24</f>
        <v>0</v>
      </c>
      <c r="E25" s="592">
        <f t="shared" ref="E25:Z25" si="21">E24*24</f>
        <v>162.58064516129033</v>
      </c>
      <c r="F25" s="592">
        <f t="shared" si="21"/>
        <v>192</v>
      </c>
      <c r="G25" s="592">
        <f t="shared" si="21"/>
        <v>360.00000000000006</v>
      </c>
      <c r="H25" s="592">
        <f t="shared" si="21"/>
        <v>388.79999999999995</v>
      </c>
      <c r="I25" s="592">
        <f t="shared" si="21"/>
        <v>360.00000000000006</v>
      </c>
      <c r="J25" s="592">
        <f t="shared" si="21"/>
        <v>360.00000000000006</v>
      </c>
      <c r="K25" s="592">
        <f t="shared" si="21"/>
        <v>360.00000000000006</v>
      </c>
      <c r="L25" s="592">
        <f t="shared" si="21"/>
        <v>360.00000000000006</v>
      </c>
      <c r="M25" s="592">
        <f t="shared" si="21"/>
        <v>360.00000000000006</v>
      </c>
      <c r="N25" s="592">
        <f t="shared" si="21"/>
        <v>360.00000000000006</v>
      </c>
      <c r="O25" s="592">
        <f t="shared" si="21"/>
        <v>360.00000000000006</v>
      </c>
      <c r="P25" s="592">
        <f t="shared" si="21"/>
        <v>360</v>
      </c>
      <c r="Q25" s="592">
        <f t="shared" si="21"/>
        <v>360.00000000000006</v>
      </c>
      <c r="R25" s="592">
        <f t="shared" si="21"/>
        <v>360.00000000000006</v>
      </c>
      <c r="S25" s="592">
        <f t="shared" si="21"/>
        <v>360.00000000000006</v>
      </c>
      <c r="T25" s="592">
        <f t="shared" si="21"/>
        <v>360.00000000000006</v>
      </c>
      <c r="U25" s="592">
        <f t="shared" si="21"/>
        <v>360.00000000000006</v>
      </c>
      <c r="V25" s="592">
        <f t="shared" si="21"/>
        <v>360.00000000000006</v>
      </c>
      <c r="W25" s="592">
        <f t="shared" si="21"/>
        <v>360.00000000000006</v>
      </c>
      <c r="X25" s="592">
        <f t="shared" si="21"/>
        <v>360.00000000000006</v>
      </c>
      <c r="Y25" s="592">
        <f t="shared" si="21"/>
        <v>360.00000000000006</v>
      </c>
      <c r="Z25" s="592">
        <f t="shared" si="21"/>
        <v>348.38709677419359</v>
      </c>
      <c r="AA25" s="592">
        <f t="shared" ref="AA25" si="22">AA24*24</f>
        <v>348.38709677419359</v>
      </c>
      <c r="AB25" s="522"/>
      <c r="AC25" s="608"/>
    </row>
    <row r="26" spans="1:32" s="644" customFormat="1">
      <c r="A26" s="536" t="s">
        <v>244</v>
      </c>
      <c r="B26" s="639" t="s">
        <v>45</v>
      </c>
      <c r="C26" s="640"/>
      <c r="D26" s="641">
        <f>D28*24*D5</f>
        <v>0</v>
      </c>
      <c r="E26" s="641">
        <f t="shared" ref="E26:Z26" si="23">E28*24*E5</f>
        <v>5040</v>
      </c>
      <c r="F26" s="641">
        <f t="shared" si="23"/>
        <v>5760</v>
      </c>
      <c r="G26" s="641">
        <f t="shared" si="23"/>
        <v>11160.000000000002</v>
      </c>
      <c r="H26" s="641">
        <f>H28*24*H5</f>
        <v>11663.999999999998</v>
      </c>
      <c r="I26" s="641">
        <f t="shared" si="23"/>
        <v>8018.1260091102831</v>
      </c>
      <c r="J26" s="641">
        <f>J28*24*J5</f>
        <v>10529.650266699613</v>
      </c>
      <c r="K26" s="641">
        <f t="shared" si="23"/>
        <v>9694.8150363312634</v>
      </c>
      <c r="L26" s="641">
        <f t="shared" si="23"/>
        <v>9064.2201409036916</v>
      </c>
      <c r="M26" s="641">
        <f t="shared" si="23"/>
        <v>9735.0912763342276</v>
      </c>
      <c r="N26" s="641">
        <f t="shared" si="23"/>
        <v>9961.8351300194954</v>
      </c>
      <c r="O26" s="641">
        <f t="shared" si="23"/>
        <v>10291.063783433705</v>
      </c>
      <c r="P26" s="641">
        <f t="shared" si="23"/>
        <v>8986.4778652802215</v>
      </c>
      <c r="Q26" s="641">
        <f t="shared" si="23"/>
        <v>9933.0783546142702</v>
      </c>
      <c r="R26" s="641">
        <f t="shared" si="23"/>
        <v>9589.408823304535</v>
      </c>
      <c r="S26" s="641">
        <f t="shared" si="23"/>
        <v>7145.0804801590357</v>
      </c>
      <c r="T26" s="641">
        <f t="shared" si="23"/>
        <v>8657.852741035249</v>
      </c>
      <c r="U26" s="641">
        <f t="shared" si="23"/>
        <v>8946.4478324030897</v>
      </c>
      <c r="V26" s="641">
        <f t="shared" si="23"/>
        <v>8481.6227540331838</v>
      </c>
      <c r="W26" s="641">
        <f t="shared" si="23"/>
        <v>9446.0185029436525</v>
      </c>
      <c r="X26" s="641">
        <f t="shared" si="23"/>
        <v>9760.8857863751091</v>
      </c>
      <c r="Y26" s="641">
        <f t="shared" si="23"/>
        <v>9483.2956648061809</v>
      </c>
      <c r="Z26" s="641">
        <f t="shared" si="23"/>
        <v>8669.2122333511761</v>
      </c>
      <c r="AA26" s="641">
        <f t="shared" ref="AA26" si="24">AA28*24*AA5</f>
        <v>8669.2122333511761</v>
      </c>
      <c r="AB26" s="642"/>
      <c r="AC26" s="643">
        <f>SUM(C26:N26)</f>
        <v>90627.737859398563</v>
      </c>
    </row>
    <row r="27" spans="1:32">
      <c r="A27" s="517" t="s">
        <v>244</v>
      </c>
      <c r="B27" s="597" t="s">
        <v>44</v>
      </c>
      <c r="C27" s="598"/>
      <c r="D27" s="599">
        <f>D26/10^3</f>
        <v>0</v>
      </c>
      <c r="E27" s="599">
        <f t="shared" ref="E27:Z27" si="25">E26/10^3</f>
        <v>5.04</v>
      </c>
      <c r="F27" s="599">
        <f t="shared" si="25"/>
        <v>5.76</v>
      </c>
      <c r="G27" s="599">
        <f t="shared" si="25"/>
        <v>11.160000000000002</v>
      </c>
      <c r="H27" s="599">
        <f t="shared" si="25"/>
        <v>11.663999999999998</v>
      </c>
      <c r="I27" s="599">
        <f t="shared" si="25"/>
        <v>8.0181260091102828</v>
      </c>
      <c r="J27" s="599">
        <f t="shared" si="25"/>
        <v>10.529650266699614</v>
      </c>
      <c r="K27" s="599">
        <f t="shared" si="25"/>
        <v>9.6948150363312635</v>
      </c>
      <c r="L27" s="599">
        <f t="shared" si="25"/>
        <v>9.0642201409036911</v>
      </c>
      <c r="M27" s="599">
        <f t="shared" si="25"/>
        <v>9.7350912763342272</v>
      </c>
      <c r="N27" s="599">
        <f t="shared" si="25"/>
        <v>9.9618351300194963</v>
      </c>
      <c r="O27" s="599">
        <f t="shared" si="25"/>
        <v>10.291063783433705</v>
      </c>
      <c r="P27" s="599">
        <f t="shared" si="25"/>
        <v>8.9864778652802215</v>
      </c>
      <c r="Q27" s="599">
        <f t="shared" si="25"/>
        <v>9.9330783546142705</v>
      </c>
      <c r="R27" s="599">
        <f t="shared" si="25"/>
        <v>9.5894088233045345</v>
      </c>
      <c r="S27" s="599">
        <f t="shared" si="25"/>
        <v>7.1450804801590353</v>
      </c>
      <c r="T27" s="599">
        <f t="shared" si="25"/>
        <v>8.6578527410352493</v>
      </c>
      <c r="U27" s="599">
        <f t="shared" si="25"/>
        <v>8.9464478324030896</v>
      </c>
      <c r="V27" s="599">
        <f t="shared" si="25"/>
        <v>8.4816227540331841</v>
      </c>
      <c r="W27" s="599">
        <f t="shared" si="25"/>
        <v>9.4460185029436516</v>
      </c>
      <c r="X27" s="599">
        <f t="shared" si="25"/>
        <v>9.7608857863751091</v>
      </c>
      <c r="Y27" s="599">
        <f t="shared" si="25"/>
        <v>9.4832956648061817</v>
      </c>
      <c r="Z27" s="599">
        <f t="shared" si="25"/>
        <v>8.6692122333511765</v>
      </c>
      <c r="AA27" s="599">
        <f t="shared" ref="AA27" si="26">AA26/10^3</f>
        <v>8.6692122333511765</v>
      </c>
      <c r="AB27" s="522"/>
      <c r="AC27" s="608"/>
    </row>
    <row r="28" spans="1:32">
      <c r="A28" s="499" t="s">
        <v>244</v>
      </c>
      <c r="B28" s="511" t="s">
        <v>237</v>
      </c>
      <c r="C28" s="594"/>
      <c r="D28" s="595">
        <f>D24</f>
        <v>0</v>
      </c>
      <c r="E28" s="595">
        <f t="shared" ref="E28:G28" si="27">E24</f>
        <v>6.774193548387097</v>
      </c>
      <c r="F28" s="595">
        <f t="shared" si="27"/>
        <v>8</v>
      </c>
      <c r="G28" s="595">
        <f t="shared" si="27"/>
        <v>15.000000000000002</v>
      </c>
      <c r="H28" s="595">
        <f>H24</f>
        <v>16.2</v>
      </c>
      <c r="I28" s="595">
        <f>I24+I19</f>
        <v>10.777051087513822</v>
      </c>
      <c r="J28" s="595">
        <f t="shared" ref="J28:Z28" si="28">J24+J19</f>
        <v>14.152755734811308</v>
      </c>
      <c r="K28" s="595">
        <f t="shared" si="28"/>
        <v>13.465020883793422</v>
      </c>
      <c r="L28" s="595">
        <f>L24+L19</f>
        <v>12.183091587236143</v>
      </c>
      <c r="M28" s="595">
        <f t="shared" si="28"/>
        <v>13.520960106019759</v>
      </c>
      <c r="N28" s="595">
        <f t="shared" si="28"/>
        <v>13.389563346800395</v>
      </c>
      <c r="O28" s="595">
        <f t="shared" si="28"/>
        <v>13.832074977733475</v>
      </c>
      <c r="P28" s="595">
        <f t="shared" si="28"/>
        <v>13.372734918571759</v>
      </c>
      <c r="Q28" s="595">
        <f t="shared" si="28"/>
        <v>13.350911766954665</v>
      </c>
      <c r="R28" s="595">
        <f t="shared" si="28"/>
        <v>13.318623365700743</v>
      </c>
      <c r="S28" s="595">
        <f t="shared" si="28"/>
        <v>9.603602795912682</v>
      </c>
      <c r="T28" s="595">
        <f t="shared" si="28"/>
        <v>12.024795473660067</v>
      </c>
      <c r="U28" s="595">
        <f t="shared" si="28"/>
        <v>12.024795473660065</v>
      </c>
      <c r="V28" s="595">
        <f t="shared" si="28"/>
        <v>11.400030583377937</v>
      </c>
      <c r="W28" s="595">
        <f t="shared" si="28"/>
        <v>13.119470142977294</v>
      </c>
      <c r="X28" s="595">
        <f t="shared" si="28"/>
        <v>13.119470142977296</v>
      </c>
      <c r="Y28" s="595">
        <f t="shared" si="28"/>
        <v>13.171243978897476</v>
      </c>
      <c r="Z28" s="595">
        <f t="shared" si="28"/>
        <v>11.652166980310719</v>
      </c>
      <c r="AA28" s="595">
        <f t="shared" ref="AA28" si="29">AA24+AA19</f>
        <v>11.652166980310719</v>
      </c>
      <c r="AB28" s="522"/>
      <c r="AC28" s="608"/>
    </row>
    <row r="29" spans="1:32">
      <c r="A29" s="499" t="s">
        <v>244</v>
      </c>
      <c r="B29" s="511" t="s">
        <v>249</v>
      </c>
      <c r="C29" s="622">
        <f>C28*24</f>
        <v>0</v>
      </c>
      <c r="D29" s="622">
        <f>D28*24</f>
        <v>0</v>
      </c>
      <c r="E29" s="622">
        <f t="shared" ref="E29:Z29" si="30">E28*24</f>
        <v>162.58064516129033</v>
      </c>
      <c r="F29" s="622">
        <f t="shared" si="30"/>
        <v>192</v>
      </c>
      <c r="G29" s="622">
        <f t="shared" si="30"/>
        <v>360.00000000000006</v>
      </c>
      <c r="H29" s="622">
        <f t="shared" si="30"/>
        <v>388.79999999999995</v>
      </c>
      <c r="I29" s="622">
        <f t="shared" si="30"/>
        <v>258.6492261003317</v>
      </c>
      <c r="J29" s="622">
        <f t="shared" si="30"/>
        <v>339.66613763547139</v>
      </c>
      <c r="K29" s="622">
        <f t="shared" si="30"/>
        <v>323.16050121104212</v>
      </c>
      <c r="L29" s="622">
        <f t="shared" si="30"/>
        <v>292.39419809366746</v>
      </c>
      <c r="M29" s="622">
        <f t="shared" si="30"/>
        <v>324.50304254447423</v>
      </c>
      <c r="N29" s="622">
        <f t="shared" si="30"/>
        <v>321.3495203232095</v>
      </c>
      <c r="O29" s="622">
        <f t="shared" si="30"/>
        <v>331.96979946560339</v>
      </c>
      <c r="P29" s="622">
        <f t="shared" si="30"/>
        <v>320.94563804572221</v>
      </c>
      <c r="Q29" s="622">
        <f t="shared" si="30"/>
        <v>320.42188240691195</v>
      </c>
      <c r="R29" s="622">
        <f t="shared" si="30"/>
        <v>319.64696077681782</v>
      </c>
      <c r="S29" s="622">
        <f t="shared" si="30"/>
        <v>230.48646710190437</v>
      </c>
      <c r="T29" s="622">
        <f t="shared" si="30"/>
        <v>288.59509136784163</v>
      </c>
      <c r="U29" s="622">
        <f t="shared" si="30"/>
        <v>288.59509136784158</v>
      </c>
      <c r="V29" s="622">
        <f t="shared" si="30"/>
        <v>273.60073400107046</v>
      </c>
      <c r="W29" s="622">
        <f t="shared" si="30"/>
        <v>314.86728343145506</v>
      </c>
      <c r="X29" s="622">
        <f t="shared" si="30"/>
        <v>314.86728343145512</v>
      </c>
      <c r="Y29" s="622">
        <f t="shared" si="30"/>
        <v>316.10985549353938</v>
      </c>
      <c r="Z29" s="622">
        <f t="shared" si="30"/>
        <v>279.65200752745727</v>
      </c>
      <c r="AA29" s="622">
        <f t="shared" ref="AA29" si="31">AA28*24</f>
        <v>279.65200752745727</v>
      </c>
      <c r="AB29" s="522"/>
      <c r="AC29" s="608"/>
    </row>
    <row r="30" spans="1:32">
      <c r="A30" s="499"/>
      <c r="B30" s="511"/>
      <c r="C30" s="594"/>
      <c r="D30" s="595"/>
      <c r="E30" s="595"/>
      <c r="F30" s="595"/>
      <c r="G30" s="595"/>
      <c r="H30" s="595"/>
      <c r="I30" s="595"/>
      <c r="J30" s="595"/>
      <c r="K30" s="595"/>
      <c r="L30" s="595"/>
      <c r="M30" s="595"/>
      <c r="N30" s="595"/>
      <c r="O30" s="595"/>
      <c r="P30" s="595"/>
      <c r="Q30" s="595"/>
      <c r="R30" s="595"/>
      <c r="S30" s="595"/>
      <c r="T30" s="595"/>
      <c r="U30" s="595"/>
      <c r="V30" s="595"/>
      <c r="W30" s="595"/>
      <c r="X30" s="595"/>
      <c r="Y30" s="595"/>
      <c r="Z30" s="595"/>
      <c r="AA30" s="595"/>
      <c r="AB30" s="522"/>
      <c r="AC30" s="608"/>
    </row>
    <row r="31" spans="1:32">
      <c r="A31" s="501" t="s">
        <v>241</v>
      </c>
      <c r="B31" s="501" t="s">
        <v>72</v>
      </c>
      <c r="C31" s="502">
        <f>C12</f>
        <v>0</v>
      </c>
      <c r="D31" s="502">
        <f>D6</f>
        <v>44229</v>
      </c>
      <c r="E31" s="502">
        <f t="shared" ref="E31:Z31" si="32">E6</f>
        <v>44257</v>
      </c>
      <c r="F31" s="502">
        <f t="shared" si="32"/>
        <v>44288</v>
      </c>
      <c r="G31" s="502">
        <f t="shared" si="32"/>
        <v>44318</v>
      </c>
      <c r="H31" s="502">
        <f t="shared" si="32"/>
        <v>44349</v>
      </c>
      <c r="I31" s="502">
        <f t="shared" si="32"/>
        <v>44379</v>
      </c>
      <c r="J31" s="502">
        <f t="shared" si="32"/>
        <v>44410</v>
      </c>
      <c r="K31" s="502">
        <f t="shared" si="32"/>
        <v>44441</v>
      </c>
      <c r="L31" s="503">
        <f t="shared" si="32"/>
        <v>44471</v>
      </c>
      <c r="M31" s="503">
        <f t="shared" si="32"/>
        <v>44502</v>
      </c>
      <c r="N31" s="503">
        <f t="shared" si="32"/>
        <v>44532</v>
      </c>
      <c r="O31" s="503">
        <f t="shared" si="32"/>
        <v>44563</v>
      </c>
      <c r="P31" s="503">
        <f t="shared" si="32"/>
        <v>44594</v>
      </c>
      <c r="Q31" s="503">
        <f t="shared" si="32"/>
        <v>44622</v>
      </c>
      <c r="R31" s="503">
        <f t="shared" si="32"/>
        <v>44653</v>
      </c>
      <c r="S31" s="503">
        <f t="shared" si="32"/>
        <v>44683</v>
      </c>
      <c r="T31" s="503">
        <f t="shared" si="32"/>
        <v>44714</v>
      </c>
      <c r="U31" s="503">
        <f t="shared" si="32"/>
        <v>44744</v>
      </c>
      <c r="V31" s="503">
        <f t="shared" si="32"/>
        <v>44775</v>
      </c>
      <c r="W31" s="503">
        <f t="shared" si="32"/>
        <v>44806</v>
      </c>
      <c r="X31" s="503">
        <f t="shared" si="32"/>
        <v>44836</v>
      </c>
      <c r="Y31" s="503">
        <f t="shared" si="32"/>
        <v>44867</v>
      </c>
      <c r="Z31" s="503">
        <f t="shared" si="32"/>
        <v>44897</v>
      </c>
      <c r="AA31" s="503">
        <f t="shared" ref="AA31" si="33">AA6</f>
        <v>44928</v>
      </c>
      <c r="AB31" s="522"/>
      <c r="AC31" s="608"/>
    </row>
    <row r="32" spans="1:32">
      <c r="A32" s="602" t="s">
        <v>245</v>
      </c>
      <c r="B32" s="593" t="s">
        <v>45</v>
      </c>
      <c r="C32" s="623"/>
      <c r="D32" s="624">
        <f>D37*24*D5</f>
        <v>43424.83738256478</v>
      </c>
      <c r="E32" s="624">
        <f t="shared" ref="E32:Z32" si="34">E37*24*E5</f>
        <v>44808</v>
      </c>
      <c r="F32" s="624">
        <f t="shared" si="34"/>
        <v>39694.103448275862</v>
      </c>
      <c r="G32" s="624">
        <f t="shared" si="34"/>
        <v>37315.999999999993</v>
      </c>
      <c r="H32" s="624">
        <f>H37*24*H5</f>
        <v>35689.999999999993</v>
      </c>
      <c r="I32" s="707">
        <f>I37*24*I5</f>
        <v>39294.115293820854</v>
      </c>
      <c r="J32" s="624">
        <f t="shared" si="34"/>
        <v>35158.901457438289</v>
      </c>
      <c r="K32" s="707">
        <f>K37*24*K5</f>
        <v>36557.426342979088</v>
      </c>
      <c r="L32" s="624">
        <f>L37*24*L5</f>
        <v>38970.779859096307</v>
      </c>
      <c r="M32" s="624">
        <f t="shared" si="34"/>
        <v>33699.784526662763</v>
      </c>
      <c r="N32" s="710">
        <f t="shared" si="34"/>
        <v>36534.371766532233</v>
      </c>
      <c r="O32" s="624">
        <f t="shared" si="34"/>
        <v>35890.315526911138</v>
      </c>
      <c r="P32" s="624">
        <f t="shared" si="34"/>
        <v>24903.177307133567</v>
      </c>
      <c r="Q32" s="624">
        <f t="shared" si="34"/>
        <v>33424.163024696092</v>
      </c>
      <c r="R32" s="624">
        <f t="shared" si="34"/>
        <v>33983.004969798938</v>
      </c>
      <c r="S32" s="624">
        <f t="shared" si="34"/>
        <v>31316.988485358186</v>
      </c>
      <c r="T32" s="624">
        <f t="shared" si="34"/>
        <v>20390.423121033691</v>
      </c>
      <c r="U32" s="624">
        <f t="shared" si="34"/>
        <v>21070.103891734816</v>
      </c>
      <c r="V32" s="624">
        <f t="shared" si="34"/>
        <v>20701.135866656448</v>
      </c>
      <c r="W32" s="624">
        <f t="shared" si="34"/>
        <v>36547.084945332208</v>
      </c>
      <c r="X32" s="624">
        <f t="shared" si="34"/>
        <v>37765.321110176621</v>
      </c>
      <c r="Y32" s="624">
        <f t="shared" si="34"/>
        <v>36509.807783469674</v>
      </c>
      <c r="Z32" s="624">
        <f t="shared" si="34"/>
        <v>30260.442939062617</v>
      </c>
      <c r="AA32" s="624">
        <f t="shared" ref="AA32" si="35">AA37*24*AA5</f>
        <v>30260.442939062617</v>
      </c>
      <c r="AB32" s="859" t="s">
        <v>369</v>
      </c>
      <c r="AC32" s="859"/>
    </row>
    <row r="33" spans="1:29">
      <c r="A33" s="602" t="s">
        <v>246</v>
      </c>
      <c r="B33" s="593" t="s">
        <v>45</v>
      </c>
      <c r="C33" s="623"/>
      <c r="D33" s="624">
        <f>D38*24*D5</f>
        <v>138815.95722171455</v>
      </c>
      <c r="E33" s="624">
        <f t="shared" ref="E33:Z33" si="36">E38*24*E5</f>
        <v>154082.8021064302</v>
      </c>
      <c r="F33" s="624">
        <f t="shared" si="36"/>
        <v>138925.59090909088</v>
      </c>
      <c r="G33" s="624">
        <f t="shared" si="36"/>
        <v>155138.00000000006</v>
      </c>
      <c r="H33" s="624">
        <f t="shared" si="36"/>
        <v>148908</v>
      </c>
      <c r="I33" s="624">
        <f>I38*24*I5</f>
        <v>99686.735530757374</v>
      </c>
      <c r="J33" s="624">
        <f t="shared" si="36"/>
        <v>147355.03649868831</v>
      </c>
      <c r="K33" s="624">
        <f>K38*24*K5</f>
        <v>131486.03428676279</v>
      </c>
      <c r="L33" s="624">
        <f>L38*24*L5</f>
        <v>118142.36924990096</v>
      </c>
      <c r="M33" s="624">
        <f t="shared" si="36"/>
        <v>135041.79759646379</v>
      </c>
      <c r="N33" s="710">
        <f t="shared" si="36"/>
        <v>136137.43715380563</v>
      </c>
      <c r="O33" s="624">
        <f t="shared" si="36"/>
        <v>142488.12338593972</v>
      </c>
      <c r="P33" s="624">
        <f t="shared" si="36"/>
        <v>130862.43902439027</v>
      </c>
      <c r="Q33" s="624">
        <f t="shared" si="36"/>
        <v>138749.19512195123</v>
      </c>
      <c r="R33" s="624">
        <f t="shared" si="36"/>
        <v>132233.41463414632</v>
      </c>
      <c r="S33" s="624">
        <f t="shared" si="36"/>
        <v>92531.073170731732</v>
      </c>
      <c r="T33" s="624">
        <f t="shared" si="36"/>
        <v>129679.02439024391</v>
      </c>
      <c r="U33" s="624">
        <f t="shared" si="36"/>
        <v>134001.65853658534</v>
      </c>
      <c r="V33" s="624">
        <f t="shared" si="36"/>
        <v>126313.6585365854</v>
      </c>
      <c r="W33" s="624">
        <f t="shared" si="36"/>
        <v>127183.9024390244</v>
      </c>
      <c r="X33" s="624">
        <f t="shared" si="36"/>
        <v>131423.36585365856</v>
      </c>
      <c r="Y33" s="624">
        <f t="shared" si="36"/>
        <v>127867.31707317078</v>
      </c>
      <c r="Z33" s="624">
        <f t="shared" si="36"/>
        <v>126605.9024390244</v>
      </c>
      <c r="AA33" s="624">
        <f t="shared" ref="AA33" si="37">AA38*24*AA5</f>
        <v>126605.9024390244</v>
      </c>
      <c r="AB33" s="522"/>
      <c r="AC33" s="608"/>
    </row>
    <row r="34" spans="1:29">
      <c r="A34" s="602" t="s">
        <v>269</v>
      </c>
      <c r="B34" s="626" t="s">
        <v>45</v>
      </c>
      <c r="C34" s="623"/>
      <c r="D34" s="624"/>
      <c r="E34" s="625">
        <f>E32+E33</f>
        <v>198890.8021064302</v>
      </c>
      <c r="F34" s="625">
        <f t="shared" ref="F34:Z34" si="38">F32+F33</f>
        <v>178619.69435736674</v>
      </c>
      <c r="G34" s="625">
        <f t="shared" si="38"/>
        <v>192454.00000000006</v>
      </c>
      <c r="H34" s="625">
        <f t="shared" si="38"/>
        <v>184598</v>
      </c>
      <c r="I34" s="625">
        <f>I32+I33</f>
        <v>138980.85082457823</v>
      </c>
      <c r="J34" s="625">
        <f t="shared" si="38"/>
        <v>182513.93795612658</v>
      </c>
      <c r="K34" s="625">
        <f t="shared" si="38"/>
        <v>168043.46062974189</v>
      </c>
      <c r="L34" s="625">
        <f>L32+L33</f>
        <v>157113.14910899726</v>
      </c>
      <c r="M34" s="625">
        <f t="shared" si="38"/>
        <v>168741.58212312654</v>
      </c>
      <c r="N34" s="625">
        <f t="shared" si="38"/>
        <v>172671.80892033788</v>
      </c>
      <c r="O34" s="625">
        <f t="shared" si="38"/>
        <v>178378.43891285086</v>
      </c>
      <c r="P34" s="625">
        <f t="shared" si="38"/>
        <v>155765.61633152384</v>
      </c>
      <c r="Q34" s="625">
        <f t="shared" si="38"/>
        <v>172173.35814664731</v>
      </c>
      <c r="R34" s="625">
        <f t="shared" si="38"/>
        <v>166216.41960394525</v>
      </c>
      <c r="S34" s="625">
        <f t="shared" si="38"/>
        <v>123848.06165608992</v>
      </c>
      <c r="T34" s="625">
        <f t="shared" si="38"/>
        <v>150069.4475112776</v>
      </c>
      <c r="U34" s="625">
        <f t="shared" si="38"/>
        <v>155071.76242832016</v>
      </c>
      <c r="V34" s="625">
        <f t="shared" si="38"/>
        <v>147014.79440324183</v>
      </c>
      <c r="W34" s="625">
        <f t="shared" si="38"/>
        <v>163730.98738435662</v>
      </c>
      <c r="X34" s="625">
        <f t="shared" si="38"/>
        <v>169188.68696383518</v>
      </c>
      <c r="Y34" s="625">
        <f t="shared" si="38"/>
        <v>164377.12485664047</v>
      </c>
      <c r="Z34" s="625">
        <f t="shared" si="38"/>
        <v>156866.34537808702</v>
      </c>
      <c r="AA34" s="625">
        <f t="shared" ref="AA34" si="39">AA32+AA33</f>
        <v>156866.34537808702</v>
      </c>
      <c r="AB34" s="522">
        <v>160000</v>
      </c>
      <c r="AC34" s="522">
        <v>160000</v>
      </c>
    </row>
    <row r="35" spans="1:29">
      <c r="A35" s="517" t="s">
        <v>245</v>
      </c>
      <c r="B35" s="597" t="s">
        <v>44</v>
      </c>
      <c r="C35" s="598"/>
      <c r="D35" s="603">
        <f t="shared" ref="D35:Z36" si="40">D32/1000</f>
        <v>43.424837382564782</v>
      </c>
      <c r="E35" s="603">
        <f t="shared" si="40"/>
        <v>44.808</v>
      </c>
      <c r="F35" s="603">
        <f t="shared" si="40"/>
        <v>39.694103448275861</v>
      </c>
      <c r="G35" s="603">
        <f t="shared" si="40"/>
        <v>37.315999999999995</v>
      </c>
      <c r="H35" s="603">
        <f t="shared" si="40"/>
        <v>35.689999999999991</v>
      </c>
      <c r="I35" s="603">
        <f t="shared" si="40"/>
        <v>39.294115293820852</v>
      </c>
      <c r="J35" s="603">
        <f t="shared" si="40"/>
        <v>35.15890145743829</v>
      </c>
      <c r="K35" s="603">
        <f t="shared" si="40"/>
        <v>36.557426342979085</v>
      </c>
      <c r="L35" s="603">
        <f>L32/1000</f>
        <v>38.970779859096304</v>
      </c>
      <c r="M35" s="603">
        <f t="shared" si="40"/>
        <v>33.699784526662761</v>
      </c>
      <c r="N35" s="603">
        <f t="shared" si="40"/>
        <v>36.534371766532232</v>
      </c>
      <c r="O35" s="603">
        <f t="shared" si="40"/>
        <v>35.890315526911138</v>
      </c>
      <c r="P35" s="603">
        <f t="shared" si="40"/>
        <v>24.903177307133568</v>
      </c>
      <c r="Q35" s="603">
        <f t="shared" si="40"/>
        <v>33.424163024696092</v>
      </c>
      <c r="R35" s="603">
        <f t="shared" si="40"/>
        <v>33.983004969798941</v>
      </c>
      <c r="S35" s="603">
        <f t="shared" si="40"/>
        <v>31.316988485358188</v>
      </c>
      <c r="T35" s="603">
        <f t="shared" si="40"/>
        <v>20.390423121033692</v>
      </c>
      <c r="U35" s="603">
        <f t="shared" si="40"/>
        <v>21.070103891734817</v>
      </c>
      <c r="V35" s="603">
        <f t="shared" si="40"/>
        <v>20.701135866656447</v>
      </c>
      <c r="W35" s="603">
        <f t="shared" si="40"/>
        <v>36.547084945332209</v>
      </c>
      <c r="X35" s="603">
        <f t="shared" si="40"/>
        <v>37.765321110176622</v>
      </c>
      <c r="Y35" s="603">
        <f t="shared" si="40"/>
        <v>36.509807783469675</v>
      </c>
      <c r="Z35" s="603">
        <f t="shared" si="40"/>
        <v>30.260442939062617</v>
      </c>
      <c r="AA35" s="603">
        <f t="shared" ref="AA35" si="41">AA32/1000</f>
        <v>30.260442939062617</v>
      </c>
      <c r="AB35" s="522"/>
      <c r="AC35" s="801">
        <f>200-13</f>
        <v>187</v>
      </c>
    </row>
    <row r="36" spans="1:29">
      <c r="A36" s="517" t="s">
        <v>246</v>
      </c>
      <c r="B36" s="597" t="s">
        <v>44</v>
      </c>
      <c r="D36" s="592">
        <f t="shared" si="40"/>
        <v>138.81595722171454</v>
      </c>
      <c r="E36" s="592">
        <f t="shared" si="40"/>
        <v>154.08280210643019</v>
      </c>
      <c r="F36" s="592">
        <f t="shared" si="40"/>
        <v>138.92559090909089</v>
      </c>
      <c r="G36" s="592">
        <f t="shared" si="40"/>
        <v>155.13800000000006</v>
      </c>
      <c r="H36" s="592">
        <f t="shared" si="40"/>
        <v>148.90799999999999</v>
      </c>
      <c r="I36" s="592">
        <f t="shared" si="40"/>
        <v>99.686735530757375</v>
      </c>
      <c r="J36" s="592">
        <f t="shared" si="40"/>
        <v>147.35503649868832</v>
      </c>
      <c r="K36" s="592">
        <f t="shared" si="40"/>
        <v>131.48603428676279</v>
      </c>
      <c r="L36" s="592">
        <f t="shared" si="40"/>
        <v>118.14236924990097</v>
      </c>
      <c r="M36" s="592">
        <f t="shared" si="40"/>
        <v>135.04179759646379</v>
      </c>
      <c r="N36" s="592">
        <f t="shared" si="40"/>
        <v>136.13743715380562</v>
      </c>
      <c r="O36" s="592">
        <f t="shared" si="40"/>
        <v>142.48812338593973</v>
      </c>
      <c r="P36" s="592">
        <f t="shared" si="40"/>
        <v>130.86243902439028</v>
      </c>
      <c r="Q36" s="592">
        <f t="shared" si="40"/>
        <v>138.74919512195123</v>
      </c>
      <c r="R36" s="592">
        <f t="shared" si="40"/>
        <v>132.23341463414633</v>
      </c>
      <c r="S36" s="592">
        <f t="shared" si="40"/>
        <v>92.53107317073173</v>
      </c>
      <c r="T36" s="592">
        <f t="shared" si="40"/>
        <v>129.67902439024391</v>
      </c>
      <c r="U36" s="592">
        <f t="shared" si="40"/>
        <v>134.00165853658535</v>
      </c>
      <c r="V36" s="592">
        <f t="shared" si="40"/>
        <v>126.31365853658539</v>
      </c>
      <c r="W36" s="592">
        <f t="shared" si="40"/>
        <v>127.18390243902441</v>
      </c>
      <c r="X36" s="592">
        <f t="shared" si="40"/>
        <v>131.42336585365857</v>
      </c>
      <c r="Y36" s="592">
        <f t="shared" si="40"/>
        <v>127.86731707317078</v>
      </c>
      <c r="Z36" s="592">
        <f t="shared" si="40"/>
        <v>126.6059024390244</v>
      </c>
      <c r="AA36" s="592">
        <f t="shared" ref="AA36" si="42">AA33/1000</f>
        <v>126.6059024390244</v>
      </c>
      <c r="AB36" s="522"/>
      <c r="AC36" s="213"/>
    </row>
    <row r="37" spans="1:29">
      <c r="A37" s="602" t="s">
        <v>245</v>
      </c>
      <c r="B37" s="593" t="s">
        <v>237</v>
      </c>
      <c r="C37" s="518"/>
      <c r="D37" s="591">
        <f t="shared" ref="D37:Z37" si="43">D10-D28</f>
        <v>64.620293724054733</v>
      </c>
      <c r="E37" s="591">
        <f t="shared" si="43"/>
        <v>60.225806451612904</v>
      </c>
      <c r="F37" s="591">
        <f t="shared" si="43"/>
        <v>55.130699233716477</v>
      </c>
      <c r="G37" s="591">
        <f t="shared" si="43"/>
        <v>50.15591397849461</v>
      </c>
      <c r="H37" s="591">
        <f>H10-H28</f>
        <v>49.569444444444443</v>
      </c>
      <c r="I37" s="591">
        <f>I10-I28</f>
        <v>52.814671093845234</v>
      </c>
      <c r="J37" s="591">
        <f t="shared" si="43"/>
        <v>47.25658798042781</v>
      </c>
      <c r="K37" s="591">
        <f t="shared" si="43"/>
        <v>50.774203254137625</v>
      </c>
      <c r="L37" s="591">
        <f>L10-L28</f>
        <v>52.38008045577461</v>
      </c>
      <c r="M37" s="591">
        <f t="shared" si="43"/>
        <v>46.805256287031618</v>
      </c>
      <c r="N37" s="591">
        <f t="shared" si="43"/>
        <v>49.105338395876657</v>
      </c>
      <c r="O37" s="591">
        <f t="shared" si="43"/>
        <v>48.239671407138623</v>
      </c>
      <c r="P37" s="591">
        <f t="shared" si="43"/>
        <v>37.058299564186854</v>
      </c>
      <c r="Q37" s="591">
        <f t="shared" si="43"/>
        <v>44.924950302010878</v>
      </c>
      <c r="R37" s="591">
        <f t="shared" si="43"/>
        <v>47.198618013609632</v>
      </c>
      <c r="S37" s="591">
        <f t="shared" si="43"/>
        <v>42.092726458814766</v>
      </c>
      <c r="T37" s="591">
        <f t="shared" si="43"/>
        <v>28.320032112546794</v>
      </c>
      <c r="U37" s="591">
        <f t="shared" si="43"/>
        <v>28.320032112546798</v>
      </c>
      <c r="V37" s="591">
        <f t="shared" si="43"/>
        <v>27.824107347656518</v>
      </c>
      <c r="W37" s="591">
        <f t="shared" si="43"/>
        <v>50.759840201850288</v>
      </c>
      <c r="X37" s="591">
        <f t="shared" si="43"/>
        <v>50.759840201850295</v>
      </c>
      <c r="Y37" s="591">
        <f t="shared" si="43"/>
        <v>50.708066365930108</v>
      </c>
      <c r="Z37" s="591">
        <f t="shared" si="43"/>
        <v>40.672638358955133</v>
      </c>
      <c r="AA37" s="591">
        <f t="shared" ref="AA37" si="44">AA10-AA28</f>
        <v>40.672638358955133</v>
      </c>
      <c r="AB37" s="522"/>
      <c r="AC37" s="213"/>
    </row>
    <row r="38" spans="1:29">
      <c r="A38" s="602" t="s">
        <v>246</v>
      </c>
      <c r="B38" s="593" t="s">
        <v>237</v>
      </c>
      <c r="C38" s="518"/>
      <c r="D38" s="591">
        <f>D8-D10</f>
        <v>206.57136491326568</v>
      </c>
      <c r="E38" s="591">
        <f t="shared" ref="E38:Z38" si="45">E8-E10</f>
        <v>207.10054046563198</v>
      </c>
      <c r="F38" s="591">
        <f t="shared" si="45"/>
        <v>192.95220959595957</v>
      </c>
      <c r="G38" s="591">
        <f t="shared" si="45"/>
        <v>208.51881720430111</v>
      </c>
      <c r="H38" s="591">
        <f t="shared" si="45"/>
        <v>206.81666666666666</v>
      </c>
      <c r="I38" s="591">
        <f t="shared" si="45"/>
        <v>133.98754775639432</v>
      </c>
      <c r="J38" s="591">
        <f t="shared" si="45"/>
        <v>198.05784475630151</v>
      </c>
      <c r="K38" s="591">
        <f t="shared" si="45"/>
        <v>182.6194920649483</v>
      </c>
      <c r="L38" s="591">
        <f>L8-L10</f>
        <v>158.7935070563185</v>
      </c>
      <c r="M38" s="591">
        <f t="shared" si="45"/>
        <v>187.55805221731083</v>
      </c>
      <c r="N38" s="591">
        <f t="shared" si="45"/>
        <v>182.98042628199681</v>
      </c>
      <c r="O38" s="591">
        <f t="shared" si="45"/>
        <v>191.51629487357491</v>
      </c>
      <c r="P38" s="591">
        <f t="shared" si="45"/>
        <v>194.73577235772362</v>
      </c>
      <c r="Q38" s="591">
        <f t="shared" si="45"/>
        <v>186.49085365853659</v>
      </c>
      <c r="R38" s="591">
        <f t="shared" si="45"/>
        <v>183.65752032520322</v>
      </c>
      <c r="S38" s="591">
        <f t="shared" si="45"/>
        <v>124.36972200367167</v>
      </c>
      <c r="T38" s="591">
        <f t="shared" si="45"/>
        <v>180.10975609756099</v>
      </c>
      <c r="U38" s="591">
        <f t="shared" si="45"/>
        <v>180.10975609756096</v>
      </c>
      <c r="V38" s="591">
        <f t="shared" si="45"/>
        <v>169.7764227642277</v>
      </c>
      <c r="W38" s="591">
        <f t="shared" si="45"/>
        <v>176.64430894308944</v>
      </c>
      <c r="X38" s="591">
        <f t="shared" si="45"/>
        <v>176.64430894308947</v>
      </c>
      <c r="Y38" s="591">
        <f t="shared" si="45"/>
        <v>177.59349593495944</v>
      </c>
      <c r="Z38" s="591">
        <f t="shared" si="45"/>
        <v>170.16922370836613</v>
      </c>
      <c r="AA38" s="591">
        <f t="shared" ref="AA38" si="46">AA8-AA10</f>
        <v>170.16922370836613</v>
      </c>
      <c r="AB38" s="522"/>
      <c r="AC38" s="213"/>
    </row>
    <row r="39" spans="1:29">
      <c r="A39" s="596" t="s">
        <v>266</v>
      </c>
      <c r="B39" s="597" t="s">
        <v>237</v>
      </c>
      <c r="C39" s="598"/>
      <c r="D39" s="592">
        <f>D37+D38</f>
        <v>271.19165863732042</v>
      </c>
      <c r="E39" s="592">
        <f t="shared" ref="E39:Z39" si="47">E37+E38</f>
        <v>267.3263469172449</v>
      </c>
      <c r="F39" s="592">
        <f t="shared" si="47"/>
        <v>248.08290882967606</v>
      </c>
      <c r="G39" s="592">
        <f t="shared" si="47"/>
        <v>258.67473118279571</v>
      </c>
      <c r="H39" s="592">
        <f t="shared" si="47"/>
        <v>256.38611111111112</v>
      </c>
      <c r="I39" s="592">
        <f t="shared" si="47"/>
        <v>186.80221885023957</v>
      </c>
      <c r="J39" s="592">
        <f t="shared" si="47"/>
        <v>245.31443273672932</v>
      </c>
      <c r="K39" s="592">
        <f t="shared" si="47"/>
        <v>233.39369531908594</v>
      </c>
      <c r="L39" s="592">
        <f t="shared" si="47"/>
        <v>211.17358751209312</v>
      </c>
      <c r="M39" s="592">
        <f t="shared" si="47"/>
        <v>234.36330850434246</v>
      </c>
      <c r="N39" s="592">
        <f t="shared" si="47"/>
        <v>232.08576467787347</v>
      </c>
      <c r="O39" s="592">
        <f t="shared" si="47"/>
        <v>239.75596628071352</v>
      </c>
      <c r="P39" s="592">
        <f t="shared" si="47"/>
        <v>231.79407192191047</v>
      </c>
      <c r="Q39" s="592">
        <f t="shared" si="47"/>
        <v>231.41580396054746</v>
      </c>
      <c r="R39" s="592">
        <f t="shared" si="47"/>
        <v>230.85613833881285</v>
      </c>
      <c r="S39" s="592">
        <f t="shared" si="47"/>
        <v>166.46244846248644</v>
      </c>
      <c r="T39" s="592">
        <f t="shared" si="47"/>
        <v>208.42978821010777</v>
      </c>
      <c r="U39" s="592">
        <f t="shared" si="47"/>
        <v>208.42978821010774</v>
      </c>
      <c r="V39" s="592">
        <f t="shared" si="47"/>
        <v>197.60053011188421</v>
      </c>
      <c r="W39" s="592">
        <f t="shared" si="47"/>
        <v>227.40414914493974</v>
      </c>
      <c r="X39" s="592">
        <f t="shared" si="47"/>
        <v>227.40414914493977</v>
      </c>
      <c r="Y39" s="592">
        <f t="shared" si="47"/>
        <v>228.30156230088954</v>
      </c>
      <c r="Z39" s="592">
        <f t="shared" si="47"/>
        <v>210.84186206732127</v>
      </c>
      <c r="AA39" s="592">
        <f t="shared" ref="AA39" si="48">AA37+AA38</f>
        <v>210.84186206732127</v>
      </c>
      <c r="AB39" s="522"/>
      <c r="AC39" s="213"/>
    </row>
    <row r="40" spans="1:29">
      <c r="A40" s="596"/>
      <c r="B40" s="597"/>
      <c r="C40" s="598"/>
      <c r="D40" s="592"/>
      <c r="E40" s="592"/>
      <c r="F40" s="592"/>
      <c r="G40" s="592"/>
      <c r="H40" s="592"/>
      <c r="I40" s="592"/>
      <c r="J40" s="592"/>
      <c r="K40" s="592"/>
      <c r="L40" s="592"/>
      <c r="M40" s="592"/>
      <c r="N40" s="592"/>
      <c r="O40" s="592"/>
      <c r="P40" s="592"/>
      <c r="Q40" s="592"/>
      <c r="R40" s="592"/>
      <c r="S40" s="592"/>
      <c r="T40" s="592"/>
      <c r="U40" s="592"/>
      <c r="V40" s="592"/>
      <c r="W40" s="592"/>
      <c r="X40" s="592"/>
      <c r="Y40" s="592"/>
      <c r="Z40" s="592"/>
      <c r="AA40" s="592"/>
      <c r="AB40" s="522"/>
      <c r="AC40" s="213"/>
    </row>
    <row r="41" spans="1:29">
      <c r="A41" s="609" t="s">
        <v>267</v>
      </c>
      <c r="B41" s="610" t="s">
        <v>44</v>
      </c>
      <c r="C41" s="598"/>
      <c r="D41" s="599">
        <f>D7-D35-D36-D27</f>
        <v>0</v>
      </c>
      <c r="E41" s="599">
        <f t="shared" ref="E41:Z41" si="49">E7-E35-E36-E27</f>
        <v>-7.9936057773011271E-15</v>
      </c>
      <c r="F41" s="599">
        <f t="shared" si="49"/>
        <v>1.9539925233402755E-14</v>
      </c>
      <c r="G41" s="599">
        <f t="shared" si="49"/>
        <v>-6.2172489379008766E-14</v>
      </c>
      <c r="H41" s="599">
        <f t="shared" si="49"/>
        <v>1.7763568394002505E-14</v>
      </c>
      <c r="I41" s="599">
        <f t="shared" si="49"/>
        <v>0</v>
      </c>
      <c r="J41" s="599">
        <f t="shared" si="49"/>
        <v>0</v>
      </c>
      <c r="K41" s="599">
        <f t="shared" si="49"/>
        <v>1.4210854715202004E-14</v>
      </c>
      <c r="L41" s="599">
        <f t="shared" si="49"/>
        <v>2.3092638912203256E-14</v>
      </c>
      <c r="M41" s="599">
        <f t="shared" si="49"/>
        <v>-2.4868995751603507E-14</v>
      </c>
      <c r="N41" s="599">
        <f t="shared" si="49"/>
        <v>2.6645352591003757E-14</v>
      </c>
      <c r="O41" s="599">
        <f t="shared" si="49"/>
        <v>0</v>
      </c>
      <c r="P41" s="599">
        <f t="shared" si="49"/>
        <v>-2.8421709430404007E-14</v>
      </c>
      <c r="Q41" s="599">
        <f t="shared" si="49"/>
        <v>-1.7763568394002505E-14</v>
      </c>
      <c r="R41" s="599">
        <f t="shared" si="49"/>
        <v>0</v>
      </c>
      <c r="S41" s="599">
        <f t="shared" si="49"/>
        <v>-2.5757174171303632E-14</v>
      </c>
      <c r="T41" s="599">
        <f t="shared" si="49"/>
        <v>0</v>
      </c>
      <c r="U41" s="599">
        <f t="shared" si="49"/>
        <v>0</v>
      </c>
      <c r="V41" s="599">
        <f t="shared" si="49"/>
        <v>0</v>
      </c>
      <c r="W41" s="599">
        <f t="shared" si="49"/>
        <v>-2.1316282072803006E-14</v>
      </c>
      <c r="X41" s="599">
        <f t="shared" si="49"/>
        <v>0</v>
      </c>
      <c r="Y41" s="599">
        <f t="shared" si="49"/>
        <v>0</v>
      </c>
      <c r="Z41" s="599">
        <f t="shared" si="49"/>
        <v>0</v>
      </c>
      <c r="AA41" s="599">
        <f t="shared" ref="AA41" si="50">AA7-AA35-AA36-AA27</f>
        <v>0</v>
      </c>
      <c r="AB41" s="522"/>
      <c r="AC41" s="213"/>
    </row>
    <row r="42" spans="1:29">
      <c r="A42" s="609" t="s">
        <v>268</v>
      </c>
      <c r="B42" s="610" t="s">
        <v>44</v>
      </c>
      <c r="C42" s="598"/>
      <c r="D42" s="599"/>
      <c r="E42" s="592">
        <f>E9-E27-E35</f>
        <v>0</v>
      </c>
      <c r="F42" s="592">
        <f t="shared" ref="F42:Z42" si="51">F9-F27-F35</f>
        <v>0</v>
      </c>
      <c r="G42" s="592">
        <f t="shared" si="51"/>
        <v>0</v>
      </c>
      <c r="H42" s="592">
        <f>H9-H27-H35</f>
        <v>0</v>
      </c>
      <c r="I42" s="592">
        <f t="shared" si="51"/>
        <v>0</v>
      </c>
      <c r="J42" s="592">
        <f t="shared" si="51"/>
        <v>0</v>
      </c>
      <c r="K42" s="592">
        <f t="shared" si="51"/>
        <v>0</v>
      </c>
      <c r="L42" s="592">
        <f t="shared" si="51"/>
        <v>0</v>
      </c>
      <c r="M42" s="592">
        <f t="shared" si="51"/>
        <v>0</v>
      </c>
      <c r="N42" s="592">
        <f t="shared" si="51"/>
        <v>0</v>
      </c>
      <c r="O42" s="592">
        <f t="shared" si="51"/>
        <v>0</v>
      </c>
      <c r="P42" s="592">
        <f t="shared" si="51"/>
        <v>0</v>
      </c>
      <c r="Q42" s="592">
        <f t="shared" si="51"/>
        <v>0</v>
      </c>
      <c r="R42" s="592">
        <f t="shared" si="51"/>
        <v>0</v>
      </c>
      <c r="S42" s="592">
        <f t="shared" si="51"/>
        <v>0</v>
      </c>
      <c r="T42" s="592">
        <f t="shared" si="51"/>
        <v>0</v>
      </c>
      <c r="U42" s="592">
        <f t="shared" si="51"/>
        <v>0</v>
      </c>
      <c r="V42" s="592">
        <f t="shared" si="51"/>
        <v>0</v>
      </c>
      <c r="W42" s="592">
        <f t="shared" si="51"/>
        <v>0</v>
      </c>
      <c r="X42" s="592">
        <f t="shared" si="51"/>
        <v>0</v>
      </c>
      <c r="Y42" s="592">
        <f t="shared" si="51"/>
        <v>0</v>
      </c>
      <c r="Z42" s="592">
        <f t="shared" si="51"/>
        <v>0</v>
      </c>
      <c r="AA42" s="592">
        <f t="shared" ref="AA42" si="52">AA9-AA27-AA35</f>
        <v>0</v>
      </c>
      <c r="AB42" s="522"/>
      <c r="AC42" s="213"/>
    </row>
    <row r="43" spans="1:29">
      <c r="A43" s="596"/>
      <c r="B43" s="597"/>
      <c r="C43" s="598"/>
      <c r="D43" s="599"/>
      <c r="E43" s="592"/>
      <c r="F43" s="592"/>
      <c r="G43" s="592"/>
      <c r="H43" s="592"/>
      <c r="I43" s="592"/>
      <c r="J43" s="592"/>
      <c r="K43" s="592"/>
      <c r="L43" s="592"/>
      <c r="M43" s="592">
        <f>M35+M36</f>
        <v>168.74158212312656</v>
      </c>
      <c r="N43" s="592">
        <f>N35+N36</f>
        <v>172.67180892033787</v>
      </c>
      <c r="O43" s="592"/>
      <c r="P43" s="592"/>
      <c r="Q43" s="592"/>
      <c r="R43" s="592"/>
      <c r="S43" s="592"/>
      <c r="T43" s="592"/>
      <c r="U43" s="592"/>
      <c r="V43" s="592"/>
      <c r="W43" s="592"/>
      <c r="X43" s="592"/>
      <c r="Y43" s="592"/>
      <c r="Z43" s="592"/>
      <c r="AA43" s="592"/>
      <c r="AB43" s="522"/>
      <c r="AC43" s="213"/>
    </row>
    <row r="44" spans="1:29">
      <c r="A44" s="596"/>
      <c r="B44" s="597"/>
      <c r="C44" s="598"/>
      <c r="D44" s="599"/>
      <c r="E44" s="592"/>
      <c r="F44" s="592"/>
      <c r="G44" s="592"/>
      <c r="H44" s="658"/>
      <c r="I44" s="592"/>
      <c r="J44" s="592"/>
      <c r="K44" s="592">
        <v>129536</v>
      </c>
      <c r="L44" s="592"/>
      <c r="M44" s="592"/>
      <c r="N44" s="592"/>
      <c r="O44" s="788">
        <f>15-O28</f>
        <v>1.1679250222665249</v>
      </c>
      <c r="P44" s="592">
        <f>O44*O5*24</f>
        <v>868.93621656629466</v>
      </c>
      <c r="Q44" s="789">
        <f>P44*2</f>
        <v>1737.8724331325893</v>
      </c>
      <c r="R44" s="592"/>
      <c r="S44" s="592"/>
      <c r="T44" s="592"/>
      <c r="U44" s="592"/>
      <c r="V44" s="592"/>
      <c r="W44" s="592"/>
      <c r="X44" s="592"/>
      <c r="Y44" s="592"/>
      <c r="Z44" s="592"/>
      <c r="AA44" s="592"/>
      <c r="AB44" s="522"/>
      <c r="AC44" s="213"/>
    </row>
    <row r="45" spans="1:29">
      <c r="A45" s="596"/>
      <c r="B45" s="597"/>
      <c r="C45" s="598"/>
      <c r="D45" s="599"/>
      <c r="E45" s="592"/>
      <c r="F45" s="592"/>
      <c r="G45" s="592"/>
      <c r="H45" s="592"/>
      <c r="I45" s="592"/>
      <c r="J45" s="592"/>
      <c r="K45" s="592">
        <f>K33-K44</f>
        <v>1950.0342867627915</v>
      </c>
      <c r="L45" s="592"/>
      <c r="M45" s="592"/>
      <c r="N45" s="592"/>
      <c r="O45" s="592"/>
      <c r="P45" s="592"/>
      <c r="Q45" s="592"/>
      <c r="R45" s="592"/>
      <c r="S45" s="592"/>
      <c r="T45" s="592"/>
      <c r="U45" s="592"/>
      <c r="V45" s="592"/>
      <c r="W45" s="592"/>
      <c r="X45" s="592"/>
      <c r="Y45" s="592"/>
      <c r="Z45" s="592"/>
      <c r="AA45" s="592"/>
      <c r="AB45" s="522"/>
      <c r="AC45" s="213"/>
    </row>
    <row r="46" spans="1:29">
      <c r="A46" s="596"/>
      <c r="B46" s="597"/>
      <c r="C46" s="598"/>
      <c r="D46" s="599"/>
      <c r="E46" s="564">
        <v>31</v>
      </c>
      <c r="F46" s="564">
        <v>30</v>
      </c>
      <c r="G46" s="564">
        <v>31</v>
      </c>
      <c r="H46" s="564">
        <v>30</v>
      </c>
      <c r="I46" s="564">
        <v>31</v>
      </c>
      <c r="J46" s="564">
        <v>31</v>
      </c>
      <c r="K46" s="564">
        <v>30</v>
      </c>
      <c r="L46" s="564">
        <v>31</v>
      </c>
      <c r="M46" s="564">
        <v>30</v>
      </c>
      <c r="N46" s="564">
        <v>31</v>
      </c>
      <c r="O46" s="564">
        <v>31</v>
      </c>
      <c r="P46" s="564">
        <v>28</v>
      </c>
      <c r="Q46" s="564">
        <v>31</v>
      </c>
      <c r="R46" s="564">
        <v>31</v>
      </c>
      <c r="S46" s="564">
        <v>31</v>
      </c>
      <c r="T46" s="564">
        <v>31</v>
      </c>
      <c r="U46" s="564">
        <v>31</v>
      </c>
      <c r="V46" s="564">
        <v>31</v>
      </c>
      <c r="W46" s="564">
        <v>31</v>
      </c>
      <c r="X46" s="564">
        <v>31</v>
      </c>
      <c r="Y46" s="564">
        <v>31</v>
      </c>
      <c r="Z46" s="564">
        <v>31</v>
      </c>
      <c r="AA46" s="564">
        <v>31</v>
      </c>
      <c r="AB46" s="522"/>
      <c r="AC46" s="213"/>
    </row>
    <row r="47" spans="1:29">
      <c r="A47" s="596"/>
      <c r="B47" s="597"/>
      <c r="C47" s="598"/>
      <c r="D47" s="599"/>
      <c r="E47" s="502">
        <v>44257</v>
      </c>
      <c r="F47" s="502">
        <v>44288</v>
      </c>
      <c r="G47" s="502">
        <v>44318</v>
      </c>
      <c r="H47" s="502">
        <v>44349</v>
      </c>
      <c r="I47" s="502">
        <v>44379</v>
      </c>
      <c r="J47" s="502">
        <v>44410</v>
      </c>
      <c r="K47" s="503">
        <v>44441</v>
      </c>
      <c r="L47" s="503">
        <v>44471</v>
      </c>
      <c r="M47" s="503">
        <v>44502</v>
      </c>
      <c r="N47" s="503">
        <v>44532</v>
      </c>
      <c r="O47" s="503">
        <v>44563</v>
      </c>
      <c r="P47" s="503">
        <v>44594</v>
      </c>
      <c r="Q47" s="503">
        <v>44622</v>
      </c>
      <c r="R47" s="503">
        <v>44622</v>
      </c>
      <c r="S47" s="503">
        <v>44622</v>
      </c>
      <c r="T47" s="503">
        <v>44622</v>
      </c>
      <c r="U47" s="503">
        <v>44622</v>
      </c>
      <c r="V47" s="503">
        <v>44622</v>
      </c>
      <c r="W47" s="503">
        <v>44622</v>
      </c>
      <c r="X47" s="503">
        <v>44622</v>
      </c>
      <c r="Y47" s="503">
        <v>44622</v>
      </c>
      <c r="Z47" s="503">
        <v>44622</v>
      </c>
      <c r="AA47" s="503">
        <v>44622</v>
      </c>
      <c r="AB47" s="522"/>
      <c r="AC47" s="213"/>
    </row>
    <row r="48" spans="1:29">
      <c r="A48" s="596" t="s">
        <v>185</v>
      </c>
      <c r="B48" s="596"/>
      <c r="C48" s="596"/>
      <c r="D48" s="596"/>
      <c r="E48" s="604">
        <v>6.774193548387097</v>
      </c>
      <c r="F48" s="604">
        <v>8</v>
      </c>
      <c r="G48" s="604">
        <v>15.000000000000002</v>
      </c>
      <c r="H48" s="604">
        <v>10</v>
      </c>
      <c r="I48" s="604">
        <v>13.548387096774194</v>
      </c>
      <c r="J48" s="604">
        <v>15.000000000000002</v>
      </c>
      <c r="K48" s="604">
        <v>15.000000000000002</v>
      </c>
      <c r="L48" s="604">
        <v>14.482758620689658</v>
      </c>
      <c r="M48" s="604">
        <v>14.482758620689658</v>
      </c>
      <c r="N48" s="604">
        <v>14.741379310344831</v>
      </c>
      <c r="O48" s="604">
        <v>14.741379310344831</v>
      </c>
      <c r="P48" s="604">
        <v>14.741379310344829</v>
      </c>
      <c r="Q48" s="604">
        <v>14.741379310344831</v>
      </c>
      <c r="R48" s="604">
        <v>14.741379310344831</v>
      </c>
      <c r="S48" s="604">
        <v>14.741379310344831</v>
      </c>
      <c r="T48" s="604">
        <v>14.741379310344831</v>
      </c>
      <c r="U48" s="604">
        <v>14.741379310344831</v>
      </c>
      <c r="V48" s="604">
        <v>14.741379310344831</v>
      </c>
      <c r="W48" s="604">
        <v>14.741379310344831</v>
      </c>
      <c r="X48" s="604">
        <v>14.741379310344831</v>
      </c>
      <c r="Y48" s="604">
        <v>14.741379310344831</v>
      </c>
      <c r="Z48" s="604">
        <v>14.741379310344831</v>
      </c>
      <c r="AA48" s="604">
        <v>14.741379310344831</v>
      </c>
      <c r="AB48" s="522"/>
      <c r="AC48" s="607">
        <f>SUM(C48:N48)</f>
        <v>127.02947719688544</v>
      </c>
    </row>
    <row r="49" spans="1:29">
      <c r="B49" s="596"/>
      <c r="C49" s="596"/>
      <c r="D49" s="596"/>
      <c r="E49" s="605">
        <v>6.774193548387097</v>
      </c>
      <c r="F49" s="605">
        <v>8</v>
      </c>
      <c r="G49" s="605">
        <v>15.000000000000002</v>
      </c>
      <c r="H49" s="605">
        <v>10</v>
      </c>
      <c r="I49" s="605">
        <v>9.5225806451612893</v>
      </c>
      <c r="J49" s="605">
        <v>15.000000000000002</v>
      </c>
      <c r="K49" s="605">
        <v>13.994545454545456</v>
      </c>
      <c r="L49" s="605">
        <v>11.694837791877122</v>
      </c>
      <c r="M49" s="605">
        <v>14.987295792236921</v>
      </c>
      <c r="N49" s="605">
        <v>14.769045161454754</v>
      </c>
      <c r="O49" s="605">
        <v>15.021207023982463</v>
      </c>
      <c r="P49" s="605">
        <v>15.021207023982461</v>
      </c>
      <c r="Q49" s="605">
        <v>14.900752478527922</v>
      </c>
      <c r="R49" s="605">
        <v>14.900752478527922</v>
      </c>
      <c r="S49" s="605">
        <v>14.900752478527922</v>
      </c>
      <c r="T49" s="605">
        <v>14.900752478527922</v>
      </c>
      <c r="U49" s="605">
        <v>14.900752478527922</v>
      </c>
      <c r="V49" s="605">
        <v>14.900752478527922</v>
      </c>
      <c r="W49" s="605">
        <v>14.900752478527922</v>
      </c>
      <c r="X49" s="605">
        <v>14.900752478527922</v>
      </c>
      <c r="Y49" s="605">
        <v>14.900752478527922</v>
      </c>
      <c r="Z49" s="605">
        <v>14.900752478527922</v>
      </c>
      <c r="AA49" s="605">
        <v>14.900752478527922</v>
      </c>
      <c r="AB49" s="522"/>
      <c r="AC49" s="607">
        <f>SUM(C49:N49)</f>
        <v>119.74249839366264</v>
      </c>
    </row>
    <row r="50" spans="1:29">
      <c r="A50" s="596"/>
      <c r="B50" s="596"/>
      <c r="C50" s="596"/>
      <c r="D50" s="596"/>
      <c r="E50" s="606">
        <f>E49-E48</f>
        <v>0</v>
      </c>
      <c r="F50" s="606">
        <f t="shared" ref="F50:Z50" si="53">F49-F48</f>
        <v>0</v>
      </c>
      <c r="G50" s="606">
        <f t="shared" si="53"/>
        <v>0</v>
      </c>
      <c r="H50" s="606">
        <f t="shared" si="53"/>
        <v>0</v>
      </c>
      <c r="I50" s="606">
        <f t="shared" si="53"/>
        <v>-4.0258064516129046</v>
      </c>
      <c r="J50" s="606">
        <f t="shared" si="53"/>
        <v>0</v>
      </c>
      <c r="K50" s="606">
        <f t="shared" si="53"/>
        <v>-1.0054545454545458</v>
      </c>
      <c r="L50" s="606">
        <f t="shared" si="53"/>
        <v>-2.7879208288125366</v>
      </c>
      <c r="M50" s="606">
        <f t="shared" si="53"/>
        <v>0.50453717154726263</v>
      </c>
      <c r="N50" s="606">
        <f t="shared" si="53"/>
        <v>2.7665851109922812E-2</v>
      </c>
      <c r="O50" s="606">
        <f t="shared" si="53"/>
        <v>0.2798277136376317</v>
      </c>
      <c r="P50" s="606">
        <f t="shared" si="53"/>
        <v>0.2798277136376317</v>
      </c>
      <c r="Q50" s="606">
        <f t="shared" si="53"/>
        <v>0.159373168183091</v>
      </c>
      <c r="R50" s="606">
        <f t="shared" si="53"/>
        <v>0.159373168183091</v>
      </c>
      <c r="S50" s="606">
        <f t="shared" si="53"/>
        <v>0.159373168183091</v>
      </c>
      <c r="T50" s="606">
        <f t="shared" si="53"/>
        <v>0.159373168183091</v>
      </c>
      <c r="U50" s="606">
        <f t="shared" si="53"/>
        <v>0.159373168183091</v>
      </c>
      <c r="V50" s="606">
        <f t="shared" si="53"/>
        <v>0.159373168183091</v>
      </c>
      <c r="W50" s="606">
        <f t="shared" si="53"/>
        <v>0.159373168183091</v>
      </c>
      <c r="X50" s="606">
        <f t="shared" si="53"/>
        <v>0.159373168183091</v>
      </c>
      <c r="Y50" s="606">
        <f t="shared" si="53"/>
        <v>0.159373168183091</v>
      </c>
      <c r="Z50" s="606">
        <f t="shared" si="53"/>
        <v>0.159373168183091</v>
      </c>
      <c r="AA50" s="606">
        <f t="shared" ref="AA50" si="54">AA49-AA48</f>
        <v>0.159373168183091</v>
      </c>
      <c r="AB50" s="522"/>
      <c r="AC50" s="607">
        <f>SUM(C50:N50)</f>
        <v>-7.2869788032228016</v>
      </c>
    </row>
    <row r="51" spans="1:29">
      <c r="A51" s="596" t="s">
        <v>0</v>
      </c>
      <c r="B51" s="596"/>
      <c r="C51" s="596"/>
      <c r="D51" s="596"/>
      <c r="E51" s="604">
        <v>60.225806451612904</v>
      </c>
      <c r="F51" s="604">
        <v>59</v>
      </c>
      <c r="G51" s="604">
        <v>52</v>
      </c>
      <c r="H51" s="604">
        <v>57</v>
      </c>
      <c r="I51" s="604">
        <v>51.451612903225808</v>
      </c>
      <c r="J51" s="604">
        <v>50</v>
      </c>
      <c r="K51" s="604">
        <v>50</v>
      </c>
      <c r="L51" s="604">
        <v>48.275862068965523</v>
      </c>
      <c r="M51" s="604">
        <v>48.275862068965523</v>
      </c>
      <c r="N51" s="604">
        <v>49.137931034482762</v>
      </c>
      <c r="O51" s="604">
        <v>49.137931034482762</v>
      </c>
      <c r="P51" s="604">
        <v>49.137931034482762</v>
      </c>
      <c r="Q51" s="604">
        <v>49.137931034482762</v>
      </c>
      <c r="R51" s="604">
        <v>49.137931034482762</v>
      </c>
      <c r="S51" s="604">
        <v>49.137931034482762</v>
      </c>
      <c r="T51" s="604">
        <v>49.137931034482762</v>
      </c>
      <c r="U51" s="604">
        <v>49.137931034482762</v>
      </c>
      <c r="V51" s="604">
        <v>49.137931034482762</v>
      </c>
      <c r="W51" s="604">
        <v>49.137931034482762</v>
      </c>
      <c r="X51" s="604">
        <v>49.137931034482762</v>
      </c>
      <c r="Y51" s="604">
        <v>49.137931034482762</v>
      </c>
      <c r="Z51" s="604">
        <v>49.137931034482762</v>
      </c>
      <c r="AA51" s="604">
        <v>49.137931034482762</v>
      </c>
      <c r="AB51" s="522"/>
      <c r="AC51" s="607">
        <f t="shared" ref="AC51:AC54" si="55">SUM(C51:N51)</f>
        <v>525.3670745272525</v>
      </c>
    </row>
    <row r="52" spans="1:29">
      <c r="B52" s="513"/>
      <c r="C52" s="211"/>
      <c r="D52" s="211"/>
      <c r="E52" s="211">
        <v>207.10054046563198</v>
      </c>
      <c r="F52" s="211">
        <v>201.47893569844786</v>
      </c>
      <c r="G52" s="211">
        <v>208</v>
      </c>
      <c r="H52" s="211">
        <v>208</v>
      </c>
      <c r="I52" s="211">
        <v>136.19354838709674</v>
      </c>
      <c r="J52" s="211">
        <v>210</v>
      </c>
      <c r="K52" s="211">
        <v>191.56666666666666</v>
      </c>
      <c r="L52" s="211">
        <v>151.64673882809203</v>
      </c>
      <c r="M52" s="211">
        <v>212.00846883468836</v>
      </c>
      <c r="N52" s="211">
        <v>206.88651761517619</v>
      </c>
      <c r="O52" s="211">
        <v>211.50948509485087</v>
      </c>
      <c r="P52" s="211">
        <v>211.50948509485087</v>
      </c>
      <c r="Q52" s="211">
        <v>209.30115176151762</v>
      </c>
      <c r="R52" s="211">
        <v>209.30115176151762</v>
      </c>
      <c r="S52" s="211">
        <v>209.30115176151762</v>
      </c>
      <c r="T52" s="211">
        <v>209.30115176151762</v>
      </c>
      <c r="U52" s="211">
        <v>209.30115176151762</v>
      </c>
      <c r="V52" s="211">
        <v>209.30115176151762</v>
      </c>
      <c r="W52" s="211">
        <v>209.30115176151762</v>
      </c>
      <c r="X52" s="211">
        <v>209.30115176151762</v>
      </c>
      <c r="Y52" s="211">
        <v>209.30115176151762</v>
      </c>
      <c r="Z52" s="211">
        <v>209.30115176151762</v>
      </c>
      <c r="AA52" s="211">
        <v>209.30115176151762</v>
      </c>
      <c r="AB52" s="522"/>
      <c r="AC52" s="607">
        <f t="shared" si="55"/>
        <v>1932.8814164957998</v>
      </c>
    </row>
    <row r="53" spans="1:29">
      <c r="A53" s="596"/>
      <c r="B53" s="596"/>
      <c r="C53" s="596"/>
      <c r="D53" s="596"/>
      <c r="E53" s="605">
        <v>60.225806451612897</v>
      </c>
      <c r="F53" s="605">
        <v>59</v>
      </c>
      <c r="G53" s="605">
        <v>52</v>
      </c>
      <c r="H53" s="605">
        <v>57</v>
      </c>
      <c r="I53" s="605">
        <v>55.477419354838709</v>
      </c>
      <c r="J53" s="605">
        <v>50</v>
      </c>
      <c r="K53" s="605">
        <v>51.00545454545454</v>
      </c>
      <c r="L53" s="605">
        <v>51.063782897778061</v>
      </c>
      <c r="M53" s="605">
        <v>47.77132489741826</v>
      </c>
      <c r="N53" s="605">
        <v>49.110265183372839</v>
      </c>
      <c r="O53" s="605">
        <v>48.858103320845132</v>
      </c>
      <c r="P53" s="605">
        <v>48.858103320845132</v>
      </c>
      <c r="Q53" s="605">
        <v>48.978557866299674</v>
      </c>
      <c r="R53" s="605">
        <v>48.978557866299674</v>
      </c>
      <c r="S53" s="605">
        <v>48.978557866299674</v>
      </c>
      <c r="T53" s="605">
        <v>48.978557866299674</v>
      </c>
      <c r="U53" s="605">
        <v>48.978557866299674</v>
      </c>
      <c r="V53" s="605">
        <v>48.978557866299674</v>
      </c>
      <c r="W53" s="605">
        <v>48.978557866299674</v>
      </c>
      <c r="X53" s="605">
        <v>48.978557866299674</v>
      </c>
      <c r="Y53" s="605">
        <v>48.978557866299674</v>
      </c>
      <c r="Z53" s="605">
        <v>48.978557866299674</v>
      </c>
      <c r="AA53" s="605">
        <v>48.978557866299674</v>
      </c>
      <c r="AB53" s="522"/>
      <c r="AC53" s="607">
        <f t="shared" si="55"/>
        <v>532.65405333047534</v>
      </c>
    </row>
    <row r="54" spans="1:29">
      <c r="A54" s="596"/>
      <c r="B54" s="596"/>
      <c r="C54" s="596"/>
      <c r="D54" s="596"/>
      <c r="E54" s="605">
        <v>207.10054046563198</v>
      </c>
      <c r="F54" s="605">
        <v>201.47893569844786</v>
      </c>
      <c r="G54" s="605">
        <v>208</v>
      </c>
      <c r="H54" s="605">
        <v>208</v>
      </c>
      <c r="I54" s="605">
        <v>136.19354838709674</v>
      </c>
      <c r="J54" s="605">
        <v>210</v>
      </c>
      <c r="K54" s="605">
        <v>191.56666666666666</v>
      </c>
      <c r="L54" s="605">
        <v>151.64673882809203</v>
      </c>
      <c r="M54" s="605">
        <v>212.00846883468836</v>
      </c>
      <c r="N54" s="605">
        <v>206.88651761517619</v>
      </c>
      <c r="O54" s="605">
        <v>211.50948509485087</v>
      </c>
      <c r="P54" s="605">
        <v>211.50948509485087</v>
      </c>
      <c r="Q54" s="605">
        <v>209.30115176151762</v>
      </c>
      <c r="R54" s="605">
        <v>209.30115176151762</v>
      </c>
      <c r="S54" s="605">
        <v>209.30115176151762</v>
      </c>
      <c r="T54" s="605">
        <v>209.30115176151762</v>
      </c>
      <c r="U54" s="605">
        <v>209.30115176151762</v>
      </c>
      <c r="V54" s="605">
        <v>209.30115176151762</v>
      </c>
      <c r="W54" s="605">
        <v>209.30115176151762</v>
      </c>
      <c r="X54" s="605">
        <v>209.30115176151762</v>
      </c>
      <c r="Y54" s="605">
        <v>209.30115176151762</v>
      </c>
      <c r="Z54" s="605">
        <v>209.30115176151762</v>
      </c>
      <c r="AA54" s="605">
        <v>209.30115176151762</v>
      </c>
      <c r="AB54" s="522"/>
      <c r="AC54" s="607">
        <f t="shared" si="55"/>
        <v>1932.8814164957998</v>
      </c>
    </row>
    <row r="55" spans="1:29">
      <c r="A55" s="596"/>
      <c r="E55" s="712">
        <f>E54+E53-E52-E51</f>
        <v>0</v>
      </c>
      <c r="F55" s="712">
        <f t="shared" ref="F55:Z55" si="56">F54+F53-F52-F51</f>
        <v>0</v>
      </c>
      <c r="G55" s="712">
        <f t="shared" si="56"/>
        <v>0</v>
      </c>
      <c r="H55" s="712">
        <f t="shared" si="56"/>
        <v>0</v>
      </c>
      <c r="I55" s="712">
        <f t="shared" si="56"/>
        <v>4.025806451612894</v>
      </c>
      <c r="J55" s="712">
        <f t="shared" si="56"/>
        <v>0</v>
      </c>
      <c r="K55" s="712">
        <f t="shared" si="56"/>
        <v>1.0054545454545405</v>
      </c>
      <c r="L55" s="712">
        <f t="shared" si="56"/>
        <v>2.7879208288125312</v>
      </c>
      <c r="M55" s="712">
        <f t="shared" si="56"/>
        <v>-0.50453717154726974</v>
      </c>
      <c r="N55" s="712">
        <f t="shared" si="56"/>
        <v>-2.7665851109929918E-2</v>
      </c>
      <c r="O55" s="712">
        <f t="shared" si="56"/>
        <v>-0.27982771363764414</v>
      </c>
      <c r="P55" s="712">
        <f t="shared" si="56"/>
        <v>-0.27982771363764414</v>
      </c>
      <c r="Q55" s="712">
        <f t="shared" si="56"/>
        <v>-0.15937316818309455</v>
      </c>
      <c r="R55" s="712">
        <f t="shared" si="56"/>
        <v>-0.15937316818309455</v>
      </c>
      <c r="S55" s="712">
        <f t="shared" si="56"/>
        <v>-0.15937316818309455</v>
      </c>
      <c r="T55" s="712">
        <f t="shared" si="56"/>
        <v>-0.15937316818309455</v>
      </c>
      <c r="U55" s="712">
        <f t="shared" si="56"/>
        <v>-0.15937316818309455</v>
      </c>
      <c r="V55" s="712">
        <f t="shared" si="56"/>
        <v>-0.15937316818309455</v>
      </c>
      <c r="W55" s="712">
        <f t="shared" si="56"/>
        <v>-0.15937316818309455</v>
      </c>
      <c r="X55" s="712">
        <f t="shared" si="56"/>
        <v>-0.15937316818309455</v>
      </c>
      <c r="Y55" s="712">
        <f t="shared" si="56"/>
        <v>-0.15937316818309455</v>
      </c>
      <c r="Z55" s="712">
        <f t="shared" si="56"/>
        <v>-0.15937316818309455</v>
      </c>
      <c r="AA55" s="712">
        <f t="shared" ref="AA55" si="57">AA54+AA53-AA52-AA51</f>
        <v>-0.15937316818309455</v>
      </c>
      <c r="AC55" s="607">
        <f>SUM(C55:N55)</f>
        <v>7.286978803222766</v>
      </c>
    </row>
    <row r="57" spans="1:29">
      <c r="I57" s="612">
        <f>I50*24*I46</f>
        <v>-2995.2000000000012</v>
      </c>
      <c r="J57" s="612">
        <f t="shared" ref="J57:Z57" si="58">J50*24*J46</f>
        <v>0</v>
      </c>
      <c r="K57" s="612">
        <f t="shared" si="58"/>
        <v>-723.92727272727302</v>
      </c>
      <c r="L57" s="612">
        <f t="shared" si="58"/>
        <v>-2074.2130966365271</v>
      </c>
      <c r="M57" s="612">
        <f t="shared" si="58"/>
        <v>363.26676351402909</v>
      </c>
      <c r="N57" s="612">
        <f t="shared" si="58"/>
        <v>20.583393225782572</v>
      </c>
      <c r="O57" s="612">
        <f t="shared" si="58"/>
        <v>208.19181894639797</v>
      </c>
      <c r="P57" s="612">
        <f t="shared" si="58"/>
        <v>188.0442235644885</v>
      </c>
      <c r="Q57" s="612">
        <f t="shared" si="58"/>
        <v>118.5736371282197</v>
      </c>
      <c r="R57" s="612">
        <f t="shared" si="58"/>
        <v>118.5736371282197</v>
      </c>
      <c r="S57" s="612">
        <f t="shared" si="58"/>
        <v>118.5736371282197</v>
      </c>
      <c r="T57" s="612">
        <f t="shared" si="58"/>
        <v>118.5736371282197</v>
      </c>
      <c r="U57" s="612">
        <f t="shared" si="58"/>
        <v>118.5736371282197</v>
      </c>
      <c r="V57" s="612">
        <f t="shared" si="58"/>
        <v>118.5736371282197</v>
      </c>
      <c r="W57" s="612">
        <f t="shared" si="58"/>
        <v>118.5736371282197</v>
      </c>
      <c r="X57" s="612">
        <f t="shared" si="58"/>
        <v>118.5736371282197</v>
      </c>
      <c r="Y57" s="612">
        <f t="shared" si="58"/>
        <v>118.5736371282197</v>
      </c>
      <c r="Z57" s="612">
        <f t="shared" si="58"/>
        <v>118.5736371282197</v>
      </c>
      <c r="AA57" s="612">
        <f t="shared" ref="AA57" si="59">AA50*24*AA46</f>
        <v>118.5736371282197</v>
      </c>
    </row>
    <row r="58" spans="1:29">
      <c r="I58" s="612"/>
      <c r="J58" s="612"/>
      <c r="K58" s="612"/>
      <c r="L58" s="612"/>
      <c r="M58" s="612"/>
      <c r="N58" s="612"/>
      <c r="O58" s="612"/>
      <c r="P58" s="612"/>
      <c r="Q58" s="612"/>
      <c r="R58" s="612"/>
      <c r="S58" s="612"/>
      <c r="T58" s="612"/>
      <c r="U58" s="612"/>
      <c r="V58" s="612"/>
      <c r="W58" s="612"/>
      <c r="X58" s="612"/>
      <c r="Y58" s="612"/>
      <c r="Z58" s="612"/>
      <c r="AA58" s="612"/>
    </row>
    <row r="60" spans="1:29">
      <c r="J60">
        <v>189490.41320350236</v>
      </c>
      <c r="K60">
        <v>173396.70184774572</v>
      </c>
      <c r="L60">
        <v>150125.64414200882</v>
      </c>
      <c r="M60">
        <v>184400.42588743931</v>
      </c>
      <c r="N60">
        <v>190461.60640212047</v>
      </c>
      <c r="O60">
        <v>190384.40196753063</v>
      </c>
      <c r="P60">
        <v>172029.83804062495</v>
      </c>
      <c r="Q60">
        <v>190384.40196753063</v>
      </c>
      <c r="R60">
        <v>171442.66809389097</v>
      </c>
      <c r="S60">
        <v>172533.52066671764</v>
      </c>
      <c r="T60">
        <v>166601.94082116373</v>
      </c>
      <c r="U60">
        <v>172155.33884853584</v>
      </c>
      <c r="V60">
        <v>172155.33884853584</v>
      </c>
      <c r="W60">
        <v>172155.33884853584</v>
      </c>
      <c r="X60">
        <v>172155.33884853584</v>
      </c>
      <c r="Y60">
        <v>172155.33884853584</v>
      </c>
      <c r="Z60">
        <v>172155.33884853584</v>
      </c>
      <c r="AA60">
        <v>172155.33884853584</v>
      </c>
    </row>
    <row r="61" spans="1:29">
      <c r="J61" s="256">
        <f>J34-J60</f>
        <v>-6976.4752473757835</v>
      </c>
      <c r="K61" s="256">
        <f t="shared" ref="K61:T61" si="60">K34-K60</f>
        <v>-5353.2412180038227</v>
      </c>
      <c r="L61" s="256">
        <f t="shared" si="60"/>
        <v>6987.504966988432</v>
      </c>
      <c r="M61" s="256">
        <f t="shared" si="60"/>
        <v>-15658.843764312769</v>
      </c>
      <c r="N61" s="256">
        <f t="shared" si="60"/>
        <v>-17789.797481782589</v>
      </c>
      <c r="O61" s="256">
        <f t="shared" si="60"/>
        <v>-12005.963054679771</v>
      </c>
      <c r="P61" s="256">
        <f t="shared" si="60"/>
        <v>-16264.221709101112</v>
      </c>
      <c r="Q61" s="256">
        <f t="shared" si="60"/>
        <v>-18211.043820883322</v>
      </c>
      <c r="R61" s="256">
        <f t="shared" si="60"/>
        <v>-5226.2484899457195</v>
      </c>
      <c r="S61" s="256">
        <f t="shared" si="60"/>
        <v>-48685.459010627717</v>
      </c>
      <c r="T61" s="256">
        <f t="shared" si="60"/>
        <v>-16532.493309886137</v>
      </c>
    </row>
    <row r="63" spans="1:29">
      <c r="AB63"/>
    </row>
    <row r="64" spans="1:29">
      <c r="K64" s="937" t="s">
        <v>311</v>
      </c>
      <c r="L64" s="937"/>
      <c r="AB64"/>
    </row>
    <row r="65" spans="11:28">
      <c r="K65" s="937"/>
      <c r="L65" s="937"/>
      <c r="AB65"/>
    </row>
    <row r="66" spans="11:28">
      <c r="K66" s="602" t="s">
        <v>245</v>
      </c>
      <c r="AB66"/>
    </row>
    <row r="67" spans="11:28">
      <c r="K67" s="602" t="s">
        <v>246</v>
      </c>
      <c r="AB67"/>
    </row>
    <row r="68" spans="11:28">
      <c r="AB68"/>
    </row>
    <row r="69" spans="11:28">
      <c r="AB69"/>
    </row>
  </sheetData>
  <mergeCells count="1">
    <mergeCell ref="K64:L65"/>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00B0F0"/>
  </sheetPr>
  <dimension ref="A1:AE69"/>
  <sheetViews>
    <sheetView zoomScale="85" zoomScaleNormal="85" workbookViewId="0">
      <pane xSplit="2" ySplit="6" topLeftCell="N7" activePane="bottomRight" state="frozen"/>
      <selection pane="topRight" activeCell="C1" sqref="C1"/>
      <selection pane="bottomLeft" activeCell="A7" sqref="A7"/>
      <selection pane="bottomRight" activeCell="N26" sqref="N26"/>
    </sheetView>
  </sheetViews>
  <sheetFormatPr defaultRowHeight="14.5"/>
  <cols>
    <col min="1" max="1" width="42.1796875" style="512" bestFit="1" customWidth="1"/>
    <col min="3" max="3" width="10.36328125" customWidth="1"/>
    <col min="4" max="5" width="10.453125" customWidth="1"/>
    <col min="6" max="10" width="10.453125" bestFit="1" customWidth="1"/>
    <col min="11" max="11" width="11.1796875" bestFit="1" customWidth="1"/>
    <col min="12" max="12" width="11.90625" bestFit="1" customWidth="1"/>
    <col min="13" max="16" width="9.453125" bestFit="1" customWidth="1"/>
    <col min="17" max="17" width="9.54296875" bestFit="1" customWidth="1"/>
    <col min="18" max="26" width="9.453125" bestFit="1" customWidth="1"/>
    <col min="27" max="27" width="11.08984375" style="3" bestFit="1" customWidth="1"/>
    <col min="28" max="28" width="15.90625" bestFit="1" customWidth="1"/>
    <col min="29" max="29" width="10.6328125" bestFit="1" customWidth="1"/>
  </cols>
  <sheetData>
    <row r="1" spans="1:29">
      <c r="A1" s="505" t="s">
        <v>388</v>
      </c>
      <c r="B1" s="2" t="s">
        <v>44</v>
      </c>
      <c r="C1" s="321">
        <v>200.00475408799599</v>
      </c>
      <c r="D1" s="321">
        <v>180.7371222570533</v>
      </c>
      <c r="E1" s="321">
        <v>202.46136608303385</v>
      </c>
      <c r="F1" s="321">
        <v>187.53</v>
      </c>
      <c r="G1" s="321">
        <v>203.11200000000002</v>
      </c>
      <c r="H1" s="321">
        <v>196.68700000000001</v>
      </c>
      <c r="I1" s="321">
        <v>150.75173545437815</v>
      </c>
      <c r="J1" s="321">
        <v>193.0435882228262</v>
      </c>
      <c r="K1" s="321">
        <v>180.5803865250665</v>
      </c>
      <c r="L1" s="321">
        <v>167.46549672759602</v>
      </c>
      <c r="M1" s="321">
        <v>175.30449797540246</v>
      </c>
      <c r="N1" s="321">
        <v>180.25136899614046</v>
      </c>
      <c r="O1" s="321">
        <v>187.40292479523455</v>
      </c>
      <c r="P1" s="321">
        <v>166.67045266644413</v>
      </c>
      <c r="Q1" s="321">
        <v>182.10643650126158</v>
      </c>
      <c r="R1" s="321">
        <v>175.80582842724979</v>
      </c>
      <c r="S1" s="321">
        <v>130.99314213624893</v>
      </c>
      <c r="T1" s="321">
        <v>158.72730025231286</v>
      </c>
      <c r="U1" s="321">
        <v>164.01821026072327</v>
      </c>
      <c r="V1" s="321">
        <v>155.49641715727503</v>
      </c>
      <c r="W1" s="321">
        <v>173.17700588730025</v>
      </c>
      <c r="X1" s="321">
        <v>178.94957275021028</v>
      </c>
      <c r="Y1" s="321">
        <v>173.86042052144666</v>
      </c>
      <c r="Z1" s="321">
        <v>165.53555761143821</v>
      </c>
      <c r="AA1" s="519"/>
      <c r="AB1" t="s">
        <v>386</v>
      </c>
    </row>
    <row r="2" spans="1:29">
      <c r="A2" s="512" t="s">
        <v>243</v>
      </c>
      <c r="B2" s="2" t="s">
        <v>44</v>
      </c>
      <c r="C2" s="211">
        <f t="shared" ref="C2:Q2" si="0">C7-C1</f>
        <v>-0.99693893053157012</v>
      </c>
      <c r="D2" s="211">
        <f t="shared" si="0"/>
        <v>1.5036723472260292</v>
      </c>
      <c r="E2" s="211">
        <f t="shared" si="0"/>
        <v>1.4694360233963266</v>
      </c>
      <c r="F2" s="211">
        <f t="shared" si="0"/>
        <v>-3.1503056426332421</v>
      </c>
      <c r="G2" s="211">
        <f t="shared" si="0"/>
        <v>0.50199999999998113</v>
      </c>
      <c r="H2" s="211">
        <f t="shared" si="0"/>
        <v>-0.42500000000001137</v>
      </c>
      <c r="I2" s="211">
        <f t="shared" si="0"/>
        <v>-3.7527586206896331</v>
      </c>
      <c r="J2" s="211">
        <f t="shared" si="0"/>
        <v>0</v>
      </c>
      <c r="K2" s="211">
        <f t="shared" si="0"/>
        <v>-2.842110858993351</v>
      </c>
      <c r="L2" s="211">
        <f t="shared" si="0"/>
        <v>-1.288127477695042</v>
      </c>
      <c r="M2" s="211">
        <f t="shared" si="0"/>
        <v>-0.31660357798037353</v>
      </c>
      <c r="N2" s="211">
        <f t="shared" si="0"/>
        <v>-4.2104364796074378</v>
      </c>
      <c r="O2" s="211">
        <f t="shared" si="0"/>
        <v>-5.1396470588235559</v>
      </c>
      <c r="P2" s="211">
        <f t="shared" si="0"/>
        <v>-3.6399999999999864</v>
      </c>
      <c r="Q2" s="211">
        <f t="shared" si="0"/>
        <v>5.9999999999718057E-3</v>
      </c>
      <c r="R2" s="211">
        <f t="shared" ref="R2:T2" si="1">R7-R1</f>
        <v>0</v>
      </c>
      <c r="S2" s="211">
        <f t="shared" ref="S2" si="2">S7-S1</f>
        <v>0</v>
      </c>
      <c r="T2" s="211">
        <f t="shared" si="1"/>
        <v>0</v>
      </c>
      <c r="U2" s="211">
        <f t="shared" ref="U2:V2" si="3">U7-U1</f>
        <v>0</v>
      </c>
      <c r="V2" s="211">
        <f t="shared" si="3"/>
        <v>0</v>
      </c>
      <c r="W2" s="211">
        <f t="shared" ref="W2:X2" si="4">W7-W1</f>
        <v>0</v>
      </c>
      <c r="X2" s="211">
        <f t="shared" si="4"/>
        <v>0</v>
      </c>
      <c r="Y2" s="211">
        <f t="shared" ref="Y2:Z2" si="5">Y7-Y1</f>
        <v>0</v>
      </c>
      <c r="Z2" s="211">
        <f t="shared" si="5"/>
        <v>0</v>
      </c>
      <c r="AA2" s="519"/>
      <c r="AB2" t="s">
        <v>387</v>
      </c>
    </row>
    <row r="3" spans="1:29">
      <c r="A3" s="512" t="s">
        <v>238</v>
      </c>
      <c r="B3" s="2" t="s">
        <v>44</v>
      </c>
      <c r="C3" s="321">
        <v>46.417000000000002</v>
      </c>
      <c r="D3" s="321">
        <v>44.466758620689653</v>
      </c>
      <c r="E3" s="321">
        <v>48.368068965517239</v>
      </c>
      <c r="F3" s="321">
        <v>45.692999999999998</v>
      </c>
      <c r="G3" s="321">
        <v>48.36</v>
      </c>
      <c r="H3" s="321">
        <v>46.930999999999997</v>
      </c>
      <c r="I3" s="321">
        <v>47.648999923620792</v>
      </c>
      <c r="J3" s="321">
        <v>45.688551724137902</v>
      </c>
      <c r="K3" s="321">
        <v>46.027724137931045</v>
      </c>
      <c r="L3" s="321">
        <v>46.397861654910244</v>
      </c>
      <c r="M3" s="321">
        <v>46.152999999999999</v>
      </c>
      <c r="N3" s="321">
        <v>42.618620689655167</v>
      </c>
      <c r="O3" s="321">
        <v>48.05</v>
      </c>
      <c r="P3" s="321">
        <v>42.473103448275864</v>
      </c>
      <c r="Q3" s="321">
        <v>43.357241379310366</v>
      </c>
      <c r="R3" s="321">
        <v>43.572413793103472</v>
      </c>
      <c r="S3" s="321">
        <v>38.462068965517219</v>
      </c>
      <c r="T3" s="321">
        <v>29.048275862068941</v>
      </c>
      <c r="U3" s="321">
        <v>30.016551724137905</v>
      </c>
      <c r="V3" s="321">
        <v>29.182758620689636</v>
      </c>
      <c r="W3" s="321">
        <v>45.993103448275861</v>
      </c>
      <c r="X3" s="321">
        <v>47.526206896551727</v>
      </c>
      <c r="Y3" s="321">
        <v>45.993103448275861</v>
      </c>
      <c r="Z3" s="321">
        <v>38.929655172413796</v>
      </c>
    </row>
    <row r="4" spans="1:29">
      <c r="A4" s="512" t="s">
        <v>243</v>
      </c>
      <c r="B4" s="2" t="s">
        <v>44</v>
      </c>
      <c r="C4" s="211">
        <f>C9-C3</f>
        <v>-0.28151834684843635</v>
      </c>
      <c r="D4" s="211">
        <f t="shared" ref="D4:Q4" si="6">D9-D3</f>
        <v>-1.0419212381248784</v>
      </c>
      <c r="E4" s="211">
        <f t="shared" si="6"/>
        <v>1.4799310344827603</v>
      </c>
      <c r="F4" s="211">
        <f t="shared" si="6"/>
        <v>-0.23889655172413882</v>
      </c>
      <c r="G4" s="211">
        <f t="shared" si="6"/>
        <v>0.11599999999999966</v>
      </c>
      <c r="H4" s="211">
        <f t="shared" si="6"/>
        <v>0.42300000000000182</v>
      </c>
      <c r="I4" s="211">
        <f t="shared" si="6"/>
        <v>-0.33675862068965046</v>
      </c>
      <c r="J4" s="211">
        <f t="shared" si="6"/>
        <v>0</v>
      </c>
      <c r="K4" s="211">
        <f t="shared" si="6"/>
        <v>0.22451724137930285</v>
      </c>
      <c r="L4" s="211">
        <f t="shared" si="6"/>
        <v>1.6371383450897525</v>
      </c>
      <c r="M4" s="211">
        <f t="shared" si="6"/>
        <v>5.1999999999999602E-2</v>
      </c>
      <c r="N4" s="211">
        <f t="shared" si="6"/>
        <v>-2.5523793103448256</v>
      </c>
      <c r="O4" s="211">
        <f t="shared" si="6"/>
        <v>0</v>
      </c>
      <c r="P4" s="211">
        <f t="shared" si="6"/>
        <v>0</v>
      </c>
      <c r="Q4" s="211">
        <f t="shared" si="6"/>
        <v>0</v>
      </c>
      <c r="R4" s="211">
        <f t="shared" ref="R4:T4" si="7">R9-R3</f>
        <v>0</v>
      </c>
      <c r="S4" s="211">
        <f t="shared" ref="S4" si="8">S9-S3</f>
        <v>0</v>
      </c>
      <c r="T4" s="211">
        <f t="shared" si="7"/>
        <v>0</v>
      </c>
      <c r="U4" s="211">
        <f t="shared" ref="U4:V4" si="9">U9-U3</f>
        <v>0</v>
      </c>
      <c r="V4" s="211">
        <f t="shared" si="9"/>
        <v>0</v>
      </c>
      <c r="W4" s="211">
        <f t="shared" ref="W4:X4" si="10">W9-W3</f>
        <v>0</v>
      </c>
      <c r="X4" s="211">
        <f t="shared" si="10"/>
        <v>0</v>
      </c>
      <c r="Y4" s="211">
        <f t="shared" ref="Y4:Z4" si="11">Y9-Y3</f>
        <v>0</v>
      </c>
      <c r="Z4" s="211">
        <f t="shared" si="11"/>
        <v>0</v>
      </c>
    </row>
    <row r="5" spans="1:29">
      <c r="A5" s="499"/>
      <c r="B5" s="213"/>
      <c r="C5" s="500">
        <v>31</v>
      </c>
      <c r="D5" s="564">
        <v>28</v>
      </c>
      <c r="E5" s="564">
        <v>31</v>
      </c>
      <c r="F5" s="564">
        <v>30</v>
      </c>
      <c r="G5" s="564">
        <v>31</v>
      </c>
      <c r="H5" s="564">
        <v>30</v>
      </c>
      <c r="I5" s="564">
        <v>31</v>
      </c>
      <c r="J5" s="564">
        <v>31</v>
      </c>
      <c r="K5" s="564">
        <v>30</v>
      </c>
      <c r="L5" s="564">
        <v>31</v>
      </c>
      <c r="M5" s="564">
        <v>30</v>
      </c>
      <c r="N5" s="564">
        <v>31</v>
      </c>
      <c r="O5" s="564">
        <v>31</v>
      </c>
      <c r="P5" s="564">
        <v>28</v>
      </c>
      <c r="Q5" s="564">
        <v>31</v>
      </c>
      <c r="R5" s="564">
        <v>30</v>
      </c>
      <c r="S5" s="564">
        <v>31</v>
      </c>
      <c r="T5" s="564">
        <v>30</v>
      </c>
      <c r="U5" s="564">
        <v>31</v>
      </c>
      <c r="V5" s="564">
        <v>31</v>
      </c>
      <c r="W5" s="564">
        <v>30</v>
      </c>
      <c r="X5" s="564">
        <v>31</v>
      </c>
      <c r="Y5" s="564">
        <v>30</v>
      </c>
      <c r="Z5" s="564">
        <v>31</v>
      </c>
      <c r="AA5" s="520"/>
      <c r="AB5" s="500"/>
    </row>
    <row r="6" spans="1:29">
      <c r="A6" s="501" t="s">
        <v>236</v>
      </c>
      <c r="B6" s="501" t="s">
        <v>72</v>
      </c>
      <c r="C6" s="502">
        <v>44198</v>
      </c>
      <c r="D6" s="502">
        <v>44229</v>
      </c>
      <c r="E6" s="502">
        <v>44257</v>
      </c>
      <c r="F6" s="502">
        <v>44288</v>
      </c>
      <c r="G6" s="502">
        <v>44318</v>
      </c>
      <c r="H6" s="502">
        <v>44349</v>
      </c>
      <c r="I6" s="502">
        <v>44379</v>
      </c>
      <c r="J6" s="502">
        <v>44410</v>
      </c>
      <c r="K6" s="502">
        <v>44441</v>
      </c>
      <c r="L6" s="503">
        <v>44471</v>
      </c>
      <c r="M6" s="503">
        <v>44502</v>
      </c>
      <c r="N6" s="503">
        <v>44532</v>
      </c>
      <c r="O6" s="503">
        <v>44563</v>
      </c>
      <c r="P6" s="503">
        <v>44594</v>
      </c>
      <c r="Q6" s="503">
        <v>44622</v>
      </c>
      <c r="R6" s="503">
        <v>44653</v>
      </c>
      <c r="S6" s="503">
        <v>44683</v>
      </c>
      <c r="T6" s="503">
        <v>44714</v>
      </c>
      <c r="U6" s="503">
        <v>44744</v>
      </c>
      <c r="V6" s="503">
        <v>44775</v>
      </c>
      <c r="W6" s="503">
        <v>44806</v>
      </c>
      <c r="X6" s="503">
        <v>44836</v>
      </c>
      <c r="Y6" s="503">
        <v>44867</v>
      </c>
      <c r="Z6" s="503">
        <v>44897</v>
      </c>
      <c r="AA6" s="516"/>
      <c r="AB6" s="504" t="s">
        <v>193</v>
      </c>
    </row>
    <row r="7" spans="1:29">
      <c r="A7" s="505" t="s">
        <v>393</v>
      </c>
      <c r="B7" s="506" t="s">
        <v>44</v>
      </c>
      <c r="C7" s="514">
        <v>199.00781515746442</v>
      </c>
      <c r="D7" s="507">
        <v>182.24079460427933</v>
      </c>
      <c r="E7" s="507">
        <v>203.93080210643018</v>
      </c>
      <c r="F7" s="507">
        <v>184.37969435736676</v>
      </c>
      <c r="G7" s="507">
        <v>203.614</v>
      </c>
      <c r="H7" s="507">
        <v>196.262</v>
      </c>
      <c r="I7" s="507">
        <v>146.99897683368852</v>
      </c>
      <c r="J7" s="507">
        <v>193.0435882228262</v>
      </c>
      <c r="K7" s="507">
        <v>177.73827566607315</v>
      </c>
      <c r="L7" s="507">
        <v>166.17736924990098</v>
      </c>
      <c r="M7" s="507">
        <v>174.98789439742208</v>
      </c>
      <c r="N7" s="507">
        <v>176.04093251653302</v>
      </c>
      <c r="O7" s="507">
        <v>182.263277736411</v>
      </c>
      <c r="P7" s="507">
        <v>163.03045266644415</v>
      </c>
      <c r="Q7" s="507">
        <v>182.11243650126156</v>
      </c>
      <c r="R7" s="507">
        <v>175.80582842724979</v>
      </c>
      <c r="S7" s="507">
        <v>130.99314213624893</v>
      </c>
      <c r="T7" s="507">
        <v>158.72730025231286</v>
      </c>
      <c r="U7" s="507">
        <v>164.01821026072327</v>
      </c>
      <c r="V7" s="507">
        <v>155.49641715727503</v>
      </c>
      <c r="W7" s="507">
        <v>173.17700588730025</v>
      </c>
      <c r="X7" s="507">
        <v>178.94957275021028</v>
      </c>
      <c r="Y7" s="507">
        <v>173.86042052144666</v>
      </c>
      <c r="Z7" s="507">
        <v>165.53555761143821</v>
      </c>
      <c r="AA7" s="515"/>
      <c r="AB7" s="607">
        <f>SUM(C7:N7)</f>
        <v>2204.4221431119845</v>
      </c>
      <c r="AC7" s="607">
        <f>SUM(O7:Z7)</f>
        <v>2003.9696219083223</v>
      </c>
    </row>
    <row r="8" spans="1:29">
      <c r="A8" s="499" t="str">
        <f>A7</f>
        <v>Total C2 (Ability 1rev0_2Dec'21)</v>
      </c>
      <c r="B8" s="506" t="s">
        <v>237</v>
      </c>
      <c r="C8" s="508">
        <f>C7/24/C5*1000</f>
        <v>267.48362252347368</v>
      </c>
      <c r="D8" s="508">
        <f t="shared" ref="D8:Q8" si="12">D7/24/D5*1000</f>
        <v>271.19165863732042</v>
      </c>
      <c r="E8" s="508">
        <f t="shared" si="12"/>
        <v>274.10054046563198</v>
      </c>
      <c r="F8" s="508">
        <f t="shared" si="12"/>
        <v>256.08290882967606</v>
      </c>
      <c r="G8" s="508">
        <f t="shared" si="12"/>
        <v>273.67473118279571</v>
      </c>
      <c r="H8" s="508">
        <f t="shared" si="12"/>
        <v>272.58611111111111</v>
      </c>
      <c r="I8" s="508">
        <f t="shared" si="12"/>
        <v>197.57926993775337</v>
      </c>
      <c r="J8" s="508">
        <f>J7/24/J5*1000</f>
        <v>259.46718847154062</v>
      </c>
      <c r="K8" s="508">
        <f t="shared" si="12"/>
        <v>246.85871620287935</v>
      </c>
      <c r="L8" s="508">
        <f t="shared" si="12"/>
        <v>223.35667909932926</v>
      </c>
      <c r="M8" s="508">
        <f t="shared" si="12"/>
        <v>243.0387422186418</v>
      </c>
      <c r="N8" s="508">
        <f t="shared" si="12"/>
        <v>236.61415660824332</v>
      </c>
      <c r="O8" s="508">
        <f t="shared" si="12"/>
        <v>244.97752383926212</v>
      </c>
      <c r="P8" s="508">
        <f t="shared" si="12"/>
        <v>242.60484027744664</v>
      </c>
      <c r="Q8" s="508">
        <f t="shared" si="12"/>
        <v>244.77478024363111</v>
      </c>
      <c r="R8" s="508">
        <f t="shared" ref="R8:T8" si="13">R7/24/R5*1000</f>
        <v>244.1747617045136</v>
      </c>
      <c r="S8" s="508">
        <f t="shared" ref="S8" si="14">S7/24/S5*1000</f>
        <v>176.06605125839911</v>
      </c>
      <c r="T8" s="508">
        <f t="shared" si="13"/>
        <v>220.45458368376785</v>
      </c>
      <c r="U8" s="508">
        <f t="shared" ref="U8:V8" si="15">U7/24/U5*1000</f>
        <v>220.45458368376782</v>
      </c>
      <c r="V8" s="508">
        <f t="shared" si="15"/>
        <v>209.00056069526215</v>
      </c>
      <c r="W8" s="508">
        <f t="shared" ref="W8:X8" si="16">W7/24/W5*1000</f>
        <v>240.52361928791703</v>
      </c>
      <c r="X8" s="508">
        <f t="shared" si="16"/>
        <v>240.52361928791706</v>
      </c>
      <c r="Y8" s="508">
        <f t="shared" ref="Y8:Z8" si="17">Y7/24/Y5*1000</f>
        <v>241.47280627978702</v>
      </c>
      <c r="Z8" s="508">
        <f t="shared" si="17"/>
        <v>222.49402904763198</v>
      </c>
      <c r="AA8" s="458"/>
      <c r="AB8" s="608"/>
    </row>
    <row r="9" spans="1:29">
      <c r="A9" s="536" t="s">
        <v>238</v>
      </c>
      <c r="B9" s="506" t="s">
        <v>44</v>
      </c>
      <c r="C9" s="514">
        <v>46.135481653151565</v>
      </c>
      <c r="D9" s="514">
        <v>43.424837382564775</v>
      </c>
      <c r="E9" s="514">
        <v>49.847999999999999</v>
      </c>
      <c r="F9" s="514">
        <v>45.454103448275859</v>
      </c>
      <c r="G9" s="514">
        <v>48.475999999999999</v>
      </c>
      <c r="H9" s="514">
        <v>47.353999999999999</v>
      </c>
      <c r="I9" s="514">
        <v>47.312241302931142</v>
      </c>
      <c r="J9" s="514">
        <v>45.688551724137902</v>
      </c>
      <c r="K9" s="514">
        <v>46.252241379310348</v>
      </c>
      <c r="L9" s="514">
        <v>48.034999999999997</v>
      </c>
      <c r="M9" s="514">
        <v>46.204999999999998</v>
      </c>
      <c r="N9" s="514">
        <v>40.066241379310341</v>
      </c>
      <c r="O9" s="514">
        <v>48.05</v>
      </c>
      <c r="P9" s="514">
        <v>42.473103448275864</v>
      </c>
      <c r="Q9" s="514">
        <v>43.357241379310366</v>
      </c>
      <c r="R9" s="514">
        <v>43.572413793103472</v>
      </c>
      <c r="S9" s="514">
        <v>38.462068965517219</v>
      </c>
      <c r="T9" s="514">
        <v>29.048275862068941</v>
      </c>
      <c r="U9" s="514">
        <v>30.016551724137905</v>
      </c>
      <c r="V9" s="514">
        <v>29.182758620689636</v>
      </c>
      <c r="W9" s="514">
        <v>45.993103448275861</v>
      </c>
      <c r="X9" s="514">
        <v>47.526206896551727</v>
      </c>
      <c r="Y9" s="514">
        <v>45.993103448275861</v>
      </c>
      <c r="Z9" s="514">
        <v>38.929655172413796</v>
      </c>
      <c r="AA9" s="443"/>
      <c r="AB9" s="607">
        <f>SUM(C9:N9)</f>
        <v>554.25169826968192</v>
      </c>
    </row>
    <row r="10" spans="1:29">
      <c r="A10" s="499" t="s">
        <v>238</v>
      </c>
      <c r="B10" s="506" t="s">
        <v>237</v>
      </c>
      <c r="C10" s="509">
        <f>C9/24/C5*1000</f>
        <v>62.010055985418774</v>
      </c>
      <c r="D10" s="509">
        <f t="shared" ref="D10:Q10" si="18">D9/24/D5*1000</f>
        <v>64.620293724054733</v>
      </c>
      <c r="E10" s="509">
        <f t="shared" si="18"/>
        <v>67</v>
      </c>
      <c r="F10" s="509">
        <f t="shared" si="18"/>
        <v>63.130699233716477</v>
      </c>
      <c r="G10" s="509">
        <f t="shared" si="18"/>
        <v>65.15591397849461</v>
      </c>
      <c r="H10" s="509">
        <f t="shared" si="18"/>
        <v>65.769444444444446</v>
      </c>
      <c r="I10" s="509">
        <f>I9/24/I5*1000</f>
        <v>63.591722181359053</v>
      </c>
      <c r="J10" s="509">
        <f t="shared" si="18"/>
        <v>61.409343715239118</v>
      </c>
      <c r="K10" s="509">
        <f t="shared" si="18"/>
        <v>64.239224137931046</v>
      </c>
      <c r="L10" s="509">
        <f t="shared" si="18"/>
        <v>64.563172043010752</v>
      </c>
      <c r="M10" s="509">
        <f t="shared" si="18"/>
        <v>64.173611111111114</v>
      </c>
      <c r="N10" s="509">
        <f t="shared" si="18"/>
        <v>53.852474972191317</v>
      </c>
      <c r="O10" s="509">
        <f t="shared" si="18"/>
        <v>64.583333333333329</v>
      </c>
      <c r="P10" s="509">
        <f t="shared" si="18"/>
        <v>63.204022988505749</v>
      </c>
      <c r="Q10" s="509">
        <f t="shared" si="18"/>
        <v>58.275862068965544</v>
      </c>
      <c r="R10" s="509">
        <f t="shared" ref="R10:T10" si="19">R9/24/R5*1000</f>
        <v>60.517241379310377</v>
      </c>
      <c r="S10" s="509">
        <f t="shared" ref="S10" si="20">S9/24/S5*1000</f>
        <v>51.696329254727445</v>
      </c>
      <c r="T10" s="509">
        <f t="shared" si="19"/>
        <v>40.344827586206861</v>
      </c>
      <c r="U10" s="509">
        <f t="shared" ref="U10:V10" si="21">U9/24/U5*1000</f>
        <v>40.344827586206861</v>
      </c>
      <c r="V10" s="509">
        <f t="shared" si="21"/>
        <v>39.224137931034456</v>
      </c>
      <c r="W10" s="509">
        <f t="shared" ref="W10:X10" si="22">W9/24/W5*1000</f>
        <v>63.87931034482758</v>
      </c>
      <c r="X10" s="509">
        <f t="shared" si="22"/>
        <v>63.879310344827594</v>
      </c>
      <c r="Y10" s="509">
        <f t="shared" ref="Y10:Z10" si="23">Y9/24/Y5*1000</f>
        <v>63.87931034482758</v>
      </c>
      <c r="Z10" s="509">
        <f t="shared" si="23"/>
        <v>52.324805339265851</v>
      </c>
      <c r="AA10" s="521"/>
      <c r="AB10" s="608"/>
    </row>
    <row r="11" spans="1:29">
      <c r="A11" s="499"/>
      <c r="B11" s="506"/>
      <c r="C11" s="509"/>
      <c r="D11" s="509"/>
      <c r="E11" s="509"/>
      <c r="F11" s="509"/>
      <c r="G11" s="509"/>
      <c r="H11" s="509"/>
      <c r="I11" s="509"/>
      <c r="J11" s="509"/>
      <c r="K11" s="706"/>
      <c r="L11" s="509"/>
      <c r="M11" s="509"/>
      <c r="N11" s="509"/>
      <c r="O11" s="509"/>
      <c r="P11" s="509"/>
      <c r="Q11" s="509"/>
      <c r="R11" s="509"/>
      <c r="S11" s="509"/>
      <c r="T11" s="509"/>
      <c r="U11" s="509"/>
      <c r="V11" s="509"/>
      <c r="W11" s="509"/>
      <c r="X11" s="509"/>
      <c r="Y11" s="509"/>
      <c r="Z11" s="509"/>
      <c r="AA11" s="521"/>
      <c r="AB11" s="608"/>
    </row>
    <row r="12" spans="1:29">
      <c r="A12" s="499" t="s">
        <v>239</v>
      </c>
      <c r="B12" s="506"/>
      <c r="C12" s="509"/>
      <c r="D12" s="509"/>
      <c r="E12" s="509"/>
      <c r="F12" s="509"/>
      <c r="G12" s="509"/>
      <c r="H12" s="509"/>
      <c r="I12" s="509"/>
      <c r="J12" s="509"/>
      <c r="K12" s="509"/>
      <c r="L12" s="509"/>
      <c r="M12" s="509"/>
      <c r="N12" s="509"/>
      <c r="O12" s="509"/>
      <c r="P12" s="509"/>
      <c r="Q12" s="509"/>
      <c r="R12" s="509"/>
      <c r="S12" s="509"/>
      <c r="T12" s="509"/>
      <c r="U12" s="509"/>
      <c r="V12" s="509"/>
      <c r="W12" s="509"/>
      <c r="X12" s="509"/>
      <c r="Y12" s="509"/>
      <c r="Z12" s="509"/>
      <c r="AA12" s="521"/>
      <c r="AB12" s="512" t="s">
        <v>295</v>
      </c>
    </row>
    <row r="13" spans="1:29">
      <c r="A13" s="499" t="s">
        <v>266</v>
      </c>
      <c r="B13" s="506" t="s">
        <v>237</v>
      </c>
      <c r="C13" s="509"/>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519"/>
      <c r="AB13" s="608"/>
    </row>
    <row r="14" spans="1:29">
      <c r="A14" s="499" t="s">
        <v>271</v>
      </c>
      <c r="B14" s="506" t="s">
        <v>237</v>
      </c>
      <c r="C14" s="509"/>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519"/>
      <c r="AB14" s="608"/>
    </row>
    <row r="15" spans="1:29">
      <c r="A15" s="499"/>
      <c r="B15" s="506"/>
      <c r="C15" s="509"/>
      <c r="D15" s="509"/>
      <c r="E15" s="509"/>
      <c r="F15" s="509"/>
      <c r="G15" s="509"/>
      <c r="H15" s="509"/>
      <c r="I15" s="509"/>
      <c r="J15" s="509"/>
      <c r="K15" s="509"/>
      <c r="L15" s="509"/>
      <c r="M15" s="509"/>
      <c r="N15" s="509"/>
      <c r="O15" s="509"/>
      <c r="P15" s="509"/>
      <c r="Q15" s="509"/>
      <c r="R15" s="509"/>
      <c r="S15" s="509"/>
      <c r="T15" s="509"/>
      <c r="U15" s="509"/>
      <c r="V15" s="509"/>
      <c r="W15" s="509"/>
      <c r="X15" s="509"/>
      <c r="Y15" s="509"/>
      <c r="Z15" s="509"/>
      <c r="AA15" s="521"/>
      <c r="AB15" s="608"/>
    </row>
    <row r="16" spans="1:29">
      <c r="A16" s="499" t="s">
        <v>265</v>
      </c>
      <c r="B16" s="506" t="s">
        <v>237</v>
      </c>
      <c r="C16" s="510"/>
      <c r="D16" s="510"/>
      <c r="E16" s="510">
        <f t="shared" ref="E16:P16" si="24">E8-275</f>
        <v>-0.89945953436802029</v>
      </c>
      <c r="F16" s="510">
        <f t="shared" si="24"/>
        <v>-18.917091170323943</v>
      </c>
      <c r="G16" s="510">
        <f t="shared" si="24"/>
        <v>-1.3252688172042895</v>
      </c>
      <c r="H16" s="510">
        <f t="shared" si="24"/>
        <v>-2.4138888888888914</v>
      </c>
      <c r="I16" s="510">
        <f t="shared" si="24"/>
        <v>-77.420730062246633</v>
      </c>
      <c r="J16" s="510">
        <f t="shared" si="24"/>
        <v>-15.532811528459376</v>
      </c>
      <c r="K16" s="510">
        <f t="shared" si="24"/>
        <v>-28.14128379712065</v>
      </c>
      <c r="L16" s="510">
        <f t="shared" si="24"/>
        <v>-51.643320900670744</v>
      </c>
      <c r="M16" s="510">
        <f t="shared" si="24"/>
        <v>-31.961257781358199</v>
      </c>
      <c r="N16" s="510">
        <f t="shared" si="24"/>
        <v>-38.38584339175668</v>
      </c>
      <c r="O16" s="510">
        <f t="shared" si="24"/>
        <v>-30.022476160737881</v>
      </c>
      <c r="P16" s="510">
        <f t="shared" si="24"/>
        <v>-32.395159722553359</v>
      </c>
      <c r="Q16" s="510">
        <f t="shared" ref="Q16:R16" si="25">Q8-275</f>
        <v>-30.225219756368887</v>
      </c>
      <c r="R16" s="510">
        <f t="shared" si="25"/>
        <v>-30.8252382954864</v>
      </c>
      <c r="S16" s="510">
        <f>S8-275</f>
        <v>-98.933948741600886</v>
      </c>
      <c r="T16" s="510">
        <f t="shared" ref="T16" si="26">T8-275</f>
        <v>-54.545416316232149</v>
      </c>
      <c r="U16" s="510">
        <f t="shared" ref="U16:V16" si="27">U8-275</f>
        <v>-54.545416316232178</v>
      </c>
      <c r="V16" s="510">
        <f t="shared" si="27"/>
        <v>-65.999439304737848</v>
      </c>
      <c r="W16" s="510">
        <f t="shared" ref="W16:X16" si="28">W8-275</f>
        <v>-34.476380712082971</v>
      </c>
      <c r="X16" s="510">
        <f t="shared" si="28"/>
        <v>-34.476380712082943</v>
      </c>
      <c r="Y16" s="510">
        <f t="shared" ref="Y16:Z16" si="29">Y8-275</f>
        <v>-33.527193720212978</v>
      </c>
      <c r="Z16" s="510">
        <f t="shared" si="29"/>
        <v>-52.505970952368017</v>
      </c>
      <c r="AA16" s="522"/>
      <c r="AB16" s="608"/>
    </row>
    <row r="17" spans="1:31">
      <c r="A17" s="499" t="s">
        <v>240</v>
      </c>
      <c r="B17" s="506"/>
      <c r="C17" s="213"/>
      <c r="D17" s="213"/>
      <c r="E17" s="436"/>
      <c r="F17" s="436"/>
      <c r="G17" s="436"/>
      <c r="H17" s="436"/>
      <c r="I17" s="436"/>
      <c r="J17" s="436"/>
      <c r="K17" s="436"/>
      <c r="L17" s="436"/>
      <c r="M17" s="436"/>
      <c r="N17" s="436"/>
      <c r="O17" s="436"/>
      <c r="P17" s="436"/>
      <c r="Q17" s="436"/>
      <c r="R17" s="436"/>
      <c r="S17" s="436"/>
      <c r="T17" s="436"/>
      <c r="U17" s="436"/>
      <c r="V17" s="436"/>
      <c r="W17" s="436"/>
      <c r="X17" s="436"/>
      <c r="Y17" s="436"/>
      <c r="Z17" s="436"/>
      <c r="AA17" s="522"/>
      <c r="AB17" s="608"/>
    </row>
    <row r="18" spans="1:31">
      <c r="A18" s="499" t="s">
        <v>0</v>
      </c>
      <c r="B18" s="506" t="s">
        <v>237</v>
      </c>
      <c r="C18" s="213"/>
      <c r="D18" s="510"/>
      <c r="E18" s="510">
        <f t="shared" ref="E18:P18" si="30">E13/(E13+E14)*E16</f>
        <v>-0.85039810522067372</v>
      </c>
      <c r="F18" s="510">
        <f t="shared" si="30"/>
        <v>-17.885249833760817</v>
      </c>
      <c r="G18" s="510">
        <f t="shared" si="30"/>
        <v>-1.2529814271749646</v>
      </c>
      <c r="H18" s="510">
        <f t="shared" si="30"/>
        <v>-2.2822222222222246</v>
      </c>
      <c r="I18" s="510">
        <f t="shared" si="30"/>
        <v>-73.197781149760459</v>
      </c>
      <c r="J18" s="510">
        <f t="shared" si="30"/>
        <v>-14.685567263270682</v>
      </c>
      <c r="K18" s="510">
        <f t="shared" si="30"/>
        <v>-26.606304680914068</v>
      </c>
      <c r="L18" s="510">
        <f t="shared" si="30"/>
        <v>-48.826412487906886</v>
      </c>
      <c r="M18" s="510">
        <f t="shared" si="30"/>
        <v>-30.21791644782957</v>
      </c>
      <c r="N18" s="510">
        <f t="shared" si="30"/>
        <v>-36.292070115842677</v>
      </c>
      <c r="O18" s="510">
        <f t="shared" si="30"/>
        <v>-28.384886551970361</v>
      </c>
      <c r="P18" s="510">
        <f t="shared" si="30"/>
        <v>-30.628151010414083</v>
      </c>
      <c r="Q18" s="510">
        <f t="shared" ref="Q18:V18" si="31">Q13/(Q13+Q14)*Q16</f>
        <v>-28.576571406021493</v>
      </c>
      <c r="R18" s="510">
        <f t="shared" si="31"/>
        <v>-29.143861661187142</v>
      </c>
      <c r="S18" s="510">
        <f t="shared" si="31"/>
        <v>-93.537551537513565</v>
      </c>
      <c r="T18" s="510">
        <f t="shared" si="31"/>
        <v>-51.570211789892213</v>
      </c>
      <c r="U18" s="510">
        <f t="shared" si="31"/>
        <v>-51.570211789892241</v>
      </c>
      <c r="V18" s="510">
        <f t="shared" si="31"/>
        <v>-62.399469888115782</v>
      </c>
      <c r="W18" s="510">
        <f t="shared" ref="W18:X18" si="32">W13/(W13+W14)*W16</f>
        <v>-32.595850855060263</v>
      </c>
      <c r="X18" s="510">
        <f t="shared" si="32"/>
        <v>-32.595850855060235</v>
      </c>
      <c r="Y18" s="510">
        <f t="shared" ref="Y18:Z18" si="33">Y13/(Y13+Y14)*Y16</f>
        <v>-31.69843769911045</v>
      </c>
      <c r="Z18" s="510">
        <f t="shared" si="33"/>
        <v>-49.64200890042067</v>
      </c>
      <c r="AA18" s="522"/>
      <c r="AB18" s="608"/>
    </row>
    <row r="19" spans="1:31">
      <c r="A19" s="499" t="s">
        <v>185</v>
      </c>
      <c r="B19" s="506" t="s">
        <v>237</v>
      </c>
      <c r="C19" s="213"/>
      <c r="D19" s="510"/>
      <c r="E19" s="510">
        <f t="shared" ref="E19:P19" si="34">E14/(E13+E14)*E16</f>
        <v>-4.9061429147346555E-2</v>
      </c>
      <c r="F19" s="510">
        <f t="shared" si="34"/>
        <v>-1.031841336563124</v>
      </c>
      <c r="G19" s="510">
        <f t="shared" si="34"/>
        <v>-7.2287390029324883E-2</v>
      </c>
      <c r="H19" s="510">
        <f t="shared" si="34"/>
        <v>-0.13166666666666679</v>
      </c>
      <c r="I19" s="510">
        <f>I14/(I13+I14)*I16</f>
        <v>-4.2229489124861797</v>
      </c>
      <c r="J19" s="510">
        <f t="shared" si="34"/>
        <v>-0.84724426518869322</v>
      </c>
      <c r="K19" s="510">
        <f t="shared" si="34"/>
        <v>-1.5349791162065809</v>
      </c>
      <c r="L19" s="510">
        <f t="shared" si="34"/>
        <v>-2.8169084127638588</v>
      </c>
      <c r="M19" s="510">
        <f t="shared" si="34"/>
        <v>-1.743341333528629</v>
      </c>
      <c r="N19" s="510">
        <f t="shared" si="34"/>
        <v>-2.0937732759140006</v>
      </c>
      <c r="O19" s="510">
        <f t="shared" si="34"/>
        <v>-1.6375896087675208</v>
      </c>
      <c r="P19" s="510">
        <f t="shared" si="34"/>
        <v>-1.7670087121392741</v>
      </c>
      <c r="Q19" s="510">
        <f t="shared" ref="Q19:V19" si="35">Q14/(Q13+Q14)*Q16</f>
        <v>-1.6486483503473937</v>
      </c>
      <c r="R19" s="510">
        <f t="shared" si="35"/>
        <v>-1.6813766342992582</v>
      </c>
      <c r="S19" s="510">
        <f t="shared" si="35"/>
        <v>-5.3963972040873207</v>
      </c>
      <c r="T19" s="510">
        <f t="shared" si="35"/>
        <v>-2.9752045263399354</v>
      </c>
      <c r="U19" s="510">
        <f t="shared" si="35"/>
        <v>-2.9752045263399367</v>
      </c>
      <c r="V19" s="510">
        <f t="shared" si="35"/>
        <v>-3.5999694166220642</v>
      </c>
      <c r="W19" s="510">
        <f t="shared" ref="W19:X19" si="36">W14/(W13+W14)*W16</f>
        <v>-1.8805298570227074</v>
      </c>
      <c r="X19" s="510">
        <f t="shared" si="36"/>
        <v>-1.8805298570227058</v>
      </c>
      <c r="Y19" s="510">
        <f t="shared" ref="Y19:Z19" si="37">Y14/(Y13+Y14)*Y16</f>
        <v>-1.828756021102526</v>
      </c>
      <c r="Z19" s="510">
        <f t="shared" si="37"/>
        <v>-2.8639620519473463</v>
      </c>
      <c r="AA19" s="522"/>
      <c r="AB19" s="608"/>
    </row>
    <row r="20" spans="1:31">
      <c r="A20" s="499"/>
      <c r="B20" s="506"/>
      <c r="C20" s="213"/>
      <c r="D20" s="213"/>
      <c r="E20" s="436"/>
      <c r="F20" s="436"/>
      <c r="G20" s="436"/>
      <c r="H20" s="436"/>
      <c r="I20" s="436"/>
      <c r="J20" s="436"/>
      <c r="K20" s="436"/>
      <c r="L20" s="436"/>
      <c r="M20" s="436"/>
      <c r="N20" s="436"/>
      <c r="O20" s="436"/>
      <c r="P20" s="436"/>
      <c r="Q20" s="436"/>
      <c r="R20" s="436"/>
      <c r="S20" s="436"/>
      <c r="T20" s="436"/>
      <c r="U20" s="436"/>
      <c r="V20" s="436"/>
      <c r="W20" s="436"/>
      <c r="X20" s="436"/>
      <c r="Y20" s="436"/>
      <c r="Z20" s="436"/>
      <c r="AA20" s="522"/>
      <c r="AB20" s="608"/>
    </row>
    <row r="21" spans="1:31">
      <c r="A21" s="501" t="s">
        <v>242</v>
      </c>
      <c r="B21" s="501" t="s">
        <v>72</v>
      </c>
      <c r="C21" s="502">
        <f t="shared" ref="C21:Q21" si="38">C6</f>
        <v>44198</v>
      </c>
      <c r="D21" s="502">
        <f t="shared" si="38"/>
        <v>44229</v>
      </c>
      <c r="E21" s="502">
        <f t="shared" si="38"/>
        <v>44257</v>
      </c>
      <c r="F21" s="502">
        <f t="shared" si="38"/>
        <v>44288</v>
      </c>
      <c r="G21" s="502">
        <f t="shared" si="38"/>
        <v>44318</v>
      </c>
      <c r="H21" s="502">
        <f t="shared" si="38"/>
        <v>44349</v>
      </c>
      <c r="I21" s="502">
        <f t="shared" si="38"/>
        <v>44379</v>
      </c>
      <c r="J21" s="502">
        <f t="shared" si="38"/>
        <v>44410</v>
      </c>
      <c r="K21" s="502">
        <f t="shared" si="38"/>
        <v>44441</v>
      </c>
      <c r="L21" s="503">
        <f t="shared" si="38"/>
        <v>44471</v>
      </c>
      <c r="M21" s="503">
        <f t="shared" si="38"/>
        <v>44502</v>
      </c>
      <c r="N21" s="503">
        <f t="shared" si="38"/>
        <v>44532</v>
      </c>
      <c r="O21" s="503">
        <f t="shared" si="38"/>
        <v>44563</v>
      </c>
      <c r="P21" s="503">
        <f t="shared" si="38"/>
        <v>44594</v>
      </c>
      <c r="Q21" s="503">
        <f t="shared" si="38"/>
        <v>44622</v>
      </c>
      <c r="R21" s="503">
        <f t="shared" ref="R21:T21" si="39">R6</f>
        <v>44653</v>
      </c>
      <c r="S21" s="503">
        <f t="shared" ref="S21" si="40">S6</f>
        <v>44683</v>
      </c>
      <c r="T21" s="503">
        <f t="shared" si="39"/>
        <v>44714</v>
      </c>
      <c r="U21" s="503">
        <f t="shared" ref="U21:V21" si="41">U6</f>
        <v>44744</v>
      </c>
      <c r="V21" s="503">
        <f t="shared" si="41"/>
        <v>44775</v>
      </c>
      <c r="W21" s="503">
        <f t="shared" ref="W21:X21" si="42">W6</f>
        <v>44806</v>
      </c>
      <c r="X21" s="503">
        <f t="shared" si="42"/>
        <v>44836</v>
      </c>
      <c r="Y21" s="503">
        <f t="shared" ref="Y21:Z21" si="43">Y6</f>
        <v>44867</v>
      </c>
      <c r="Z21" s="503">
        <f t="shared" si="43"/>
        <v>44897</v>
      </c>
      <c r="AA21" s="522"/>
      <c r="AB21" s="608"/>
    </row>
    <row r="22" spans="1:31" s="651" customFormat="1">
      <c r="A22" s="645" t="s">
        <v>292</v>
      </c>
      <c r="B22" s="646" t="s">
        <v>45</v>
      </c>
      <c r="C22" s="647">
        <v>0</v>
      </c>
      <c r="D22" s="647">
        <v>0</v>
      </c>
      <c r="E22" s="648">
        <v>5040</v>
      </c>
      <c r="F22" s="648">
        <v>5760</v>
      </c>
      <c r="G22" s="648">
        <v>11160</v>
      </c>
      <c r="H22" s="648">
        <v>11664</v>
      </c>
      <c r="I22" s="648">
        <v>11160</v>
      </c>
      <c r="J22" s="648">
        <v>11160</v>
      </c>
      <c r="K22" s="648">
        <v>10800</v>
      </c>
      <c r="L22" s="648">
        <v>11160</v>
      </c>
      <c r="M22" s="648">
        <v>10800</v>
      </c>
      <c r="N22" s="648">
        <v>11160</v>
      </c>
      <c r="O22" s="648">
        <v>11160</v>
      </c>
      <c r="P22" s="648">
        <v>10080</v>
      </c>
      <c r="Q22" s="648">
        <v>11160</v>
      </c>
      <c r="R22" s="648">
        <v>10800</v>
      </c>
      <c r="S22" s="648">
        <v>11160</v>
      </c>
      <c r="T22" s="648">
        <v>10800</v>
      </c>
      <c r="U22" s="648">
        <v>11160</v>
      </c>
      <c r="V22" s="648">
        <v>11160</v>
      </c>
      <c r="W22" s="648">
        <v>10800</v>
      </c>
      <c r="X22" s="648">
        <v>11160</v>
      </c>
      <c r="Y22" s="648">
        <v>10800</v>
      </c>
      <c r="Z22" s="648">
        <v>11160</v>
      </c>
      <c r="AA22" s="649"/>
      <c r="AB22" s="650"/>
      <c r="AC22" s="686"/>
      <c r="AD22" s="686"/>
      <c r="AE22"/>
    </row>
    <row r="23" spans="1:31">
      <c r="A23" s="596" t="s">
        <v>292</v>
      </c>
      <c r="B23" s="597" t="s">
        <v>44</v>
      </c>
      <c r="C23" s="600">
        <v>0</v>
      </c>
      <c r="D23" s="601">
        <v>0</v>
      </c>
      <c r="E23" s="601">
        <f>E22/1000</f>
        <v>5.04</v>
      </c>
      <c r="F23" s="601">
        <f t="shared" ref="F23:Q23" si="44">F22/1000</f>
        <v>5.76</v>
      </c>
      <c r="G23" s="601">
        <f t="shared" si="44"/>
        <v>11.16</v>
      </c>
      <c r="H23" s="601">
        <f t="shared" si="44"/>
        <v>11.664</v>
      </c>
      <c r="I23" s="601">
        <f t="shared" si="44"/>
        <v>11.16</v>
      </c>
      <c r="J23" s="601">
        <f t="shared" si="44"/>
        <v>11.16</v>
      </c>
      <c r="K23" s="601">
        <f t="shared" si="44"/>
        <v>10.8</v>
      </c>
      <c r="L23" s="601">
        <f t="shared" si="44"/>
        <v>11.16</v>
      </c>
      <c r="M23" s="601">
        <f t="shared" si="44"/>
        <v>10.8</v>
      </c>
      <c r="N23" s="601">
        <f t="shared" si="44"/>
        <v>11.16</v>
      </c>
      <c r="O23" s="601">
        <f t="shared" si="44"/>
        <v>11.16</v>
      </c>
      <c r="P23" s="601">
        <f t="shared" si="44"/>
        <v>10.08</v>
      </c>
      <c r="Q23" s="601">
        <f t="shared" si="44"/>
        <v>11.16</v>
      </c>
      <c r="R23" s="601">
        <f t="shared" ref="R23:T23" si="45">R22/1000</f>
        <v>10.8</v>
      </c>
      <c r="S23" s="601">
        <f t="shared" ref="S23" si="46">S22/1000</f>
        <v>11.16</v>
      </c>
      <c r="T23" s="601">
        <f t="shared" si="45"/>
        <v>10.8</v>
      </c>
      <c r="U23" s="601">
        <f t="shared" ref="U23:V23" si="47">U22/1000</f>
        <v>11.16</v>
      </c>
      <c r="V23" s="601">
        <f t="shared" si="47"/>
        <v>11.16</v>
      </c>
      <c r="W23" s="601">
        <f t="shared" ref="W23:X23" si="48">W22/1000</f>
        <v>10.8</v>
      </c>
      <c r="X23" s="601">
        <f t="shared" si="48"/>
        <v>11.16</v>
      </c>
      <c r="Y23" s="601">
        <f t="shared" ref="Y23:Z23" si="49">Y22/1000</f>
        <v>10.8</v>
      </c>
      <c r="Z23" s="601">
        <f t="shared" si="49"/>
        <v>11.16</v>
      </c>
      <c r="AA23" s="522"/>
      <c r="AB23" s="608"/>
    </row>
    <row r="24" spans="1:31">
      <c r="A24" s="596" t="s">
        <v>292</v>
      </c>
      <c r="B24" s="597" t="s">
        <v>237</v>
      </c>
      <c r="C24" s="598">
        <f t="shared" ref="C24:Q24" si="50">C23/24/C5*1000</f>
        <v>0</v>
      </c>
      <c r="D24" s="599">
        <f t="shared" si="50"/>
        <v>0</v>
      </c>
      <c r="E24" s="599">
        <f t="shared" si="50"/>
        <v>6.774193548387097</v>
      </c>
      <c r="F24" s="599">
        <f t="shared" si="50"/>
        <v>8</v>
      </c>
      <c r="G24" s="599">
        <f t="shared" si="50"/>
        <v>15.000000000000002</v>
      </c>
      <c r="H24" s="627">
        <f t="shared" si="50"/>
        <v>16.2</v>
      </c>
      <c r="I24" s="627">
        <f t="shared" si="50"/>
        <v>15.000000000000002</v>
      </c>
      <c r="J24" s="599">
        <f t="shared" si="50"/>
        <v>15.000000000000002</v>
      </c>
      <c r="K24" s="599">
        <f t="shared" si="50"/>
        <v>15.000000000000002</v>
      </c>
      <c r="L24" s="599">
        <f t="shared" si="50"/>
        <v>15.000000000000002</v>
      </c>
      <c r="M24" s="599">
        <f t="shared" si="50"/>
        <v>15.000000000000002</v>
      </c>
      <c r="N24" s="599">
        <f t="shared" si="50"/>
        <v>15.000000000000002</v>
      </c>
      <c r="O24" s="599">
        <f t="shared" si="50"/>
        <v>15.000000000000002</v>
      </c>
      <c r="P24" s="599">
        <f t="shared" si="50"/>
        <v>15</v>
      </c>
      <c r="Q24" s="599">
        <f t="shared" si="50"/>
        <v>15.000000000000002</v>
      </c>
      <c r="R24" s="599">
        <f t="shared" ref="R24:T24" si="51">R23/24/R5*1000</f>
        <v>15.000000000000002</v>
      </c>
      <c r="S24" s="599">
        <f t="shared" ref="S24" si="52">S23/24/S5*1000</f>
        <v>15.000000000000002</v>
      </c>
      <c r="T24" s="599">
        <f t="shared" si="51"/>
        <v>15.000000000000002</v>
      </c>
      <c r="U24" s="599">
        <f t="shared" ref="U24:V24" si="53">U23/24/U5*1000</f>
        <v>15.000000000000002</v>
      </c>
      <c r="V24" s="599">
        <f t="shared" si="53"/>
        <v>15.000000000000002</v>
      </c>
      <c r="W24" s="599">
        <f t="shared" ref="W24:X24" si="54">W23/24/W5*1000</f>
        <v>15.000000000000002</v>
      </c>
      <c r="X24" s="599">
        <f t="shared" si="54"/>
        <v>15.000000000000002</v>
      </c>
      <c r="Y24" s="599">
        <f t="shared" ref="Y24:Z24" si="55">Y23/24/Y5*1000</f>
        <v>15.000000000000002</v>
      </c>
      <c r="Z24" s="599">
        <f t="shared" si="55"/>
        <v>15.000000000000002</v>
      </c>
      <c r="AA24" s="522"/>
      <c r="AB24" s="608" t="s">
        <v>277</v>
      </c>
    </row>
    <row r="25" spans="1:31">
      <c r="A25" s="596" t="s">
        <v>292</v>
      </c>
      <c r="B25" s="597" t="s">
        <v>249</v>
      </c>
      <c r="C25" s="598"/>
      <c r="D25" s="599">
        <f>D24*24</f>
        <v>0</v>
      </c>
      <c r="E25" s="592">
        <f t="shared" ref="E25:Q25" si="56">E24*24</f>
        <v>162.58064516129033</v>
      </c>
      <c r="F25" s="592">
        <f t="shared" si="56"/>
        <v>192</v>
      </c>
      <c r="G25" s="592">
        <f t="shared" si="56"/>
        <v>360.00000000000006</v>
      </c>
      <c r="H25" s="592">
        <f t="shared" si="56"/>
        <v>388.79999999999995</v>
      </c>
      <c r="I25" s="592">
        <f t="shared" si="56"/>
        <v>360.00000000000006</v>
      </c>
      <c r="J25" s="592">
        <f t="shared" si="56"/>
        <v>360.00000000000006</v>
      </c>
      <c r="K25" s="592">
        <f t="shared" si="56"/>
        <v>360.00000000000006</v>
      </c>
      <c r="L25" s="592">
        <f t="shared" si="56"/>
        <v>360.00000000000006</v>
      </c>
      <c r="M25" s="592">
        <f t="shared" si="56"/>
        <v>360.00000000000006</v>
      </c>
      <c r="N25" s="592">
        <f t="shared" si="56"/>
        <v>360.00000000000006</v>
      </c>
      <c r="O25" s="592">
        <f t="shared" si="56"/>
        <v>360.00000000000006</v>
      </c>
      <c r="P25" s="592">
        <f t="shared" si="56"/>
        <v>360</v>
      </c>
      <c r="Q25" s="592">
        <f t="shared" si="56"/>
        <v>360.00000000000006</v>
      </c>
      <c r="R25" s="592">
        <f t="shared" ref="R25:T25" si="57">R24*24</f>
        <v>360.00000000000006</v>
      </c>
      <c r="S25" s="592">
        <f t="shared" ref="S25" si="58">S24*24</f>
        <v>360.00000000000006</v>
      </c>
      <c r="T25" s="592">
        <f t="shared" si="57"/>
        <v>360.00000000000006</v>
      </c>
      <c r="U25" s="592">
        <f t="shared" ref="U25:V25" si="59">U24*24</f>
        <v>360.00000000000006</v>
      </c>
      <c r="V25" s="592">
        <f t="shared" si="59"/>
        <v>360.00000000000006</v>
      </c>
      <c r="W25" s="592">
        <f t="shared" ref="W25:X25" si="60">W24*24</f>
        <v>360.00000000000006</v>
      </c>
      <c r="X25" s="592">
        <f t="shared" si="60"/>
        <v>360.00000000000006</v>
      </c>
      <c r="Y25" s="592">
        <f t="shared" ref="Y25:Z25" si="61">Y24*24</f>
        <v>360.00000000000006</v>
      </c>
      <c r="Z25" s="592">
        <f t="shared" si="61"/>
        <v>360.00000000000006</v>
      </c>
      <c r="AA25" s="522"/>
      <c r="AB25" s="608"/>
    </row>
    <row r="26" spans="1:31" s="644" customFormat="1">
      <c r="A26" s="536" t="s">
        <v>244</v>
      </c>
      <c r="B26" s="639" t="s">
        <v>45</v>
      </c>
      <c r="C26" s="640"/>
      <c r="D26" s="641">
        <f>D28*24*D5</f>
        <v>0</v>
      </c>
      <c r="E26" s="641">
        <f t="shared" ref="E26:Q26" si="62">E28*24*E5</f>
        <v>5040</v>
      </c>
      <c r="F26" s="641">
        <f t="shared" si="62"/>
        <v>5760</v>
      </c>
      <c r="G26" s="641">
        <f t="shared" si="62"/>
        <v>11160.000000000002</v>
      </c>
      <c r="H26" s="641">
        <f>H28*24*H5</f>
        <v>11663.999999999998</v>
      </c>
      <c r="I26" s="641">
        <f t="shared" si="62"/>
        <v>8018.1260091102831</v>
      </c>
      <c r="J26" s="641">
        <f>J28*24*J5</f>
        <v>10529.650266699613</v>
      </c>
      <c r="K26" s="641">
        <f t="shared" si="62"/>
        <v>9694.8150363312634</v>
      </c>
      <c r="L26" s="641">
        <f t="shared" si="62"/>
        <v>9064.2201409036916</v>
      </c>
      <c r="M26" s="641">
        <f t="shared" si="62"/>
        <v>9544.7942398593877</v>
      </c>
      <c r="N26" s="641">
        <f t="shared" si="62"/>
        <v>9602.232682719985</v>
      </c>
      <c r="O26" s="641">
        <f t="shared" si="62"/>
        <v>9941.633331076966</v>
      </c>
      <c r="P26" s="641">
        <f t="shared" si="62"/>
        <v>8892.570145442407</v>
      </c>
      <c r="Q26" s="641">
        <f t="shared" si="62"/>
        <v>9933.4056273415408</v>
      </c>
      <c r="R26" s="641">
        <f t="shared" ref="R26:T26" si="63">R28*24*R5</f>
        <v>9589.408823304535</v>
      </c>
      <c r="S26" s="641">
        <f t="shared" ref="S26" si="64">S28*24*S5</f>
        <v>7145.0804801590357</v>
      </c>
      <c r="T26" s="641">
        <f t="shared" si="63"/>
        <v>8657.852741035249</v>
      </c>
      <c r="U26" s="641">
        <f t="shared" ref="U26:V26" si="65">U28*24*U5</f>
        <v>8946.4478324030897</v>
      </c>
      <c r="V26" s="641">
        <f t="shared" si="65"/>
        <v>8481.6227540331838</v>
      </c>
      <c r="W26" s="641">
        <f t="shared" ref="W26:X26" si="66">W28*24*W5</f>
        <v>9446.0185029436525</v>
      </c>
      <c r="X26" s="641">
        <f t="shared" si="66"/>
        <v>9760.8857863751091</v>
      </c>
      <c r="Y26" s="641">
        <f t="shared" ref="Y26:Z26" si="67">Y28*24*Y5</f>
        <v>9483.2956648061809</v>
      </c>
      <c r="Z26" s="641">
        <f t="shared" si="67"/>
        <v>9029.2122333511761</v>
      </c>
      <c r="AA26" s="642"/>
      <c r="AB26" s="643">
        <f>SUM(C26:N26)</f>
        <v>90077.838375624226</v>
      </c>
      <c r="AC26" s="643">
        <f>SUM(O26:Z26)</f>
        <v>109307.43392227213</v>
      </c>
    </row>
    <row r="27" spans="1:31">
      <c r="A27" s="517" t="s">
        <v>244</v>
      </c>
      <c r="B27" s="597" t="s">
        <v>44</v>
      </c>
      <c r="C27" s="598"/>
      <c r="D27" s="599">
        <f>D26/10^3</f>
        <v>0</v>
      </c>
      <c r="E27" s="599">
        <f t="shared" ref="E27:Q27" si="68">E26/10^3</f>
        <v>5.04</v>
      </c>
      <c r="F27" s="599">
        <f t="shared" si="68"/>
        <v>5.76</v>
      </c>
      <c r="G27" s="599">
        <f t="shared" si="68"/>
        <v>11.160000000000002</v>
      </c>
      <c r="H27" s="599">
        <f t="shared" si="68"/>
        <v>11.663999999999998</v>
      </c>
      <c r="I27" s="599">
        <f t="shared" si="68"/>
        <v>8.0181260091102828</v>
      </c>
      <c r="J27" s="599">
        <f t="shared" si="68"/>
        <v>10.529650266699614</v>
      </c>
      <c r="K27" s="599">
        <f t="shared" si="68"/>
        <v>9.6948150363312635</v>
      </c>
      <c r="L27" s="599">
        <f t="shared" si="68"/>
        <v>9.0642201409036911</v>
      </c>
      <c r="M27" s="599">
        <f t="shared" si="68"/>
        <v>9.544794239859387</v>
      </c>
      <c r="N27" s="599">
        <f t="shared" si="68"/>
        <v>9.6022326827199844</v>
      </c>
      <c r="O27" s="599">
        <f t="shared" si="68"/>
        <v>9.9416333310769662</v>
      </c>
      <c r="P27" s="599">
        <f t="shared" si="68"/>
        <v>8.8925701454424075</v>
      </c>
      <c r="Q27" s="599">
        <f t="shared" si="68"/>
        <v>9.933405627341541</v>
      </c>
      <c r="R27" s="599">
        <f t="shared" ref="R27:T27" si="69">R26/10^3</f>
        <v>9.5894088233045345</v>
      </c>
      <c r="S27" s="599">
        <f t="shared" ref="S27" si="70">S26/10^3</f>
        <v>7.1450804801590353</v>
      </c>
      <c r="T27" s="599">
        <f t="shared" si="69"/>
        <v>8.6578527410352493</v>
      </c>
      <c r="U27" s="599">
        <f t="shared" ref="U27:V27" si="71">U26/10^3</f>
        <v>8.9464478324030896</v>
      </c>
      <c r="V27" s="599">
        <f t="shared" si="71"/>
        <v>8.4816227540331841</v>
      </c>
      <c r="W27" s="599">
        <f t="shared" ref="W27:X27" si="72">W26/10^3</f>
        <v>9.4460185029436516</v>
      </c>
      <c r="X27" s="599">
        <f t="shared" si="72"/>
        <v>9.7608857863751091</v>
      </c>
      <c r="Y27" s="599">
        <f t="shared" ref="Y27:Z27" si="73">Y26/10^3</f>
        <v>9.4832956648061817</v>
      </c>
      <c r="Z27" s="599">
        <f t="shared" si="73"/>
        <v>9.029212233351176</v>
      </c>
      <c r="AA27" s="522"/>
      <c r="AB27" s="608"/>
    </row>
    <row r="28" spans="1:31">
      <c r="A28" s="499" t="s">
        <v>244</v>
      </c>
      <c r="B28" s="511" t="s">
        <v>237</v>
      </c>
      <c r="C28" s="594"/>
      <c r="D28" s="595">
        <f>D24</f>
        <v>0</v>
      </c>
      <c r="E28" s="595">
        <f t="shared" ref="E28:G28" si="74">E24</f>
        <v>6.774193548387097</v>
      </c>
      <c r="F28" s="595">
        <f t="shared" si="74"/>
        <v>8</v>
      </c>
      <c r="G28" s="595">
        <f t="shared" si="74"/>
        <v>15.000000000000002</v>
      </c>
      <c r="H28" s="595">
        <f>H24</f>
        <v>16.2</v>
      </c>
      <c r="I28" s="595">
        <f>I24+I19</f>
        <v>10.777051087513822</v>
      </c>
      <c r="J28" s="595">
        <f t="shared" ref="J28:Q28" si="75">J24+J19</f>
        <v>14.152755734811308</v>
      </c>
      <c r="K28" s="595">
        <f t="shared" si="75"/>
        <v>13.465020883793422</v>
      </c>
      <c r="L28" s="595">
        <f>L24+L19</f>
        <v>12.183091587236143</v>
      </c>
      <c r="M28" s="595">
        <f t="shared" si="75"/>
        <v>13.256658666471372</v>
      </c>
      <c r="N28" s="595">
        <f t="shared" si="75"/>
        <v>12.906226724086</v>
      </c>
      <c r="O28" s="595">
        <f t="shared" si="75"/>
        <v>13.362410391232482</v>
      </c>
      <c r="P28" s="595">
        <f t="shared" si="75"/>
        <v>13.232991287860726</v>
      </c>
      <c r="Q28" s="595">
        <f t="shared" si="75"/>
        <v>13.351351649652608</v>
      </c>
      <c r="R28" s="595">
        <f t="shared" ref="R28:T28" si="76">R24+R19</f>
        <v>13.318623365700743</v>
      </c>
      <c r="S28" s="595">
        <f t="shared" ref="S28" si="77">S24+S19</f>
        <v>9.603602795912682</v>
      </c>
      <c r="T28" s="595">
        <f t="shared" si="76"/>
        <v>12.024795473660067</v>
      </c>
      <c r="U28" s="595">
        <f t="shared" ref="U28:V28" si="78">U24+U19</f>
        <v>12.024795473660065</v>
      </c>
      <c r="V28" s="595">
        <f t="shared" si="78"/>
        <v>11.400030583377937</v>
      </c>
      <c r="W28" s="595">
        <f t="shared" ref="W28:X28" si="79">W24+W19</f>
        <v>13.119470142977294</v>
      </c>
      <c r="X28" s="595">
        <f t="shared" si="79"/>
        <v>13.119470142977296</v>
      </c>
      <c r="Y28" s="595">
        <f t="shared" ref="Y28:Z28" si="80">Y24+Y19</f>
        <v>13.171243978897476</v>
      </c>
      <c r="Z28" s="595">
        <f t="shared" si="80"/>
        <v>12.136037948052655</v>
      </c>
      <c r="AA28" s="522"/>
      <c r="AB28" s="608"/>
    </row>
    <row r="29" spans="1:31">
      <c r="A29" s="499" t="s">
        <v>244</v>
      </c>
      <c r="B29" s="511" t="s">
        <v>249</v>
      </c>
      <c r="C29" s="622">
        <f>C28*24</f>
        <v>0</v>
      </c>
      <c r="D29" s="622">
        <f>D28*24</f>
        <v>0</v>
      </c>
      <c r="E29" s="622">
        <f t="shared" ref="E29:R29" si="81">E28*24</f>
        <v>162.58064516129033</v>
      </c>
      <c r="F29" s="622">
        <f t="shared" si="81"/>
        <v>192</v>
      </c>
      <c r="G29" s="622">
        <f t="shared" si="81"/>
        <v>360.00000000000006</v>
      </c>
      <c r="H29" s="622">
        <f t="shared" si="81"/>
        <v>388.79999999999995</v>
      </c>
      <c r="I29" s="622">
        <f t="shared" si="81"/>
        <v>258.6492261003317</v>
      </c>
      <c r="J29" s="622">
        <f t="shared" si="81"/>
        <v>339.66613763547139</v>
      </c>
      <c r="K29" s="622">
        <f t="shared" si="81"/>
        <v>323.16050121104212</v>
      </c>
      <c r="L29" s="622">
        <f t="shared" si="81"/>
        <v>292.39419809366746</v>
      </c>
      <c r="M29" s="622">
        <f t="shared" si="81"/>
        <v>318.15980799531292</v>
      </c>
      <c r="N29" s="622">
        <f t="shared" si="81"/>
        <v>309.74944137806403</v>
      </c>
      <c r="O29" s="622">
        <f t="shared" si="81"/>
        <v>320.69784938957957</v>
      </c>
      <c r="P29" s="622">
        <f t="shared" si="81"/>
        <v>317.5917909086574</v>
      </c>
      <c r="Q29" s="622">
        <f t="shared" si="81"/>
        <v>320.43243959166261</v>
      </c>
      <c r="R29" s="622">
        <f t="shared" si="81"/>
        <v>319.64696077681782</v>
      </c>
      <c r="S29" s="622">
        <f t="shared" ref="S29:T29" si="82">S28*24</f>
        <v>230.48646710190437</v>
      </c>
      <c r="T29" s="622">
        <f t="shared" si="82"/>
        <v>288.59509136784163</v>
      </c>
      <c r="U29" s="622">
        <f t="shared" ref="U29:V29" si="83">U28*24</f>
        <v>288.59509136784158</v>
      </c>
      <c r="V29" s="622">
        <f t="shared" si="83"/>
        <v>273.60073400107046</v>
      </c>
      <c r="W29" s="622">
        <f t="shared" ref="W29:X29" si="84">W28*24</f>
        <v>314.86728343145506</v>
      </c>
      <c r="X29" s="622">
        <f t="shared" si="84"/>
        <v>314.86728343145512</v>
      </c>
      <c r="Y29" s="622">
        <f t="shared" ref="Y29:Z29" si="85">Y28*24</f>
        <v>316.10985549353938</v>
      </c>
      <c r="Z29" s="622">
        <f t="shared" si="85"/>
        <v>291.26491075326373</v>
      </c>
      <c r="AA29" s="522"/>
      <c r="AB29" s="608"/>
    </row>
    <row r="30" spans="1:31">
      <c r="A30" s="499"/>
      <c r="B30" s="511"/>
      <c r="C30" s="594"/>
      <c r="D30" s="595"/>
      <c r="E30" s="595"/>
      <c r="F30" s="595"/>
      <c r="G30" s="595"/>
      <c r="H30" s="595"/>
      <c r="I30" s="595"/>
      <c r="J30" s="595"/>
      <c r="K30" s="595"/>
      <c r="L30" s="595"/>
      <c r="M30" s="595"/>
      <c r="N30" s="595"/>
      <c r="O30" s="595"/>
      <c r="P30" s="595"/>
      <c r="Q30" s="595"/>
      <c r="R30" s="595"/>
      <c r="S30" s="595"/>
      <c r="T30" s="595"/>
      <c r="U30" s="595"/>
      <c r="V30" s="595"/>
      <c r="W30" s="595"/>
      <c r="X30" s="595"/>
      <c r="Y30" s="595"/>
      <c r="Z30" s="595"/>
      <c r="AA30" s="522"/>
      <c r="AB30" s="608"/>
    </row>
    <row r="31" spans="1:31">
      <c r="A31" s="501" t="s">
        <v>241</v>
      </c>
      <c r="B31" s="501" t="s">
        <v>72</v>
      </c>
      <c r="C31" s="502">
        <f>C12</f>
        <v>0</v>
      </c>
      <c r="D31" s="502">
        <f>D6</f>
        <v>44229</v>
      </c>
      <c r="E31" s="502">
        <f t="shared" ref="E31:Q31" si="86">E6</f>
        <v>44257</v>
      </c>
      <c r="F31" s="502">
        <f t="shared" si="86"/>
        <v>44288</v>
      </c>
      <c r="G31" s="502">
        <f t="shared" si="86"/>
        <v>44318</v>
      </c>
      <c r="H31" s="502">
        <f t="shared" si="86"/>
        <v>44349</v>
      </c>
      <c r="I31" s="502">
        <f t="shared" si="86"/>
        <v>44379</v>
      </c>
      <c r="J31" s="502">
        <f t="shared" si="86"/>
        <v>44410</v>
      </c>
      <c r="K31" s="502">
        <f t="shared" si="86"/>
        <v>44441</v>
      </c>
      <c r="L31" s="503">
        <f t="shared" si="86"/>
        <v>44471</v>
      </c>
      <c r="M31" s="503">
        <f t="shared" si="86"/>
        <v>44502</v>
      </c>
      <c r="N31" s="503">
        <f t="shared" si="86"/>
        <v>44532</v>
      </c>
      <c r="O31" s="503">
        <f t="shared" si="86"/>
        <v>44563</v>
      </c>
      <c r="P31" s="503">
        <f t="shared" si="86"/>
        <v>44594</v>
      </c>
      <c r="Q31" s="503">
        <f t="shared" si="86"/>
        <v>44622</v>
      </c>
      <c r="R31" s="503">
        <f t="shared" ref="R31:T31" si="87">R6</f>
        <v>44653</v>
      </c>
      <c r="S31" s="503">
        <f t="shared" ref="S31" si="88">S6</f>
        <v>44683</v>
      </c>
      <c r="T31" s="503">
        <f t="shared" si="87"/>
        <v>44714</v>
      </c>
      <c r="U31" s="503">
        <f t="shared" ref="U31:V31" si="89">U6</f>
        <v>44744</v>
      </c>
      <c r="V31" s="503">
        <f t="shared" si="89"/>
        <v>44775</v>
      </c>
      <c r="W31" s="503">
        <f t="shared" ref="W31:X31" si="90">W6</f>
        <v>44806</v>
      </c>
      <c r="X31" s="503">
        <f t="shared" si="90"/>
        <v>44836</v>
      </c>
      <c r="Y31" s="503">
        <f t="shared" ref="Y31:Z31" si="91">Y6</f>
        <v>44867</v>
      </c>
      <c r="Z31" s="503">
        <f t="shared" si="91"/>
        <v>44897</v>
      </c>
      <c r="AA31" s="522"/>
      <c r="AB31" s="608"/>
    </row>
    <row r="32" spans="1:31">
      <c r="A32" s="602" t="s">
        <v>245</v>
      </c>
      <c r="B32" s="593" t="s">
        <v>45</v>
      </c>
      <c r="C32" s="623"/>
      <c r="D32" s="624">
        <f>D37*24*D5</f>
        <v>43424.83738256478</v>
      </c>
      <c r="E32" s="624">
        <f t="shared" ref="E32:Q32" si="92">E37*24*E5</f>
        <v>44808</v>
      </c>
      <c r="F32" s="624">
        <f t="shared" si="92"/>
        <v>39694.103448275862</v>
      </c>
      <c r="G32" s="624">
        <f t="shared" si="92"/>
        <v>37315.999999999993</v>
      </c>
      <c r="H32" s="624">
        <f>H37*24*H5</f>
        <v>35689.999999999993</v>
      </c>
      <c r="I32" s="676">
        <f>I37*24*I5</f>
        <v>39294.115293820854</v>
      </c>
      <c r="J32" s="624">
        <f t="shared" si="92"/>
        <v>35158.901457438289</v>
      </c>
      <c r="K32" s="707">
        <f>K37*24*K5</f>
        <v>36557.426342979088</v>
      </c>
      <c r="L32" s="624">
        <f>L37*24*L5</f>
        <v>38970.779859096307</v>
      </c>
      <c r="M32" s="624">
        <f t="shared" si="92"/>
        <v>36660.205760140612</v>
      </c>
      <c r="N32" s="624">
        <f t="shared" si="92"/>
        <v>30464.008696590357</v>
      </c>
      <c r="O32" s="624">
        <f t="shared" si="92"/>
        <v>38108.36666892303</v>
      </c>
      <c r="P32" s="624">
        <f t="shared" si="92"/>
        <v>33580.53330283345</v>
      </c>
      <c r="Q32" s="624">
        <f t="shared" si="92"/>
        <v>33423.835751968829</v>
      </c>
      <c r="R32" s="624">
        <f t="shared" ref="R32:T32" si="93">R37*24*R5</f>
        <v>33983.004969798938</v>
      </c>
      <c r="S32" s="624">
        <f t="shared" ref="S32" si="94">S37*24*S5</f>
        <v>31316.988485358186</v>
      </c>
      <c r="T32" s="624">
        <f t="shared" si="93"/>
        <v>20390.423121033691</v>
      </c>
      <c r="U32" s="624">
        <f t="shared" ref="U32:V32" si="95">U37*24*U5</f>
        <v>21070.103891734816</v>
      </c>
      <c r="V32" s="624">
        <f t="shared" si="95"/>
        <v>20701.135866656448</v>
      </c>
      <c r="W32" s="624">
        <f t="shared" ref="W32:X32" si="96">W37*24*W5</f>
        <v>36547.084945332208</v>
      </c>
      <c r="X32" s="624">
        <f t="shared" si="96"/>
        <v>37765.321110176621</v>
      </c>
      <c r="Y32" s="624">
        <f t="shared" ref="Y32:Z32" si="97">Y37*24*Y5</f>
        <v>36509.807783469674</v>
      </c>
      <c r="Z32" s="624">
        <f t="shared" si="97"/>
        <v>29900.442939062621</v>
      </c>
      <c r="AA32" s="858" t="s">
        <v>369</v>
      </c>
      <c r="AB32" s="858"/>
    </row>
    <row r="33" spans="1:28">
      <c r="A33" s="602" t="s">
        <v>246</v>
      </c>
      <c r="B33" s="593" t="s">
        <v>45</v>
      </c>
      <c r="C33" s="623"/>
      <c r="D33" s="624">
        <f>D38*24*D5</f>
        <v>138815.95722171455</v>
      </c>
      <c r="E33" s="624">
        <f t="shared" ref="E33:Q33" si="98">E38*24*E5</f>
        <v>154082.8021064302</v>
      </c>
      <c r="F33" s="624">
        <f t="shared" si="98"/>
        <v>138925.59090909088</v>
      </c>
      <c r="G33" s="624">
        <f t="shared" si="98"/>
        <v>155138.00000000006</v>
      </c>
      <c r="H33" s="624">
        <f t="shared" si="98"/>
        <v>148908</v>
      </c>
      <c r="I33" s="624">
        <f>I38*24*I5</f>
        <v>99686.735530757374</v>
      </c>
      <c r="J33" s="624">
        <f t="shared" si="98"/>
        <v>147355.03649868831</v>
      </c>
      <c r="K33" s="624">
        <f>K38*24*K5</f>
        <v>131486.03428676279</v>
      </c>
      <c r="L33" s="624">
        <f>L38*24*L5</f>
        <v>118142.36924990096</v>
      </c>
      <c r="M33" s="624">
        <f t="shared" si="98"/>
        <v>128782.89439742209</v>
      </c>
      <c r="N33" s="624">
        <f t="shared" si="98"/>
        <v>135974.69113722269</v>
      </c>
      <c r="O33" s="624">
        <f t="shared" si="98"/>
        <v>134213.27773641102</v>
      </c>
      <c r="P33" s="624">
        <f t="shared" si="98"/>
        <v>120557.34921816828</v>
      </c>
      <c r="Q33" s="624">
        <f t="shared" si="98"/>
        <v>138755.1951219512</v>
      </c>
      <c r="R33" s="624">
        <f t="shared" ref="R33:T33" si="99">R38*24*R5</f>
        <v>132233.41463414632</v>
      </c>
      <c r="S33" s="907">
        <f t="shared" ref="S33" si="100">S38*24*S5</f>
        <v>92531.073170731732</v>
      </c>
      <c r="T33" s="907">
        <f t="shared" si="99"/>
        <v>129679.02439024391</v>
      </c>
      <c r="U33" s="624">
        <f t="shared" ref="U33:V33" si="101">U38*24*U5</f>
        <v>134001.65853658534</v>
      </c>
      <c r="V33" s="624">
        <f t="shared" si="101"/>
        <v>126313.6585365854</v>
      </c>
      <c r="W33" s="624">
        <f t="shared" ref="W33:X33" si="102">W38*24*W5</f>
        <v>127183.9024390244</v>
      </c>
      <c r="X33" s="624">
        <f t="shared" si="102"/>
        <v>131423.36585365856</v>
      </c>
      <c r="Y33" s="624">
        <f t="shared" ref="Y33:Z33" si="103">Y38*24*Y5</f>
        <v>127867.31707317078</v>
      </c>
      <c r="Z33" s="624">
        <f t="shared" si="103"/>
        <v>126605.9024390244</v>
      </c>
      <c r="AA33" s="522"/>
      <c r="AB33" s="608"/>
    </row>
    <row r="34" spans="1:28">
      <c r="A34" s="602" t="s">
        <v>269</v>
      </c>
      <c r="B34" s="626" t="s">
        <v>45</v>
      </c>
      <c r="C34" s="623"/>
      <c r="D34" s="624"/>
      <c r="E34" s="625">
        <f>E32+E33</f>
        <v>198890.8021064302</v>
      </c>
      <c r="F34" s="625">
        <f t="shared" ref="F34:Q34" si="104">F32+F33</f>
        <v>178619.69435736674</v>
      </c>
      <c r="G34" s="625">
        <f t="shared" si="104"/>
        <v>192454.00000000006</v>
      </c>
      <c r="H34" s="625">
        <f t="shared" si="104"/>
        <v>184598</v>
      </c>
      <c r="I34" s="625">
        <f>I32+I33</f>
        <v>138980.85082457823</v>
      </c>
      <c r="J34" s="625">
        <f t="shared" si="104"/>
        <v>182513.93795612658</v>
      </c>
      <c r="K34" s="625">
        <f t="shared" si="104"/>
        <v>168043.46062974189</v>
      </c>
      <c r="L34" s="625">
        <f>L32+L33</f>
        <v>157113.14910899726</v>
      </c>
      <c r="M34" s="625">
        <f t="shared" si="104"/>
        <v>165443.1001575627</v>
      </c>
      <c r="N34" s="625">
        <f t="shared" si="104"/>
        <v>166438.69983381304</v>
      </c>
      <c r="O34" s="625">
        <f t="shared" si="104"/>
        <v>172321.64440533405</v>
      </c>
      <c r="P34" s="625">
        <f t="shared" si="104"/>
        <v>154137.88252100174</v>
      </c>
      <c r="Q34" s="625">
        <f t="shared" si="104"/>
        <v>172179.03087392001</v>
      </c>
      <c r="R34" s="625">
        <f t="shared" ref="R34:T34" si="105">R32+R33</f>
        <v>166216.41960394525</v>
      </c>
      <c r="S34" s="625">
        <f t="shared" ref="S34" si="106">S32+S33</f>
        <v>123848.06165608992</v>
      </c>
      <c r="T34" s="625">
        <f t="shared" si="105"/>
        <v>150069.4475112776</v>
      </c>
      <c r="U34" s="625">
        <f t="shared" ref="U34:V34" si="107">U32+U33</f>
        <v>155071.76242832016</v>
      </c>
      <c r="V34" s="625">
        <f t="shared" si="107"/>
        <v>147014.79440324183</v>
      </c>
      <c r="W34" s="625">
        <f t="shared" ref="W34:X34" si="108">W32+W33</f>
        <v>163730.98738435662</v>
      </c>
      <c r="X34" s="625">
        <f t="shared" si="108"/>
        <v>169188.68696383518</v>
      </c>
      <c r="Y34" s="625">
        <f t="shared" ref="Y34:Z34" si="109">Y32+Y33</f>
        <v>164377.12485664047</v>
      </c>
      <c r="Z34" s="625">
        <f t="shared" si="109"/>
        <v>156506.34537808702</v>
      </c>
      <c r="AA34" s="522">
        <v>160000</v>
      </c>
      <c r="AB34" s="522">
        <v>160000</v>
      </c>
    </row>
    <row r="35" spans="1:28">
      <c r="A35" s="517" t="s">
        <v>245</v>
      </c>
      <c r="B35" s="597" t="s">
        <v>44</v>
      </c>
      <c r="C35" s="598"/>
      <c r="D35" s="603">
        <f t="shared" ref="D35:Q35" si="110">D32/1000</f>
        <v>43.424837382564782</v>
      </c>
      <c r="E35" s="603">
        <f t="shared" si="110"/>
        <v>44.808</v>
      </c>
      <c r="F35" s="603">
        <f t="shared" si="110"/>
        <v>39.694103448275861</v>
      </c>
      <c r="G35" s="603">
        <f t="shared" si="110"/>
        <v>37.315999999999995</v>
      </c>
      <c r="H35" s="603">
        <f t="shared" si="110"/>
        <v>35.689999999999991</v>
      </c>
      <c r="I35" s="603">
        <f t="shared" si="110"/>
        <v>39.294115293820852</v>
      </c>
      <c r="J35" s="603">
        <f t="shared" si="110"/>
        <v>35.15890145743829</v>
      </c>
      <c r="K35" s="603">
        <f t="shared" si="110"/>
        <v>36.557426342979085</v>
      </c>
      <c r="L35" s="603">
        <f>L32/1000</f>
        <v>38.970779859096304</v>
      </c>
      <c r="M35" s="603">
        <f t="shared" si="110"/>
        <v>36.660205760140613</v>
      </c>
      <c r="N35" s="603">
        <f t="shared" si="110"/>
        <v>30.464008696590358</v>
      </c>
      <c r="O35" s="603">
        <f t="shared" si="110"/>
        <v>38.108366668923033</v>
      </c>
      <c r="P35" s="603">
        <f t="shared" si="110"/>
        <v>33.580533302833452</v>
      </c>
      <c r="Q35" s="603">
        <f t="shared" si="110"/>
        <v>33.423835751968831</v>
      </c>
      <c r="R35" s="603">
        <f t="shared" ref="R35:T35" si="111">R32/1000</f>
        <v>33.983004969798941</v>
      </c>
      <c r="S35" s="603">
        <f t="shared" ref="S35" si="112">S32/1000</f>
        <v>31.316988485358188</v>
      </c>
      <c r="T35" s="603">
        <f t="shared" si="111"/>
        <v>20.390423121033692</v>
      </c>
      <c r="U35" s="603">
        <f t="shared" ref="U35:V35" si="113">U32/1000</f>
        <v>21.070103891734817</v>
      </c>
      <c r="V35" s="603">
        <f t="shared" si="113"/>
        <v>20.701135866656447</v>
      </c>
      <c r="W35" s="603">
        <f t="shared" ref="W35:X35" si="114">W32/1000</f>
        <v>36.547084945332209</v>
      </c>
      <c r="X35" s="603">
        <f t="shared" si="114"/>
        <v>37.765321110176622</v>
      </c>
      <c r="Y35" s="603">
        <f t="shared" ref="Y35:Z35" si="115">Y32/1000</f>
        <v>36.509807783469675</v>
      </c>
      <c r="Z35" s="603">
        <f t="shared" si="115"/>
        <v>29.900442939062621</v>
      </c>
      <c r="AA35" s="522"/>
      <c r="AB35" s="801">
        <f>200-13</f>
        <v>187</v>
      </c>
    </row>
    <row r="36" spans="1:28">
      <c r="A36" s="517" t="s">
        <v>246</v>
      </c>
      <c r="B36" s="597" t="s">
        <v>44</v>
      </c>
      <c r="D36" s="592">
        <f t="shared" ref="D36:Q36" si="116">D33/1000</f>
        <v>138.81595722171454</v>
      </c>
      <c r="E36" s="592">
        <f t="shared" si="116"/>
        <v>154.08280210643019</v>
      </c>
      <c r="F36" s="592">
        <f t="shared" si="116"/>
        <v>138.92559090909089</v>
      </c>
      <c r="G36" s="592">
        <f t="shared" si="116"/>
        <v>155.13800000000006</v>
      </c>
      <c r="H36" s="592">
        <f t="shared" si="116"/>
        <v>148.90799999999999</v>
      </c>
      <c r="I36" s="592">
        <f t="shared" si="116"/>
        <v>99.686735530757375</v>
      </c>
      <c r="J36" s="592">
        <f t="shared" si="116"/>
        <v>147.35503649868832</v>
      </c>
      <c r="K36" s="592">
        <f t="shared" si="116"/>
        <v>131.48603428676279</v>
      </c>
      <c r="L36" s="592">
        <f t="shared" si="116"/>
        <v>118.14236924990097</v>
      </c>
      <c r="M36" s="592">
        <f t="shared" si="116"/>
        <v>128.7828943974221</v>
      </c>
      <c r="N36" s="592">
        <f t="shared" si="116"/>
        <v>135.97469113722269</v>
      </c>
      <c r="O36" s="592">
        <f t="shared" si="116"/>
        <v>134.21327773641102</v>
      </c>
      <c r="P36" s="592">
        <f t="shared" si="116"/>
        <v>120.55734921816828</v>
      </c>
      <c r="Q36" s="592">
        <f t="shared" si="116"/>
        <v>138.7551951219512</v>
      </c>
      <c r="R36" s="592">
        <f t="shared" ref="R36:T36" si="117">R33/1000</f>
        <v>132.23341463414633</v>
      </c>
      <c r="S36" s="592">
        <f t="shared" ref="S36" si="118">S33/1000</f>
        <v>92.53107317073173</v>
      </c>
      <c r="T36" s="592">
        <f t="shared" si="117"/>
        <v>129.67902439024391</v>
      </c>
      <c r="U36" s="592">
        <f t="shared" ref="U36:V36" si="119">U33/1000</f>
        <v>134.00165853658535</v>
      </c>
      <c r="V36" s="592">
        <f t="shared" si="119"/>
        <v>126.31365853658539</v>
      </c>
      <c r="W36" s="592">
        <f t="shared" ref="W36:X36" si="120">W33/1000</f>
        <v>127.18390243902441</v>
      </c>
      <c r="X36" s="592">
        <f t="shared" si="120"/>
        <v>131.42336585365857</v>
      </c>
      <c r="Y36" s="592">
        <f t="shared" ref="Y36:Z36" si="121">Y33/1000</f>
        <v>127.86731707317078</v>
      </c>
      <c r="Z36" s="592">
        <f t="shared" si="121"/>
        <v>126.6059024390244</v>
      </c>
      <c r="AA36" s="522"/>
      <c r="AB36" s="213"/>
    </row>
    <row r="37" spans="1:28">
      <c r="A37" s="602" t="s">
        <v>245</v>
      </c>
      <c r="B37" s="593" t="s">
        <v>237</v>
      </c>
      <c r="C37" s="518"/>
      <c r="D37" s="591">
        <f t="shared" ref="D37:Q37" si="122">D10-D28</f>
        <v>64.620293724054733</v>
      </c>
      <c r="E37" s="591">
        <f t="shared" si="122"/>
        <v>60.225806451612904</v>
      </c>
      <c r="F37" s="591">
        <f t="shared" si="122"/>
        <v>55.130699233716477</v>
      </c>
      <c r="G37" s="591">
        <f t="shared" si="122"/>
        <v>50.15591397849461</v>
      </c>
      <c r="H37" s="591">
        <f>H10-H28</f>
        <v>49.569444444444443</v>
      </c>
      <c r="I37" s="591">
        <f>I10-I28</f>
        <v>52.814671093845234</v>
      </c>
      <c r="J37" s="591">
        <f t="shared" si="122"/>
        <v>47.25658798042781</v>
      </c>
      <c r="K37" s="591">
        <f t="shared" si="122"/>
        <v>50.774203254137625</v>
      </c>
      <c r="L37" s="591">
        <f>L10-L28</f>
        <v>52.38008045577461</v>
      </c>
      <c r="M37" s="591">
        <f t="shared" si="122"/>
        <v>50.91695244463974</v>
      </c>
      <c r="N37" s="591">
        <f t="shared" si="122"/>
        <v>40.94624824810532</v>
      </c>
      <c r="O37" s="591">
        <f t="shared" si="122"/>
        <v>51.220922942100849</v>
      </c>
      <c r="P37" s="591">
        <f t="shared" si="122"/>
        <v>49.971031700645021</v>
      </c>
      <c r="Q37" s="591">
        <f t="shared" si="122"/>
        <v>44.924510419312938</v>
      </c>
      <c r="R37" s="591">
        <f t="shared" ref="R37:T37" si="123">R10-R28</f>
        <v>47.198618013609632</v>
      </c>
      <c r="S37" s="591">
        <f t="shared" ref="S37" si="124">S10-S28</f>
        <v>42.092726458814766</v>
      </c>
      <c r="T37" s="591">
        <f t="shared" si="123"/>
        <v>28.320032112546794</v>
      </c>
      <c r="U37" s="591">
        <f t="shared" ref="U37:V37" si="125">U10-U28</f>
        <v>28.320032112546798</v>
      </c>
      <c r="V37" s="591">
        <f t="shared" si="125"/>
        <v>27.824107347656518</v>
      </c>
      <c r="W37" s="591">
        <f t="shared" ref="W37:X37" si="126">W10-W28</f>
        <v>50.759840201850288</v>
      </c>
      <c r="X37" s="591">
        <f t="shared" si="126"/>
        <v>50.759840201850295</v>
      </c>
      <c r="Y37" s="591">
        <f t="shared" ref="Y37:Z37" si="127">Y10-Y28</f>
        <v>50.708066365930108</v>
      </c>
      <c r="Z37" s="591">
        <f t="shared" si="127"/>
        <v>40.188767391213197</v>
      </c>
      <c r="AA37" s="522"/>
      <c r="AB37" s="213"/>
    </row>
    <row r="38" spans="1:28">
      <c r="A38" s="602" t="s">
        <v>246</v>
      </c>
      <c r="B38" s="593" t="s">
        <v>237</v>
      </c>
      <c r="C38" s="518"/>
      <c r="D38" s="591">
        <f>D8-D10</f>
        <v>206.57136491326568</v>
      </c>
      <c r="E38" s="591">
        <f t="shared" ref="E38:Q38" si="128">E8-E10</f>
        <v>207.10054046563198</v>
      </c>
      <c r="F38" s="591">
        <f t="shared" si="128"/>
        <v>192.95220959595957</v>
      </c>
      <c r="G38" s="591">
        <f t="shared" si="128"/>
        <v>208.51881720430111</v>
      </c>
      <c r="H38" s="591">
        <f t="shared" si="128"/>
        <v>206.81666666666666</v>
      </c>
      <c r="I38" s="591">
        <f t="shared" si="128"/>
        <v>133.98754775639432</v>
      </c>
      <c r="J38" s="591">
        <f t="shared" si="128"/>
        <v>198.05784475630151</v>
      </c>
      <c r="K38" s="591">
        <f t="shared" si="128"/>
        <v>182.6194920649483</v>
      </c>
      <c r="L38" s="591">
        <f>L8-L10</f>
        <v>158.7935070563185</v>
      </c>
      <c r="M38" s="591">
        <f t="shared" si="128"/>
        <v>178.86513110753069</v>
      </c>
      <c r="N38" s="591">
        <f t="shared" si="128"/>
        <v>182.761681636052</v>
      </c>
      <c r="O38" s="591">
        <f t="shared" si="128"/>
        <v>180.3941905059288</v>
      </c>
      <c r="P38" s="591">
        <f t="shared" si="128"/>
        <v>179.40081728894089</v>
      </c>
      <c r="Q38" s="591">
        <f t="shared" si="128"/>
        <v>186.49891817466556</v>
      </c>
      <c r="R38" s="591">
        <f t="shared" ref="R38:T38" si="129">R8-R10</f>
        <v>183.65752032520322</v>
      </c>
      <c r="S38" s="591">
        <f t="shared" ref="S38" si="130">S8-S10</f>
        <v>124.36972200367167</v>
      </c>
      <c r="T38" s="591">
        <f t="shared" si="129"/>
        <v>180.10975609756099</v>
      </c>
      <c r="U38" s="591">
        <f t="shared" ref="U38:V38" si="131">U8-U10</f>
        <v>180.10975609756096</v>
      </c>
      <c r="V38" s="591">
        <f t="shared" si="131"/>
        <v>169.7764227642277</v>
      </c>
      <c r="W38" s="591">
        <f t="shared" ref="W38:X38" si="132">W8-W10</f>
        <v>176.64430894308944</v>
      </c>
      <c r="X38" s="591">
        <f t="shared" si="132"/>
        <v>176.64430894308947</v>
      </c>
      <c r="Y38" s="591">
        <f t="shared" ref="Y38:Z38" si="133">Y8-Y10</f>
        <v>177.59349593495944</v>
      </c>
      <c r="Z38" s="591">
        <f t="shared" si="133"/>
        <v>170.16922370836613</v>
      </c>
      <c r="AA38" s="522"/>
      <c r="AB38" s="213"/>
    </row>
    <row r="39" spans="1:28">
      <c r="A39" s="596" t="s">
        <v>266</v>
      </c>
      <c r="B39" s="597" t="s">
        <v>237</v>
      </c>
      <c r="C39" s="598"/>
      <c r="D39" s="592">
        <f>D37+D38</f>
        <v>271.19165863732042</v>
      </c>
      <c r="E39" s="592">
        <f t="shared" ref="E39:P39" si="134">E37+E38</f>
        <v>267.3263469172449</v>
      </c>
      <c r="F39" s="592">
        <f t="shared" si="134"/>
        <v>248.08290882967606</v>
      </c>
      <c r="G39" s="592">
        <f t="shared" si="134"/>
        <v>258.67473118279571</v>
      </c>
      <c r="H39" s="592">
        <f t="shared" si="134"/>
        <v>256.38611111111112</v>
      </c>
      <c r="I39" s="592">
        <f t="shared" si="134"/>
        <v>186.80221885023957</v>
      </c>
      <c r="J39" s="592">
        <f t="shared" si="134"/>
        <v>245.31443273672932</v>
      </c>
      <c r="K39" s="592">
        <f t="shared" si="134"/>
        <v>233.39369531908594</v>
      </c>
      <c r="L39" s="592">
        <f t="shared" si="134"/>
        <v>211.17358751209312</v>
      </c>
      <c r="M39" s="592">
        <f t="shared" si="134"/>
        <v>229.78208355217043</v>
      </c>
      <c r="N39" s="592">
        <f t="shared" si="134"/>
        <v>223.70792988415732</v>
      </c>
      <c r="O39" s="592">
        <f t="shared" si="134"/>
        <v>231.61511344802966</v>
      </c>
      <c r="P39" s="592">
        <f t="shared" si="134"/>
        <v>229.37184898958591</v>
      </c>
      <c r="Q39" s="592">
        <f t="shared" ref="Q39:V39" si="135">Q37+Q38</f>
        <v>231.42342859397849</v>
      </c>
      <c r="R39" s="592">
        <f t="shared" si="135"/>
        <v>230.85613833881285</v>
      </c>
      <c r="S39" s="592">
        <f t="shared" si="135"/>
        <v>166.46244846248644</v>
      </c>
      <c r="T39" s="592">
        <f t="shared" si="135"/>
        <v>208.42978821010777</v>
      </c>
      <c r="U39" s="592">
        <f t="shared" si="135"/>
        <v>208.42978821010774</v>
      </c>
      <c r="V39" s="592">
        <f t="shared" si="135"/>
        <v>197.60053011188421</v>
      </c>
      <c r="W39" s="592">
        <f t="shared" ref="W39:X39" si="136">W37+W38</f>
        <v>227.40414914493974</v>
      </c>
      <c r="X39" s="592">
        <f t="shared" si="136"/>
        <v>227.40414914493977</v>
      </c>
      <c r="Y39" s="592">
        <f t="shared" ref="Y39:Z39" si="137">Y37+Y38</f>
        <v>228.30156230088954</v>
      </c>
      <c r="Z39" s="592">
        <f t="shared" si="137"/>
        <v>210.35799109957932</v>
      </c>
      <c r="AA39" s="522"/>
      <c r="AB39" s="213"/>
    </row>
    <row r="40" spans="1:28">
      <c r="A40" s="596"/>
      <c r="B40" s="597"/>
      <c r="C40" s="598"/>
      <c r="D40" s="592"/>
      <c r="E40" s="592"/>
      <c r="F40" s="592"/>
      <c r="G40" s="592"/>
      <c r="H40" s="592"/>
      <c r="I40" s="592"/>
      <c r="J40" s="592"/>
      <c r="K40" s="592"/>
      <c r="L40" s="592"/>
      <c r="M40" s="592"/>
      <c r="N40" s="592"/>
      <c r="O40" s="592"/>
      <c r="P40" s="592"/>
      <c r="Q40" s="592"/>
      <c r="R40" s="592"/>
      <c r="S40" s="592"/>
      <c r="T40" s="592"/>
      <c r="U40" s="592"/>
      <c r="V40" s="592"/>
      <c r="W40" s="592"/>
      <c r="X40" s="592"/>
      <c r="Y40" s="592"/>
      <c r="Z40" s="592"/>
      <c r="AA40" s="522"/>
      <c r="AB40" s="213"/>
    </row>
    <row r="41" spans="1:28">
      <c r="A41" s="609" t="s">
        <v>267</v>
      </c>
      <c r="B41" s="610" t="s">
        <v>44</v>
      </c>
      <c r="C41" s="598"/>
      <c r="D41" s="599">
        <f>D7-D35-D36-D27</f>
        <v>0</v>
      </c>
      <c r="E41" s="599">
        <f t="shared" ref="E41:Q41" si="138">E7-E35-E36-E27</f>
        <v>-7.9936057773011271E-15</v>
      </c>
      <c r="F41" s="599">
        <f t="shared" si="138"/>
        <v>1.9539925233402755E-14</v>
      </c>
      <c r="G41" s="599">
        <f t="shared" si="138"/>
        <v>-6.2172489379008766E-14</v>
      </c>
      <c r="H41" s="599">
        <f t="shared" si="138"/>
        <v>1.7763568394002505E-14</v>
      </c>
      <c r="I41" s="599">
        <f t="shared" si="138"/>
        <v>0</v>
      </c>
      <c r="J41" s="599">
        <f t="shared" si="138"/>
        <v>0</v>
      </c>
      <c r="K41" s="599">
        <f t="shared" si="138"/>
        <v>1.4210854715202004E-14</v>
      </c>
      <c r="L41" s="599">
        <f t="shared" si="138"/>
        <v>2.3092638912203256E-14</v>
      </c>
      <c r="M41" s="599">
        <f t="shared" si="138"/>
        <v>0</v>
      </c>
      <c r="N41" s="599">
        <f t="shared" si="138"/>
        <v>0</v>
      </c>
      <c r="O41" s="599">
        <f t="shared" si="138"/>
        <v>0</v>
      </c>
      <c r="P41" s="599">
        <f t="shared" si="138"/>
        <v>0</v>
      </c>
      <c r="Q41" s="599">
        <f t="shared" si="138"/>
        <v>0</v>
      </c>
      <c r="R41" s="599">
        <f t="shared" ref="R41:T41" si="139">R7-R35-R36-R27</f>
        <v>0</v>
      </c>
      <c r="S41" s="599">
        <f t="shared" ref="S41" si="140">S7-S35-S36-S27</f>
        <v>-2.5757174171303632E-14</v>
      </c>
      <c r="T41" s="599">
        <f t="shared" si="139"/>
        <v>0</v>
      </c>
      <c r="U41" s="599">
        <f t="shared" ref="U41:V41" si="141">U7-U35-U36-U27</f>
        <v>0</v>
      </c>
      <c r="V41" s="599">
        <f t="shared" si="141"/>
        <v>0</v>
      </c>
      <c r="W41" s="599">
        <f t="shared" ref="W41:X41" si="142">W7-W35-W36-W27</f>
        <v>-2.1316282072803006E-14</v>
      </c>
      <c r="X41" s="599">
        <f t="shared" si="142"/>
        <v>0</v>
      </c>
      <c r="Y41" s="599">
        <f t="shared" ref="Y41:Z41" si="143">Y7-Y35-Y36-Y27</f>
        <v>0</v>
      </c>
      <c r="Z41" s="599">
        <f t="shared" si="143"/>
        <v>0</v>
      </c>
      <c r="AA41" s="522"/>
      <c r="AB41" s="213"/>
    </row>
    <row r="42" spans="1:28">
      <c r="A42" s="609" t="s">
        <v>268</v>
      </c>
      <c r="B42" s="610" t="s">
        <v>44</v>
      </c>
      <c r="C42" s="598"/>
      <c r="D42" s="599"/>
      <c r="E42" s="592">
        <f>E9-E27-E35</f>
        <v>0</v>
      </c>
      <c r="F42" s="592">
        <f t="shared" ref="F42:Q42" si="144">F9-F27-F35</f>
        <v>0</v>
      </c>
      <c r="G42" s="592">
        <f t="shared" si="144"/>
        <v>0</v>
      </c>
      <c r="H42" s="592">
        <f>H9-H27-H35</f>
        <v>0</v>
      </c>
      <c r="I42" s="592">
        <f t="shared" si="144"/>
        <v>0</v>
      </c>
      <c r="J42" s="592">
        <f t="shared" si="144"/>
        <v>0</v>
      </c>
      <c r="K42" s="592">
        <f t="shared" si="144"/>
        <v>0</v>
      </c>
      <c r="L42" s="592">
        <f t="shared" si="144"/>
        <v>0</v>
      </c>
      <c r="M42" s="592">
        <f t="shared" si="144"/>
        <v>0</v>
      </c>
      <c r="N42" s="592">
        <f t="shared" si="144"/>
        <v>0</v>
      </c>
      <c r="O42" s="592">
        <f t="shared" si="144"/>
        <v>0</v>
      </c>
      <c r="P42" s="592">
        <f t="shared" si="144"/>
        <v>0</v>
      </c>
      <c r="Q42" s="592">
        <f t="shared" si="144"/>
        <v>0</v>
      </c>
      <c r="R42" s="592">
        <f t="shared" ref="R42:T42" si="145">R9-R27-R35</f>
        <v>0</v>
      </c>
      <c r="S42" s="592">
        <f t="shared" ref="S42" si="146">S9-S27-S35</f>
        <v>0</v>
      </c>
      <c r="T42" s="592">
        <f t="shared" si="145"/>
        <v>0</v>
      </c>
      <c r="U42" s="592">
        <f t="shared" ref="U42:V42" si="147">U9-U27-U35</f>
        <v>0</v>
      </c>
      <c r="V42" s="592">
        <f t="shared" si="147"/>
        <v>0</v>
      </c>
      <c r="W42" s="592">
        <f t="shared" ref="W42:X42" si="148">W9-W27-W35</f>
        <v>0</v>
      </c>
      <c r="X42" s="592">
        <f t="shared" si="148"/>
        <v>0</v>
      </c>
      <c r="Y42" s="592">
        <f t="shared" ref="Y42:Z42" si="149">Y9-Y27-Y35</f>
        <v>0</v>
      </c>
      <c r="Z42" s="592">
        <f t="shared" si="149"/>
        <v>0</v>
      </c>
      <c r="AA42" s="522"/>
      <c r="AB42" s="213"/>
    </row>
    <row r="43" spans="1:28">
      <c r="A43" s="596"/>
      <c r="B43" s="597"/>
      <c r="C43" s="598"/>
      <c r="D43" s="599"/>
      <c r="E43" s="592"/>
      <c r="F43" s="592"/>
      <c r="G43" s="592"/>
      <c r="H43" s="592"/>
      <c r="I43" s="592"/>
      <c r="J43" s="592"/>
      <c r="K43" s="592"/>
      <c r="L43" s="592"/>
      <c r="M43" s="592">
        <f>M35+M36</f>
        <v>165.4431001575627</v>
      </c>
      <c r="N43" s="592">
        <f>N35+N36</f>
        <v>166.43869983381305</v>
      </c>
      <c r="O43" s="592"/>
      <c r="P43" s="592"/>
      <c r="Q43" s="592"/>
      <c r="R43" s="592"/>
      <c r="S43" s="592"/>
      <c r="T43" s="592"/>
      <c r="U43" s="592"/>
      <c r="V43" s="592"/>
      <c r="W43" s="592"/>
      <c r="X43" s="592"/>
      <c r="Y43" s="592"/>
      <c r="Z43" s="592"/>
      <c r="AA43" s="522"/>
      <c r="AB43" s="213"/>
    </row>
    <row r="44" spans="1:28">
      <c r="A44" s="596"/>
      <c r="B44" s="597"/>
      <c r="C44" s="598"/>
      <c r="D44" s="599"/>
      <c r="E44" s="592"/>
      <c r="F44" s="592"/>
      <c r="G44" s="592"/>
      <c r="H44" s="658"/>
      <c r="I44" s="592"/>
      <c r="J44" s="592"/>
      <c r="K44" s="592">
        <v>129536</v>
      </c>
      <c r="L44" s="592"/>
      <c r="M44" s="592"/>
      <c r="N44" s="592"/>
      <c r="O44" s="788">
        <f>15-O28</f>
        <v>1.6375896087675184</v>
      </c>
      <c r="P44" s="592">
        <f>O44*O5*24</f>
        <v>1218.3666689230336</v>
      </c>
      <c r="Q44" s="789">
        <f>P44*2</f>
        <v>2436.7333378460671</v>
      </c>
      <c r="R44" s="592"/>
      <c r="S44" s="592"/>
      <c r="T44" s="592"/>
      <c r="U44" s="592"/>
      <c r="V44" s="592"/>
      <c r="W44" s="592"/>
      <c r="X44" s="592"/>
      <c r="Y44" s="592"/>
      <c r="Z44" s="592"/>
      <c r="AA44" s="522"/>
      <c r="AB44" s="213"/>
    </row>
    <row r="45" spans="1:28">
      <c r="A45" s="596"/>
      <c r="B45" s="597"/>
      <c r="C45" s="598"/>
      <c r="D45" s="599"/>
      <c r="E45" s="592"/>
      <c r="F45" s="592"/>
      <c r="G45" s="592"/>
      <c r="H45" s="592"/>
      <c r="I45" s="592"/>
      <c r="J45" s="592"/>
      <c r="K45" s="592">
        <f>K33-K44</f>
        <v>1950.0342867627915</v>
      </c>
      <c r="L45" s="592"/>
      <c r="M45" s="592"/>
      <c r="N45" s="592"/>
      <c r="O45" s="592"/>
      <c r="P45" s="592"/>
      <c r="Q45" s="592"/>
      <c r="R45" s="592"/>
      <c r="S45" s="592"/>
      <c r="T45" s="592"/>
      <c r="U45" s="592"/>
      <c r="V45" s="592"/>
      <c r="W45" s="592"/>
      <c r="X45" s="592"/>
      <c r="Y45" s="592"/>
      <c r="Z45" s="592"/>
      <c r="AA45" s="522"/>
      <c r="AB45" s="213"/>
    </row>
    <row r="46" spans="1:28">
      <c r="A46" s="596"/>
      <c r="B46" s="597"/>
      <c r="C46" s="598"/>
      <c r="D46" s="599"/>
      <c r="E46" s="564">
        <v>31</v>
      </c>
      <c r="F46" s="564">
        <v>30</v>
      </c>
      <c r="G46" s="564">
        <v>31</v>
      </c>
      <c r="H46" s="564">
        <v>30</v>
      </c>
      <c r="I46" s="564">
        <v>31</v>
      </c>
      <c r="J46" s="564">
        <v>31</v>
      </c>
      <c r="K46" s="564">
        <v>30</v>
      </c>
      <c r="L46" s="564">
        <v>31</v>
      </c>
      <c r="M46" s="564">
        <v>30</v>
      </c>
      <c r="N46" s="564">
        <v>31</v>
      </c>
      <c r="O46" s="564">
        <v>31</v>
      </c>
      <c r="P46" s="564">
        <v>28</v>
      </c>
      <c r="Q46" s="564">
        <v>31</v>
      </c>
      <c r="R46" s="564">
        <v>31</v>
      </c>
      <c r="S46" s="564">
        <v>31</v>
      </c>
      <c r="T46" s="564">
        <v>31</v>
      </c>
      <c r="U46" s="564">
        <v>31</v>
      </c>
      <c r="V46" s="564">
        <v>31</v>
      </c>
      <c r="W46" s="564">
        <v>31</v>
      </c>
      <c r="X46" s="564">
        <v>31</v>
      </c>
      <c r="Y46" s="564">
        <v>31</v>
      </c>
      <c r="Z46" s="564">
        <v>31</v>
      </c>
      <c r="AA46" s="522"/>
      <c r="AB46" s="213"/>
    </row>
    <row r="47" spans="1:28">
      <c r="A47" s="596"/>
      <c r="B47" s="597"/>
      <c r="C47" s="598"/>
      <c r="D47" s="599"/>
      <c r="E47" s="502">
        <v>44257</v>
      </c>
      <c r="F47" s="502">
        <v>44288</v>
      </c>
      <c r="G47" s="502">
        <v>44318</v>
      </c>
      <c r="H47" s="502">
        <v>44349</v>
      </c>
      <c r="I47" s="502">
        <v>44379</v>
      </c>
      <c r="J47" s="502">
        <v>44410</v>
      </c>
      <c r="K47" s="503">
        <v>44441</v>
      </c>
      <c r="L47" s="503">
        <v>44471</v>
      </c>
      <c r="M47" s="503">
        <v>44502</v>
      </c>
      <c r="N47" s="503">
        <v>44532</v>
      </c>
      <c r="O47" s="503">
        <v>44563</v>
      </c>
      <c r="P47" s="503">
        <v>44594</v>
      </c>
      <c r="Q47" s="503">
        <v>44622</v>
      </c>
      <c r="R47" s="503">
        <v>44622</v>
      </c>
      <c r="S47" s="503">
        <v>44622</v>
      </c>
      <c r="T47" s="503">
        <v>44622</v>
      </c>
      <c r="U47" s="503">
        <v>44622</v>
      </c>
      <c r="V47" s="503">
        <v>44622</v>
      </c>
      <c r="W47" s="503">
        <v>44622</v>
      </c>
      <c r="X47" s="503">
        <v>44622</v>
      </c>
      <c r="Y47" s="503">
        <v>44622</v>
      </c>
      <c r="Z47" s="503">
        <v>44622</v>
      </c>
      <c r="AA47" s="522"/>
      <c r="AB47" s="213"/>
    </row>
    <row r="48" spans="1:28">
      <c r="A48" s="596" t="s">
        <v>185</v>
      </c>
      <c r="B48" s="596"/>
      <c r="C48" s="596"/>
      <c r="D48" s="596"/>
      <c r="E48" s="604">
        <v>6.774193548387097</v>
      </c>
      <c r="F48" s="604">
        <v>8</v>
      </c>
      <c r="G48" s="604">
        <v>15.000000000000002</v>
      </c>
      <c r="H48" s="604">
        <v>10</v>
      </c>
      <c r="I48" s="604">
        <v>13.548387096774194</v>
      </c>
      <c r="J48" s="604">
        <v>15.000000000000002</v>
      </c>
      <c r="K48" s="604">
        <v>15.000000000000002</v>
      </c>
      <c r="L48" s="604">
        <v>14.482758620689658</v>
      </c>
      <c r="M48" s="604">
        <v>14.482758620689658</v>
      </c>
      <c r="N48" s="604">
        <v>14.741379310344831</v>
      </c>
      <c r="O48" s="604">
        <v>14.741379310344831</v>
      </c>
      <c r="P48" s="604">
        <v>14.741379310344829</v>
      </c>
      <c r="Q48" s="604">
        <v>14.741379310344831</v>
      </c>
      <c r="R48" s="604">
        <v>14.741379310344831</v>
      </c>
      <c r="S48" s="604">
        <v>14.741379310344831</v>
      </c>
      <c r="T48" s="604">
        <v>14.741379310344831</v>
      </c>
      <c r="U48" s="604">
        <v>14.741379310344831</v>
      </c>
      <c r="V48" s="604">
        <v>14.741379310344831</v>
      </c>
      <c r="W48" s="604">
        <v>14.741379310344831</v>
      </c>
      <c r="X48" s="604">
        <v>14.741379310344831</v>
      </c>
      <c r="Y48" s="604">
        <v>14.741379310344831</v>
      </c>
      <c r="Z48" s="604">
        <v>14.741379310344831</v>
      </c>
      <c r="AA48" s="522"/>
      <c r="AB48" s="607">
        <f>SUM(C48:N48)</f>
        <v>127.02947719688544</v>
      </c>
    </row>
    <row r="49" spans="1:28">
      <c r="B49" s="596"/>
      <c r="C49" s="596"/>
      <c r="D49" s="596"/>
      <c r="E49" s="605">
        <v>6.774193548387097</v>
      </c>
      <c r="F49" s="605">
        <v>8</v>
      </c>
      <c r="G49" s="605">
        <v>15.000000000000002</v>
      </c>
      <c r="H49" s="605">
        <v>10</v>
      </c>
      <c r="I49" s="605">
        <v>9.5225806451612893</v>
      </c>
      <c r="J49" s="605">
        <v>15.000000000000002</v>
      </c>
      <c r="K49" s="605">
        <v>13.994545454545456</v>
      </c>
      <c r="L49" s="605">
        <v>11.694837791877122</v>
      </c>
      <c r="M49" s="605">
        <v>14.987295792236921</v>
      </c>
      <c r="N49" s="605">
        <v>14.769045161454754</v>
      </c>
      <c r="O49" s="605">
        <v>15.021207023982463</v>
      </c>
      <c r="P49" s="605">
        <v>15.021207023982461</v>
      </c>
      <c r="Q49" s="605">
        <v>14.900752478527922</v>
      </c>
      <c r="R49" s="605">
        <v>14.900752478527922</v>
      </c>
      <c r="S49" s="605">
        <v>14.900752478527922</v>
      </c>
      <c r="T49" s="605">
        <v>14.900752478527922</v>
      </c>
      <c r="U49" s="605">
        <v>14.900752478527922</v>
      </c>
      <c r="V49" s="605">
        <v>14.900752478527922</v>
      </c>
      <c r="W49" s="605">
        <v>14.900752478527922</v>
      </c>
      <c r="X49" s="605">
        <v>14.900752478527922</v>
      </c>
      <c r="Y49" s="605">
        <v>14.900752478527922</v>
      </c>
      <c r="Z49" s="605">
        <v>14.900752478527922</v>
      </c>
      <c r="AA49" s="522"/>
      <c r="AB49" s="607">
        <f>SUM(C49:N49)</f>
        <v>119.74249839366264</v>
      </c>
    </row>
    <row r="50" spans="1:28">
      <c r="A50" s="596"/>
      <c r="B50" s="596"/>
      <c r="C50" s="596"/>
      <c r="D50" s="596"/>
      <c r="E50" s="606">
        <f>E49-E48</f>
        <v>0</v>
      </c>
      <c r="F50" s="606">
        <f t="shared" ref="F50:Q50" si="150">F49-F48</f>
        <v>0</v>
      </c>
      <c r="G50" s="606">
        <f t="shared" si="150"/>
        <v>0</v>
      </c>
      <c r="H50" s="606">
        <f t="shared" si="150"/>
        <v>0</v>
      </c>
      <c r="I50" s="606">
        <f t="shared" si="150"/>
        <v>-4.0258064516129046</v>
      </c>
      <c r="J50" s="606">
        <f t="shared" si="150"/>
        <v>0</v>
      </c>
      <c r="K50" s="606">
        <f t="shared" si="150"/>
        <v>-1.0054545454545458</v>
      </c>
      <c r="L50" s="606">
        <f t="shared" si="150"/>
        <v>-2.7879208288125366</v>
      </c>
      <c r="M50" s="606">
        <f t="shared" si="150"/>
        <v>0.50453717154726263</v>
      </c>
      <c r="N50" s="606">
        <f t="shared" si="150"/>
        <v>2.7665851109922812E-2</v>
      </c>
      <c r="O50" s="606">
        <f t="shared" si="150"/>
        <v>0.2798277136376317</v>
      </c>
      <c r="P50" s="606">
        <f t="shared" si="150"/>
        <v>0.2798277136376317</v>
      </c>
      <c r="Q50" s="606">
        <f t="shared" si="150"/>
        <v>0.159373168183091</v>
      </c>
      <c r="R50" s="606">
        <f t="shared" ref="R50:T50" si="151">R49-R48</f>
        <v>0.159373168183091</v>
      </c>
      <c r="S50" s="606">
        <f t="shared" ref="S50" si="152">S49-S48</f>
        <v>0.159373168183091</v>
      </c>
      <c r="T50" s="606">
        <f t="shared" si="151"/>
        <v>0.159373168183091</v>
      </c>
      <c r="U50" s="606">
        <f t="shared" ref="U50:V50" si="153">U49-U48</f>
        <v>0.159373168183091</v>
      </c>
      <c r="V50" s="606">
        <f t="shared" si="153"/>
        <v>0.159373168183091</v>
      </c>
      <c r="W50" s="606">
        <f t="shared" ref="W50:X50" si="154">W49-W48</f>
        <v>0.159373168183091</v>
      </c>
      <c r="X50" s="606">
        <f t="shared" si="154"/>
        <v>0.159373168183091</v>
      </c>
      <c r="Y50" s="606">
        <f t="shared" ref="Y50:Z50" si="155">Y49-Y48</f>
        <v>0.159373168183091</v>
      </c>
      <c r="Z50" s="606">
        <f t="shared" si="155"/>
        <v>0.159373168183091</v>
      </c>
      <c r="AA50" s="522"/>
      <c r="AB50" s="607">
        <f>SUM(C50:N50)</f>
        <v>-7.2869788032228016</v>
      </c>
    </row>
    <row r="51" spans="1:28">
      <c r="A51" s="596" t="s">
        <v>0</v>
      </c>
      <c r="B51" s="596"/>
      <c r="C51" s="596"/>
      <c r="D51" s="596"/>
      <c r="E51" s="604">
        <v>60.225806451612904</v>
      </c>
      <c r="F51" s="604">
        <v>59</v>
      </c>
      <c r="G51" s="604">
        <v>52</v>
      </c>
      <c r="H51" s="604">
        <v>57</v>
      </c>
      <c r="I51" s="604">
        <v>51.451612903225808</v>
      </c>
      <c r="J51" s="604">
        <v>50</v>
      </c>
      <c r="K51" s="604">
        <v>50</v>
      </c>
      <c r="L51" s="604">
        <v>48.275862068965523</v>
      </c>
      <c r="M51" s="604">
        <v>48.275862068965523</v>
      </c>
      <c r="N51" s="604">
        <v>49.137931034482762</v>
      </c>
      <c r="O51" s="604">
        <v>49.137931034482762</v>
      </c>
      <c r="P51" s="604">
        <v>49.137931034482762</v>
      </c>
      <c r="Q51" s="604">
        <v>49.137931034482762</v>
      </c>
      <c r="R51" s="604">
        <v>49.137931034482762</v>
      </c>
      <c r="S51" s="604">
        <v>49.137931034482762</v>
      </c>
      <c r="T51" s="604">
        <v>49.137931034482762</v>
      </c>
      <c r="U51" s="604">
        <v>49.137931034482762</v>
      </c>
      <c r="V51" s="604">
        <v>49.137931034482762</v>
      </c>
      <c r="W51" s="604">
        <v>49.137931034482762</v>
      </c>
      <c r="X51" s="604">
        <v>49.137931034482762</v>
      </c>
      <c r="Y51" s="604">
        <v>49.137931034482762</v>
      </c>
      <c r="Z51" s="604">
        <v>49.137931034482762</v>
      </c>
      <c r="AA51" s="522"/>
      <c r="AB51" s="607">
        <f t="shared" ref="AB51:AB54" si="156">SUM(C51:N51)</f>
        <v>525.3670745272525</v>
      </c>
    </row>
    <row r="52" spans="1:28">
      <c r="B52" s="513"/>
      <c r="C52" s="211"/>
      <c r="D52" s="211"/>
      <c r="E52" s="211">
        <v>207.10054046563198</v>
      </c>
      <c r="F52" s="211">
        <v>201.47893569844786</v>
      </c>
      <c r="G52" s="211">
        <v>208</v>
      </c>
      <c r="H52" s="211">
        <v>208</v>
      </c>
      <c r="I52" s="211">
        <v>136.19354838709674</v>
      </c>
      <c r="J52" s="211">
        <v>210</v>
      </c>
      <c r="K52" s="211">
        <v>191.56666666666666</v>
      </c>
      <c r="L52" s="211">
        <v>151.64673882809203</v>
      </c>
      <c r="M52" s="211">
        <v>212.00846883468836</v>
      </c>
      <c r="N52" s="211">
        <v>206.88651761517619</v>
      </c>
      <c r="O52" s="211">
        <v>211.50948509485087</v>
      </c>
      <c r="P52" s="211">
        <v>211.50948509485087</v>
      </c>
      <c r="Q52" s="211">
        <v>209.30115176151762</v>
      </c>
      <c r="R52" s="211">
        <v>209.30115176151762</v>
      </c>
      <c r="S52" s="211">
        <v>209.30115176151762</v>
      </c>
      <c r="T52" s="211">
        <v>209.30115176151762</v>
      </c>
      <c r="U52" s="211">
        <v>209.30115176151762</v>
      </c>
      <c r="V52" s="211">
        <v>209.30115176151762</v>
      </c>
      <c r="W52" s="211">
        <v>209.30115176151762</v>
      </c>
      <c r="X52" s="211">
        <v>209.30115176151762</v>
      </c>
      <c r="Y52" s="211">
        <v>209.30115176151762</v>
      </c>
      <c r="Z52" s="211">
        <v>209.30115176151762</v>
      </c>
      <c r="AA52" s="522"/>
      <c r="AB52" s="607">
        <f t="shared" si="156"/>
        <v>1932.8814164957998</v>
      </c>
    </row>
    <row r="53" spans="1:28">
      <c r="A53" s="596"/>
      <c r="B53" s="596"/>
      <c r="C53" s="596"/>
      <c r="D53" s="596"/>
      <c r="E53" s="605">
        <v>60.225806451612897</v>
      </c>
      <c r="F53" s="605">
        <v>59</v>
      </c>
      <c r="G53" s="605">
        <v>52</v>
      </c>
      <c r="H53" s="605">
        <v>57</v>
      </c>
      <c r="I53" s="605">
        <v>55.477419354838709</v>
      </c>
      <c r="J53" s="605">
        <v>50</v>
      </c>
      <c r="K53" s="605">
        <v>51.00545454545454</v>
      </c>
      <c r="L53" s="605">
        <v>51.063782897778061</v>
      </c>
      <c r="M53" s="605">
        <v>47.77132489741826</v>
      </c>
      <c r="N53" s="605">
        <v>49.110265183372839</v>
      </c>
      <c r="O53" s="605">
        <v>48.858103320845132</v>
      </c>
      <c r="P53" s="605">
        <v>48.858103320845132</v>
      </c>
      <c r="Q53" s="605">
        <v>48.978557866299674</v>
      </c>
      <c r="R53" s="605">
        <v>48.978557866299674</v>
      </c>
      <c r="S53" s="605">
        <v>48.978557866299674</v>
      </c>
      <c r="T53" s="605">
        <v>48.978557866299674</v>
      </c>
      <c r="U53" s="605">
        <v>48.978557866299674</v>
      </c>
      <c r="V53" s="605">
        <v>48.978557866299674</v>
      </c>
      <c r="W53" s="605">
        <v>48.978557866299674</v>
      </c>
      <c r="X53" s="605">
        <v>48.978557866299674</v>
      </c>
      <c r="Y53" s="605">
        <v>48.978557866299674</v>
      </c>
      <c r="Z53" s="605">
        <v>48.978557866299674</v>
      </c>
      <c r="AA53" s="522"/>
      <c r="AB53" s="607">
        <f t="shared" si="156"/>
        <v>532.65405333047534</v>
      </c>
    </row>
    <row r="54" spans="1:28">
      <c r="A54" s="596"/>
      <c r="B54" s="596"/>
      <c r="C54" s="596"/>
      <c r="D54" s="596"/>
      <c r="E54" s="605">
        <v>207.10054046563198</v>
      </c>
      <c r="F54" s="605">
        <v>201.47893569844786</v>
      </c>
      <c r="G54" s="605">
        <v>208</v>
      </c>
      <c r="H54" s="605">
        <v>208</v>
      </c>
      <c r="I54" s="605">
        <v>136.19354838709674</v>
      </c>
      <c r="J54" s="605">
        <v>210</v>
      </c>
      <c r="K54" s="605">
        <v>191.56666666666666</v>
      </c>
      <c r="L54" s="605">
        <v>151.64673882809203</v>
      </c>
      <c r="M54" s="605">
        <v>212.00846883468836</v>
      </c>
      <c r="N54" s="605">
        <v>206.88651761517619</v>
      </c>
      <c r="O54" s="605">
        <v>211.50948509485087</v>
      </c>
      <c r="P54" s="605">
        <v>211.50948509485087</v>
      </c>
      <c r="Q54" s="605">
        <v>209.30115176151762</v>
      </c>
      <c r="R54" s="605">
        <v>209.30115176151762</v>
      </c>
      <c r="S54" s="605">
        <v>209.30115176151762</v>
      </c>
      <c r="T54" s="605">
        <v>209.30115176151762</v>
      </c>
      <c r="U54" s="605">
        <v>209.30115176151762</v>
      </c>
      <c r="V54" s="605">
        <v>209.30115176151762</v>
      </c>
      <c r="W54" s="605">
        <v>209.30115176151762</v>
      </c>
      <c r="X54" s="605">
        <v>209.30115176151762</v>
      </c>
      <c r="Y54" s="605">
        <v>209.30115176151762</v>
      </c>
      <c r="Z54" s="605">
        <v>209.30115176151762</v>
      </c>
      <c r="AA54" s="522"/>
      <c r="AB54" s="607">
        <f t="shared" si="156"/>
        <v>1932.8814164957998</v>
      </c>
    </row>
    <row r="55" spans="1:28">
      <c r="A55" s="596"/>
      <c r="E55" s="611">
        <f>E54+E53-E52-E51</f>
        <v>0</v>
      </c>
      <c r="F55" s="611">
        <f t="shared" ref="F55:Q55" si="157">F54+F53-F52-F51</f>
        <v>0</v>
      </c>
      <c r="G55" s="611">
        <f t="shared" si="157"/>
        <v>0</v>
      </c>
      <c r="H55" s="611">
        <f t="shared" si="157"/>
        <v>0</v>
      </c>
      <c r="I55" s="611">
        <f t="shared" si="157"/>
        <v>4.025806451612894</v>
      </c>
      <c r="J55" s="611">
        <f t="shared" si="157"/>
        <v>0</v>
      </c>
      <c r="K55" s="611">
        <f t="shared" si="157"/>
        <v>1.0054545454545405</v>
      </c>
      <c r="L55" s="611">
        <f t="shared" si="157"/>
        <v>2.7879208288125312</v>
      </c>
      <c r="M55" s="611">
        <f t="shared" si="157"/>
        <v>-0.50453717154726974</v>
      </c>
      <c r="N55" s="611">
        <f t="shared" si="157"/>
        <v>-2.7665851109929918E-2</v>
      </c>
      <c r="O55" s="611">
        <f t="shared" si="157"/>
        <v>-0.27982771363764414</v>
      </c>
      <c r="P55" s="611">
        <f t="shared" si="157"/>
        <v>-0.27982771363764414</v>
      </c>
      <c r="Q55" s="611">
        <f t="shared" si="157"/>
        <v>-0.15937316818309455</v>
      </c>
      <c r="R55" s="611">
        <f t="shared" ref="R55:T55" si="158">R54+R53-R52-R51</f>
        <v>-0.15937316818309455</v>
      </c>
      <c r="S55" s="611">
        <f t="shared" ref="S55" si="159">S54+S53-S52-S51</f>
        <v>-0.15937316818309455</v>
      </c>
      <c r="T55" s="611">
        <f t="shared" si="158"/>
        <v>-0.15937316818309455</v>
      </c>
      <c r="U55" s="611">
        <f t="shared" ref="U55:V55" si="160">U54+U53-U52-U51</f>
        <v>-0.15937316818309455</v>
      </c>
      <c r="V55" s="611">
        <f t="shared" si="160"/>
        <v>-0.15937316818309455</v>
      </c>
      <c r="W55" s="611">
        <f t="shared" ref="W55:X55" si="161">W54+W53-W52-W51</f>
        <v>-0.15937316818309455</v>
      </c>
      <c r="X55" s="611">
        <f t="shared" si="161"/>
        <v>-0.15937316818309455</v>
      </c>
      <c r="Y55" s="611">
        <f t="shared" ref="Y55:Z55" si="162">Y54+Y53-Y52-Y51</f>
        <v>-0.15937316818309455</v>
      </c>
      <c r="Z55" s="712">
        <f t="shared" si="162"/>
        <v>-0.15937316818309455</v>
      </c>
      <c r="AB55" s="607">
        <f>SUM(C55:N55)</f>
        <v>7.286978803222766</v>
      </c>
    </row>
    <row r="57" spans="1:28">
      <c r="I57" s="612">
        <f>I50*24*I46</f>
        <v>-2995.2000000000012</v>
      </c>
      <c r="J57" s="612">
        <f t="shared" ref="J57:Q57" si="163">J50*24*J46</f>
        <v>0</v>
      </c>
      <c r="K57" s="612">
        <f t="shared" si="163"/>
        <v>-723.92727272727302</v>
      </c>
      <c r="L57" s="612">
        <f t="shared" si="163"/>
        <v>-2074.2130966365271</v>
      </c>
      <c r="M57" s="612">
        <f t="shared" si="163"/>
        <v>363.26676351402909</v>
      </c>
      <c r="N57" s="612">
        <f t="shared" si="163"/>
        <v>20.583393225782572</v>
      </c>
      <c r="O57" s="612">
        <f t="shared" si="163"/>
        <v>208.19181894639797</v>
      </c>
      <c r="P57" s="612">
        <f t="shared" si="163"/>
        <v>188.0442235644885</v>
      </c>
      <c r="Q57" s="612">
        <f t="shared" si="163"/>
        <v>118.5736371282197</v>
      </c>
      <c r="R57" s="612">
        <f t="shared" ref="R57:T57" si="164">R50*24*R46</f>
        <v>118.5736371282197</v>
      </c>
      <c r="S57" s="612">
        <f t="shared" ref="S57" si="165">S50*24*S46</f>
        <v>118.5736371282197</v>
      </c>
      <c r="T57" s="612">
        <f t="shared" si="164"/>
        <v>118.5736371282197</v>
      </c>
      <c r="U57" s="612">
        <f t="shared" ref="U57:V57" si="166">U50*24*U46</f>
        <v>118.5736371282197</v>
      </c>
      <c r="V57" s="612">
        <f t="shared" si="166"/>
        <v>118.5736371282197</v>
      </c>
      <c r="W57" s="612">
        <f t="shared" ref="W57:X57" si="167">W50*24*W46</f>
        <v>118.5736371282197</v>
      </c>
      <c r="X57" s="612">
        <f t="shared" si="167"/>
        <v>118.5736371282197</v>
      </c>
      <c r="Y57" s="612">
        <f t="shared" ref="Y57:Z57" si="168">Y50*24*Y46</f>
        <v>118.5736371282197</v>
      </c>
      <c r="Z57" s="612">
        <f t="shared" si="168"/>
        <v>118.5736371282197</v>
      </c>
    </row>
    <row r="58" spans="1:28">
      <c r="I58" s="612"/>
      <c r="J58" s="612"/>
      <c r="K58" s="612"/>
      <c r="L58" s="612"/>
      <c r="M58" s="612"/>
      <c r="N58" s="612"/>
      <c r="O58" s="612"/>
      <c r="P58" s="612"/>
      <c r="Q58" s="612"/>
      <c r="R58" s="612"/>
      <c r="S58" s="612"/>
      <c r="T58" s="612"/>
      <c r="U58" s="612"/>
      <c r="V58" s="612"/>
      <c r="W58" s="612"/>
      <c r="X58" s="612"/>
      <c r="Y58" s="612"/>
      <c r="Z58" s="612"/>
    </row>
    <row r="60" spans="1:28">
      <c r="J60">
        <v>189490.41320350236</v>
      </c>
      <c r="K60">
        <v>173396.70184774572</v>
      </c>
      <c r="L60">
        <v>150125.64414200882</v>
      </c>
    </row>
    <row r="61" spans="1:28">
      <c r="J61" s="256">
        <f>J34-J60</f>
        <v>-6976.4752473757835</v>
      </c>
      <c r="K61" s="256">
        <f t="shared" ref="K61:L61" si="169">K34-K60</f>
        <v>-5353.2412180038227</v>
      </c>
      <c r="L61" s="256">
        <f t="shared" si="169"/>
        <v>6987.504966988432</v>
      </c>
      <c r="M61" s="256"/>
      <c r="N61" s="256"/>
      <c r="O61" s="256"/>
      <c r="P61" s="256"/>
      <c r="Q61" s="256"/>
      <c r="R61" s="256"/>
      <c r="S61" s="256"/>
      <c r="T61" s="256"/>
    </row>
    <row r="63" spans="1:28">
      <c r="AA63"/>
    </row>
    <row r="64" spans="1:28">
      <c r="K64" s="937" t="s">
        <v>311</v>
      </c>
      <c r="L64" s="937"/>
      <c r="AA64"/>
    </row>
    <row r="65" spans="11:27">
      <c r="K65" s="937"/>
      <c r="L65" s="937"/>
      <c r="AA65"/>
    </row>
    <row r="66" spans="11:27">
      <c r="K66" s="602" t="s">
        <v>245</v>
      </c>
      <c r="AA66"/>
    </row>
    <row r="67" spans="11:27">
      <c r="K67" s="602" t="s">
        <v>246</v>
      </c>
      <c r="AA67"/>
    </row>
    <row r="68" spans="11:27">
      <c r="AA68"/>
    </row>
    <row r="69" spans="11:27">
      <c r="AA69"/>
    </row>
  </sheetData>
  <mergeCells count="1">
    <mergeCell ref="K64:L65"/>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AQ57"/>
  <sheetViews>
    <sheetView zoomScale="70" zoomScaleNormal="70" workbookViewId="0">
      <pane xSplit="2" ySplit="1" topLeftCell="AA17" activePane="bottomRight" state="frozen"/>
      <selection activeCell="AQ109" sqref="AQ109"/>
      <selection pane="topRight" activeCell="AQ109" sqref="AQ109"/>
      <selection pane="bottomLeft" activeCell="AQ109" sqref="AQ109"/>
      <selection pane="bottomRight" activeCell="AB36" sqref="AB36"/>
    </sheetView>
  </sheetViews>
  <sheetFormatPr defaultColWidth="8.453125" defaultRowHeight="14.5"/>
  <cols>
    <col min="1" max="1" width="65.08984375" style="318" bestFit="1" customWidth="1"/>
    <col min="2" max="2" width="8.453125" style="32"/>
    <col min="3" max="25" width="9.08984375" style="318" customWidth="1"/>
    <col min="26" max="39" width="8.453125" style="318"/>
    <col min="40" max="40" width="9.1796875" style="318" bestFit="1" customWidth="1"/>
    <col min="41" max="41" width="8.453125" style="318"/>
    <col min="42" max="42" width="26.36328125" style="318" bestFit="1" customWidth="1"/>
    <col min="43" max="16384" width="8.453125" style="318"/>
  </cols>
  <sheetData>
    <row r="1" spans="1:39" s="300" customFormat="1" ht="15" thickBot="1">
      <c r="A1" s="297"/>
      <c r="B1" s="298" t="s">
        <v>72</v>
      </c>
      <c r="C1" s="299">
        <v>43801</v>
      </c>
      <c r="D1" s="299">
        <v>43832</v>
      </c>
      <c r="E1" s="299">
        <v>43863</v>
      </c>
      <c r="F1" s="299">
        <v>43892</v>
      </c>
      <c r="G1" s="299">
        <v>43923</v>
      </c>
      <c r="H1" s="299">
        <v>43953</v>
      </c>
      <c r="I1" s="299">
        <v>43984</v>
      </c>
      <c r="J1" s="299">
        <v>44014</v>
      </c>
      <c r="K1" s="299">
        <v>44045</v>
      </c>
      <c r="L1" s="299">
        <v>44076</v>
      </c>
      <c r="M1" s="299">
        <v>44106</v>
      </c>
      <c r="N1" s="299">
        <v>44137</v>
      </c>
      <c r="O1" s="299">
        <v>44167</v>
      </c>
      <c r="P1" s="299">
        <v>44198</v>
      </c>
      <c r="Q1" s="299">
        <v>44229</v>
      </c>
      <c r="R1" s="299">
        <v>44257</v>
      </c>
      <c r="S1" s="299">
        <v>44288</v>
      </c>
      <c r="T1" s="299">
        <v>44318</v>
      </c>
      <c r="U1" s="299">
        <v>44349</v>
      </c>
      <c r="V1" s="299">
        <v>44379</v>
      </c>
      <c r="W1" s="299">
        <v>44410</v>
      </c>
      <c r="X1" s="299">
        <v>44441</v>
      </c>
      <c r="Y1" s="299">
        <v>44471</v>
      </c>
      <c r="Z1" s="299">
        <v>44502</v>
      </c>
      <c r="AA1" s="299">
        <v>44532</v>
      </c>
      <c r="AB1" s="299">
        <v>44563</v>
      </c>
      <c r="AC1" s="299">
        <v>44594</v>
      </c>
      <c r="AD1" s="299">
        <v>44622</v>
      </c>
      <c r="AE1" s="299">
        <v>44653</v>
      </c>
      <c r="AF1" s="299">
        <v>44683</v>
      </c>
      <c r="AG1" s="299">
        <v>44714</v>
      </c>
      <c r="AH1" s="299">
        <v>44744</v>
      </c>
      <c r="AI1" s="299">
        <v>44775</v>
      </c>
      <c r="AJ1" s="299">
        <v>44806</v>
      </c>
      <c r="AK1" s="299">
        <v>44836</v>
      </c>
      <c r="AL1" s="299">
        <v>44867</v>
      </c>
      <c r="AM1" s="299">
        <v>44897</v>
      </c>
    </row>
    <row r="2" spans="1:39" s="300" customFormat="1">
      <c r="A2" s="301" t="s">
        <v>3</v>
      </c>
      <c r="B2" s="302"/>
      <c r="C2" s="303"/>
      <c r="D2" s="303"/>
    </row>
    <row r="3" spans="1:39" s="300" customFormat="1">
      <c r="A3" s="304" t="s">
        <v>161</v>
      </c>
      <c r="B3" s="305" t="s">
        <v>44</v>
      </c>
      <c r="C3" s="329">
        <f t="shared" ref="C3:T3" si="0">C4+C5+C6</f>
        <v>347.86</v>
      </c>
      <c r="D3" s="329">
        <f t="shared" si="0"/>
        <v>294.16699999999997</v>
      </c>
      <c r="E3" s="329">
        <f t="shared" si="0"/>
        <v>290.39999999999998</v>
      </c>
      <c r="F3" s="329">
        <f t="shared" si="0"/>
        <v>306.5</v>
      </c>
      <c r="G3" s="329">
        <f t="shared" si="0"/>
        <v>250.80099999999999</v>
      </c>
      <c r="H3" s="329">
        <f t="shared" si="0"/>
        <v>233</v>
      </c>
      <c r="I3" s="329">
        <f t="shared" si="0"/>
        <v>242.08</v>
      </c>
      <c r="J3" s="329">
        <f t="shared" si="0"/>
        <v>277.608</v>
      </c>
      <c r="K3" s="329">
        <f t="shared" si="0"/>
        <v>298.5</v>
      </c>
      <c r="L3" s="329">
        <f t="shared" si="0"/>
        <v>289</v>
      </c>
      <c r="M3" s="329">
        <f t="shared" si="0"/>
        <v>286.80200000000002</v>
      </c>
      <c r="N3" s="329">
        <f t="shared" si="0"/>
        <v>300.7</v>
      </c>
      <c r="O3" s="329">
        <f t="shared" si="0"/>
        <v>299.97700000000003</v>
      </c>
      <c r="P3" s="329">
        <f t="shared" si="0"/>
        <v>302.40185793868551</v>
      </c>
      <c r="Q3" s="329">
        <f t="shared" si="0"/>
        <v>308.34023227435034</v>
      </c>
      <c r="R3" s="329">
        <f t="shared" si="0"/>
        <v>322</v>
      </c>
      <c r="S3" s="329">
        <f t="shared" si="0"/>
        <v>296</v>
      </c>
      <c r="T3" s="329">
        <f t="shared" si="0"/>
        <v>325.161</v>
      </c>
      <c r="U3" s="329">
        <f t="shared" ref="U3:AB3" si="1">U4+U5+U6</f>
        <v>314.78385350177302</v>
      </c>
      <c r="V3" s="329">
        <f t="shared" si="1"/>
        <v>314</v>
      </c>
      <c r="W3" s="329">
        <f t="shared" si="1"/>
        <v>305</v>
      </c>
      <c r="X3" s="329">
        <f t="shared" si="1"/>
        <v>307.75632875843218</v>
      </c>
      <c r="Y3" s="329">
        <f t="shared" si="1"/>
        <v>285.24027184122048</v>
      </c>
      <c r="Z3" s="329">
        <f t="shared" si="1"/>
        <v>286</v>
      </c>
      <c r="AA3" s="329">
        <f t="shared" si="1"/>
        <v>297.85543422318227</v>
      </c>
      <c r="AB3" s="329">
        <f t="shared" si="1"/>
        <v>327.13814401622722</v>
      </c>
      <c r="AC3" s="329">
        <f t="shared" ref="AC3:AD3" si="2">AC4+AC5+AC6</f>
        <v>302.31618199091076</v>
      </c>
      <c r="AD3" s="329">
        <f t="shared" si="2"/>
        <v>331.35513793103445</v>
      </c>
      <c r="AE3" s="329">
        <f t="shared" ref="AE3:AF3" si="3">AE4+AE5+AE6</f>
        <v>333.49137931034477</v>
      </c>
      <c r="AF3" s="329">
        <f t="shared" si="3"/>
        <v>319.08189655172413</v>
      </c>
      <c r="AG3" s="329">
        <f t="shared" ref="AG3:AM3" si="4">AG4+AG5+AG6</f>
        <v>320.57758620689651</v>
      </c>
      <c r="AH3" s="329">
        <f t="shared" si="4"/>
        <v>338.23017241379307</v>
      </c>
      <c r="AI3" s="329">
        <f t="shared" si="4"/>
        <v>335.86336206896556</v>
      </c>
      <c r="AJ3" s="329">
        <f t="shared" si="4"/>
        <v>337.68534482758628</v>
      </c>
      <c r="AK3" s="329">
        <f t="shared" si="4"/>
        <v>348.90818965517246</v>
      </c>
      <c r="AL3" s="329">
        <f t="shared" si="4"/>
        <v>341.68534482758628</v>
      </c>
      <c r="AM3" s="329">
        <f t="shared" si="4"/>
        <v>341.56000318973912</v>
      </c>
    </row>
    <row r="4" spans="1:39" s="300" customFormat="1">
      <c r="A4" s="306" t="s">
        <v>162</v>
      </c>
      <c r="B4" s="307" t="s">
        <v>44</v>
      </c>
      <c r="C4" s="330">
        <v>308.76</v>
      </c>
      <c r="D4" s="330">
        <f>'C3LPG'!M59</f>
        <v>274.16699999999997</v>
      </c>
      <c r="E4" s="330">
        <f>'C3LPG'!N59</f>
        <v>269</v>
      </c>
      <c r="F4" s="330">
        <f>'C3LPG'!O59</f>
        <v>299.5</v>
      </c>
      <c r="G4" s="330">
        <f>'C3LPG'!P59</f>
        <v>248.80099999999999</v>
      </c>
      <c r="H4" s="330">
        <f>'C3LPG'!Q59</f>
        <v>225</v>
      </c>
      <c r="I4" s="330">
        <f>'C3LPG'!R59</f>
        <v>238.5</v>
      </c>
      <c r="J4" s="330">
        <f>'C3LPG'!S59</f>
        <v>250.608</v>
      </c>
      <c r="K4" s="330">
        <f>'C3LPG'!T59</f>
        <v>270.3</v>
      </c>
      <c r="L4" s="330">
        <f>'C3LPG'!U59</f>
        <v>276</v>
      </c>
      <c r="M4" s="330">
        <f>'C3LPG'!V59</f>
        <v>279.80200000000002</v>
      </c>
      <c r="N4" s="330">
        <f>'C3LPG'!W59</f>
        <v>255.7</v>
      </c>
      <c r="O4" s="330">
        <f>'C3LPG'!X59</f>
        <v>267.7</v>
      </c>
      <c r="P4" s="330">
        <f>'C3LPG'!Y59</f>
        <v>277.40185793868551</v>
      </c>
      <c r="Q4" s="330">
        <f>'C3LPG'!Z59</f>
        <v>254.34023227435031</v>
      </c>
      <c r="R4" s="330">
        <f>'C3LPG'!AA59</f>
        <v>285</v>
      </c>
      <c r="S4" s="330">
        <f>'C3LPG'!AB59</f>
        <v>264.5</v>
      </c>
      <c r="T4" s="330">
        <f>'C3LPG'!AC59</f>
        <v>290.161</v>
      </c>
      <c r="U4" s="330">
        <f>'C3LPG'!AD59</f>
        <v>283.28385350177302</v>
      </c>
      <c r="V4" s="330">
        <f>'C3LPG'!AE59</f>
        <v>214</v>
      </c>
      <c r="W4" s="330">
        <f>'C3LPG'!AF59</f>
        <v>279</v>
      </c>
      <c r="X4" s="330">
        <f>'C3LPG'!AG59</f>
        <v>256.75632875843218</v>
      </c>
      <c r="Y4" s="330">
        <f>'C3LPG'!AH59</f>
        <v>242.24027184122048</v>
      </c>
      <c r="Z4" s="330">
        <f>'C3LPG'!AI59</f>
        <v>250</v>
      </c>
      <c r="AA4" s="330">
        <f>'C3LPG'!AJ59</f>
        <v>256.85543422318227</v>
      </c>
      <c r="AB4" s="330">
        <f>'C3LPG'!AK59</f>
        <v>266.13814401622722</v>
      </c>
      <c r="AC4" s="330">
        <f>'C3LPG'!AL59</f>
        <v>237.31618199091076</v>
      </c>
      <c r="AD4" s="330">
        <f>'C3LPG'!AM59</f>
        <v>255.35513793103445</v>
      </c>
      <c r="AE4" s="330">
        <f>'C3LPG'!AN59</f>
        <v>246.4913793103448</v>
      </c>
      <c r="AF4" s="330">
        <f>'C3LPG'!AO59</f>
        <v>226.08189655172413</v>
      </c>
      <c r="AG4" s="330">
        <f>'C3LPG'!AP59</f>
        <v>229.57758620689651</v>
      </c>
      <c r="AH4" s="330">
        <f>'C3LPG'!AQ59</f>
        <v>237.23017241379307</v>
      </c>
      <c r="AI4" s="330">
        <f>'C3LPG'!AR59</f>
        <v>227.86336206896553</v>
      </c>
      <c r="AJ4" s="330">
        <f>'C3LPG'!AS59</f>
        <v>246.68534482758625</v>
      </c>
      <c r="AK4" s="330">
        <f>'C3LPG'!AT59</f>
        <v>254.90818965517244</v>
      </c>
      <c r="AL4" s="330">
        <f>'C3LPG'!AU59</f>
        <v>246.68534482758625</v>
      </c>
      <c r="AM4" s="330">
        <f>'C3LPG'!AV59</f>
        <v>236.56000318973912</v>
      </c>
    </row>
    <row r="5" spans="1:39" s="300" customFormat="1">
      <c r="A5" s="306" t="s">
        <v>163</v>
      </c>
      <c r="B5" s="307" t="s">
        <v>44</v>
      </c>
      <c r="C5" s="330">
        <v>25</v>
      </c>
      <c r="D5" s="330">
        <f>'C3LPG'!M61</f>
        <v>20</v>
      </c>
      <c r="E5" s="330">
        <f>'C3LPG'!N61</f>
        <v>18</v>
      </c>
      <c r="F5" s="330">
        <f>'C3LPG'!O61</f>
        <v>7</v>
      </c>
      <c r="G5" s="330">
        <f>'C3LPG'!P61</f>
        <v>2</v>
      </c>
      <c r="H5" s="330">
        <f>'C3LPG'!Q61</f>
        <v>6</v>
      </c>
      <c r="I5" s="330">
        <f>'C3LPG'!R61</f>
        <v>0</v>
      </c>
      <c r="J5" s="330">
        <f>'C3LPG'!S61</f>
        <v>4</v>
      </c>
      <c r="K5" s="330">
        <f>'C3LPG'!T61</f>
        <v>1.2</v>
      </c>
      <c r="L5" s="330">
        <f>'C3LPG'!U61</f>
        <v>0</v>
      </c>
      <c r="M5" s="330">
        <f>'C3LPG'!V61</f>
        <v>0</v>
      </c>
      <c r="N5" s="330">
        <f>'C3LPG'!W61</f>
        <v>13</v>
      </c>
      <c r="O5" s="330">
        <f>'C3LPG'!X61</f>
        <v>11.6</v>
      </c>
      <c r="P5" s="330">
        <f>'C3LPG'!Y61</f>
        <v>19</v>
      </c>
      <c r="Q5" s="330">
        <f>'C3LPG'!Z61</f>
        <v>15</v>
      </c>
      <c r="R5" s="330">
        <f>'C3LPG'!AA61</f>
        <v>0</v>
      </c>
      <c r="S5" s="330">
        <f>'C3LPG'!AB61</f>
        <v>2</v>
      </c>
      <c r="T5" s="330">
        <f>'C3LPG'!AC61</f>
        <v>0</v>
      </c>
      <c r="U5" s="330">
        <f>'C3LPG'!AD61</f>
        <v>0</v>
      </c>
      <c r="V5" s="330">
        <f>'C3LPG'!AE61</f>
        <v>0</v>
      </c>
      <c r="W5" s="330">
        <f>'C3LPG'!AF61</f>
        <v>0</v>
      </c>
      <c r="X5" s="330">
        <f>'C3LPG'!AG61</f>
        <v>0</v>
      </c>
      <c r="Y5" s="330">
        <f>'C3LPG'!AH61</f>
        <v>1</v>
      </c>
      <c r="Z5" s="330">
        <f>'C3LPG'!AI61</f>
        <v>4</v>
      </c>
      <c r="AA5" s="330">
        <f>'C3LPG'!AJ61</f>
        <v>0</v>
      </c>
      <c r="AB5" s="330">
        <f>'C3LPG'!AK61</f>
        <v>0</v>
      </c>
      <c r="AC5" s="330">
        <f>'C3LPG'!AL61</f>
        <v>0</v>
      </c>
      <c r="AD5" s="330">
        <f>'C3LPG'!AM61</f>
        <v>0</v>
      </c>
      <c r="AE5" s="330">
        <f>'C3LPG'!AN61</f>
        <v>0</v>
      </c>
      <c r="AF5" s="330">
        <f>'C3LPG'!AO61</f>
        <v>0</v>
      </c>
      <c r="AG5" s="330">
        <f>'C3LPG'!AP61</f>
        <v>0</v>
      </c>
      <c r="AH5" s="330">
        <f>'C3LPG'!AQ61</f>
        <v>0</v>
      </c>
      <c r="AI5" s="330">
        <f>'C3LPG'!AR61</f>
        <v>0</v>
      </c>
      <c r="AJ5" s="330">
        <f>'C3LPG'!AS61</f>
        <v>0</v>
      </c>
      <c r="AK5" s="330">
        <f>'C3LPG'!AT61</f>
        <v>0</v>
      </c>
      <c r="AL5" s="330">
        <f>'C3LPG'!AU61</f>
        <v>0</v>
      </c>
      <c r="AM5" s="330">
        <f>'C3LPG'!AV61</f>
        <v>0</v>
      </c>
    </row>
    <row r="6" spans="1:39" s="300" customFormat="1">
      <c r="A6" s="306" t="s">
        <v>47</v>
      </c>
      <c r="B6" s="307" t="s">
        <v>44</v>
      </c>
      <c r="C6" s="330">
        <v>14.1</v>
      </c>
      <c r="D6" s="330">
        <f>'C3LPG'!M8</f>
        <v>0</v>
      </c>
      <c r="E6" s="330">
        <f>'C3LPG'!N8</f>
        <v>3.4</v>
      </c>
      <c r="F6" s="330">
        <f>'C3LPG'!O8</f>
        <v>0</v>
      </c>
      <c r="G6" s="330">
        <f>'C3LPG'!P8</f>
        <v>0</v>
      </c>
      <c r="H6" s="330">
        <f>'C3LPG'!Q8</f>
        <v>2</v>
      </c>
      <c r="I6" s="330">
        <f>'C3LPG'!R8</f>
        <v>3.58</v>
      </c>
      <c r="J6" s="330">
        <f>'C3LPG'!S8</f>
        <v>23</v>
      </c>
      <c r="K6" s="330">
        <f>'C3LPG'!T8</f>
        <v>27</v>
      </c>
      <c r="L6" s="330">
        <f>'C3LPG'!U8</f>
        <v>13</v>
      </c>
      <c r="M6" s="330">
        <f>'C3LPG'!V8</f>
        <v>7</v>
      </c>
      <c r="N6" s="330">
        <f>'C3LPG'!W8</f>
        <v>32</v>
      </c>
      <c r="O6" s="330">
        <f>'C3LPG'!X8</f>
        <v>20.677</v>
      </c>
      <c r="P6" s="330">
        <f>'C3LPG'!Y8</f>
        <v>6</v>
      </c>
      <c r="Q6" s="330">
        <f>'C3LPG'!Z8</f>
        <v>39</v>
      </c>
      <c r="R6" s="330">
        <f>'C3LPG'!AA8</f>
        <v>37</v>
      </c>
      <c r="S6" s="330">
        <f>'C3LPG'!AB8</f>
        <v>29.5</v>
      </c>
      <c r="T6" s="330">
        <f>'C3LPG'!AC8</f>
        <v>35</v>
      </c>
      <c r="U6" s="330">
        <f>'C3LPG'!AD8</f>
        <v>31.5</v>
      </c>
      <c r="V6" s="330">
        <f>'C3LPG'!AE8</f>
        <v>100</v>
      </c>
      <c r="W6" s="330">
        <f>'C3LPG'!AF8</f>
        <v>26</v>
      </c>
      <c r="X6" s="330">
        <f>'C3LPG'!AG8</f>
        <v>51</v>
      </c>
      <c r="Y6" s="330">
        <f>'C3LPG'!AH8</f>
        <v>42</v>
      </c>
      <c r="Z6" s="330">
        <f>'C3LPG'!AI8</f>
        <v>32</v>
      </c>
      <c r="AA6" s="330">
        <f>'C3LPG'!AJ8</f>
        <v>41</v>
      </c>
      <c r="AB6" s="330">
        <f>'C3LPG'!AK8</f>
        <v>61</v>
      </c>
      <c r="AC6" s="330">
        <f>'C3LPG'!AL8</f>
        <v>65</v>
      </c>
      <c r="AD6" s="330">
        <f>'C3LPG'!AM8</f>
        <v>76</v>
      </c>
      <c r="AE6" s="330">
        <f>'C3LPG'!AN8</f>
        <v>87</v>
      </c>
      <c r="AF6" s="330">
        <f>'C3LPG'!AO8</f>
        <v>93</v>
      </c>
      <c r="AG6" s="330">
        <f>'C3LPG'!AP8</f>
        <v>91</v>
      </c>
      <c r="AH6" s="330">
        <f>'C3LPG'!AQ8</f>
        <v>101</v>
      </c>
      <c r="AI6" s="330">
        <f>'C3LPG'!AR8</f>
        <v>108</v>
      </c>
      <c r="AJ6" s="330">
        <f>'C3LPG'!AS8</f>
        <v>91</v>
      </c>
      <c r="AK6" s="330">
        <f>'C3LPG'!AT8</f>
        <v>94</v>
      </c>
      <c r="AL6" s="330">
        <f>'C3LPG'!AU8</f>
        <v>95</v>
      </c>
      <c r="AM6" s="330">
        <f>'C3LPG'!AV8</f>
        <v>105</v>
      </c>
    </row>
    <row r="7" spans="1:39" s="300" customFormat="1">
      <c r="A7" s="304" t="s">
        <v>6</v>
      </c>
      <c r="B7" s="305" t="s">
        <v>44</v>
      </c>
      <c r="C7" s="329">
        <f t="shared" ref="C7:AF7" si="5">+C8+C9+C13</f>
        <v>344.06112309999997</v>
      </c>
      <c r="D7" s="329">
        <f t="shared" si="5"/>
        <v>315.41329082000004</v>
      </c>
      <c r="E7" s="329">
        <f t="shared" si="5"/>
        <v>273.98145952999994</v>
      </c>
      <c r="F7" s="329">
        <f t="shared" si="5"/>
        <v>305.178</v>
      </c>
      <c r="G7" s="329">
        <f t="shared" si="5"/>
        <v>266.24</v>
      </c>
      <c r="H7" s="329">
        <f t="shared" si="5"/>
        <v>220.37659381</v>
      </c>
      <c r="I7" s="329">
        <f t="shared" si="5"/>
        <v>259.59017382000002</v>
      </c>
      <c r="J7" s="329">
        <f t="shared" si="5"/>
        <v>276.56</v>
      </c>
      <c r="K7" s="329">
        <f t="shared" si="5"/>
        <v>301.61236263736265</v>
      </c>
      <c r="L7" s="329">
        <f t="shared" si="5"/>
        <v>277.89999999999998</v>
      </c>
      <c r="M7" s="329">
        <f t="shared" si="5"/>
        <v>296.91999999999996</v>
      </c>
      <c r="N7" s="329">
        <f t="shared" si="5"/>
        <v>295.10240770999997</v>
      </c>
      <c r="O7" s="329">
        <f t="shared" si="5"/>
        <v>307.56399999999996</v>
      </c>
      <c r="P7" s="329">
        <f t="shared" si="5"/>
        <v>298.947</v>
      </c>
      <c r="Q7" s="329">
        <f t="shared" si="5"/>
        <v>302.78343945</v>
      </c>
      <c r="R7" s="329">
        <f t="shared" si="5"/>
        <v>326.94600000000003</v>
      </c>
      <c r="S7" s="329">
        <f t="shared" si="5"/>
        <v>296.59099999999995</v>
      </c>
      <c r="T7" s="329">
        <f t="shared" si="5"/>
        <v>341.82699999999994</v>
      </c>
      <c r="U7" s="329">
        <f t="shared" si="5"/>
        <v>327.12</v>
      </c>
      <c r="V7" s="329">
        <f t="shared" si="5"/>
        <v>316.03899999999999</v>
      </c>
      <c r="W7" s="329">
        <f t="shared" si="5"/>
        <v>293.09399999999999</v>
      </c>
      <c r="X7" s="329">
        <f t="shared" si="5"/>
        <v>321.53599999999994</v>
      </c>
      <c r="Y7" s="329">
        <f t="shared" si="5"/>
        <v>282.89500000000004</v>
      </c>
      <c r="Z7" s="329">
        <f t="shared" si="5"/>
        <v>284.32</v>
      </c>
      <c r="AA7" s="329">
        <f t="shared" si="5"/>
        <v>291.86411430999999</v>
      </c>
      <c r="AB7" s="329">
        <f t="shared" si="5"/>
        <v>327.08440959000001</v>
      </c>
      <c r="AC7" s="329">
        <f t="shared" si="5"/>
        <v>304.06360789999997</v>
      </c>
      <c r="AD7" s="329">
        <f t="shared" si="5"/>
        <v>331.53893929999998</v>
      </c>
      <c r="AE7" s="329">
        <f t="shared" si="5"/>
        <v>341.40306277000002</v>
      </c>
      <c r="AF7" s="329">
        <f t="shared" si="5"/>
        <v>328.95426757820934</v>
      </c>
      <c r="AG7" s="329">
        <f t="shared" ref="AG7:AM7" si="6">+AG8+AG9+AG13</f>
        <v>370.88459254428005</v>
      </c>
      <c r="AH7" s="329">
        <f t="shared" si="6"/>
        <v>399.04065637958104</v>
      </c>
      <c r="AI7" s="329">
        <f t="shared" si="6"/>
        <v>384.77791420161725</v>
      </c>
      <c r="AJ7" s="329">
        <f t="shared" si="6"/>
        <v>372.9789775142832</v>
      </c>
      <c r="AK7" s="329">
        <f t="shared" si="6"/>
        <v>402.85340915005929</v>
      </c>
      <c r="AL7" s="329">
        <f t="shared" si="6"/>
        <v>394.09894053866958</v>
      </c>
      <c r="AM7" s="329">
        <f t="shared" si="6"/>
        <v>369.50987097982261</v>
      </c>
    </row>
    <row r="8" spans="1:39" s="300" customFormat="1">
      <c r="A8" s="306" t="s">
        <v>164</v>
      </c>
      <c r="B8" s="307" t="s">
        <v>44</v>
      </c>
      <c r="C8" s="330">
        <v>127.133</v>
      </c>
      <c r="D8" s="330">
        <f>'C3LPG'!M176</f>
        <v>109.81</v>
      </c>
      <c r="E8" s="330">
        <f>'C3LPG'!N176</f>
        <v>84.705999999999989</v>
      </c>
      <c r="F8" s="330">
        <f>'C3LPG'!O176</f>
        <v>119.328</v>
      </c>
      <c r="G8" s="330">
        <f>'C3LPG'!P176</f>
        <v>121.05</v>
      </c>
      <c r="H8" s="330">
        <f>'C3LPG'!Q176</f>
        <v>73.457999999999998</v>
      </c>
      <c r="I8" s="330">
        <f>'C3LPG'!R176</f>
        <v>99.144000000000005</v>
      </c>
      <c r="J8" s="330">
        <f>'C3LPG'!S176</f>
        <v>95.72999999999999</v>
      </c>
      <c r="K8" s="330">
        <f>'C3LPG'!T176</f>
        <v>108.71236263736263</v>
      </c>
      <c r="L8" s="330">
        <f>'C3LPG'!U176</f>
        <v>94.41</v>
      </c>
      <c r="M8" s="330">
        <f>'C3LPG'!V176</f>
        <v>97.06</v>
      </c>
      <c r="N8" s="330">
        <f>'C3LPG'!W176</f>
        <v>100.8</v>
      </c>
      <c r="O8" s="330">
        <f>'C3LPG'!X176</f>
        <v>112.874</v>
      </c>
      <c r="P8" s="330">
        <f>'C3LPG'!Y176</f>
        <v>114.867</v>
      </c>
      <c r="Q8" s="330">
        <f>'C3LPG'!Z176</f>
        <v>120.536</v>
      </c>
      <c r="R8" s="330">
        <f>'C3LPG'!AA176</f>
        <v>128.65600000000001</v>
      </c>
      <c r="S8" s="330">
        <f>'C3LPG'!AB176</f>
        <v>128.49099999999999</v>
      </c>
      <c r="T8" s="330">
        <f>'C3LPG'!AC176</f>
        <v>171.02699999999999</v>
      </c>
      <c r="U8" s="330">
        <f>'C3LPG'!AD176</f>
        <v>148.04000000000002</v>
      </c>
      <c r="V8" s="330">
        <f>'C3LPG'!AE176</f>
        <v>131.059</v>
      </c>
      <c r="W8" s="330">
        <f>'C3LPG'!AF176</f>
        <v>123.10399999999998</v>
      </c>
      <c r="X8" s="330">
        <f>'C3LPG'!AG176</f>
        <v>147.90600000000001</v>
      </c>
      <c r="Y8" s="330">
        <f>'C3LPG'!AH176</f>
        <v>107.60600000000001</v>
      </c>
      <c r="Z8" s="330">
        <f>'C3LPG'!AI176</f>
        <v>102.54</v>
      </c>
      <c r="AA8" s="330">
        <f>'C3LPG'!AJ176</f>
        <v>102.29400000000001</v>
      </c>
      <c r="AB8" s="330">
        <f>'C3LPG'!AK176</f>
        <v>130.834</v>
      </c>
      <c r="AC8" s="330">
        <f>'C3LPG'!AL176</f>
        <v>114.32999999999998</v>
      </c>
      <c r="AD8" s="330">
        <f>'C3LPG'!AM176</f>
        <v>134.18899999999999</v>
      </c>
      <c r="AE8" s="330">
        <f>'C3LPG'!AN176</f>
        <v>142.476</v>
      </c>
      <c r="AF8" s="330">
        <f>'C3LPG'!AO176</f>
        <v>132.48346471820935</v>
      </c>
      <c r="AG8" s="330">
        <f>'C3LPG'!AP176</f>
        <v>174.7555270642801</v>
      </c>
      <c r="AH8" s="330">
        <f>'C3LPG'!AQ176</f>
        <v>190.46904937958104</v>
      </c>
      <c r="AI8" s="330">
        <f>'C3LPG'!AR176</f>
        <v>176.73791420161729</v>
      </c>
      <c r="AJ8" s="330">
        <f>'C3LPG'!AS176</f>
        <v>161.78897751428326</v>
      </c>
      <c r="AK8" s="330">
        <f>'C3LPG'!AT176</f>
        <v>188.14221982005932</v>
      </c>
      <c r="AL8" s="330">
        <f>'C3LPG'!AU176</f>
        <v>183.52159288866955</v>
      </c>
      <c r="AM8" s="330">
        <f>'C3LPG'!AV176</f>
        <v>158.93987097982264</v>
      </c>
    </row>
    <row r="9" spans="1:39" s="300" customFormat="1">
      <c r="A9" s="306" t="s">
        <v>165</v>
      </c>
      <c r="B9" s="307" t="s">
        <v>44</v>
      </c>
      <c r="C9" s="331">
        <f t="shared" ref="C9:M9" si="7">+C10+C11+C12</f>
        <v>216.92812309999997</v>
      </c>
      <c r="D9" s="331">
        <f t="shared" si="7"/>
        <v>205.60329082000001</v>
      </c>
      <c r="E9" s="331">
        <f t="shared" si="7"/>
        <v>195.24545953000001</v>
      </c>
      <c r="F9" s="331">
        <f t="shared" si="7"/>
        <v>180</v>
      </c>
      <c r="G9" s="331">
        <f t="shared" si="7"/>
        <v>145.19</v>
      </c>
      <c r="H9" s="331">
        <f t="shared" si="7"/>
        <v>146.91859381</v>
      </c>
      <c r="I9" s="331">
        <f t="shared" si="7"/>
        <v>160.44617381999998</v>
      </c>
      <c r="J9" s="331">
        <f t="shared" si="7"/>
        <v>180.83</v>
      </c>
      <c r="K9" s="331">
        <f t="shared" si="7"/>
        <v>192.9</v>
      </c>
      <c r="L9" s="331">
        <f t="shared" si="7"/>
        <v>188.49</v>
      </c>
      <c r="M9" s="331">
        <f t="shared" si="7"/>
        <v>199.85999999999999</v>
      </c>
      <c r="N9" s="331">
        <f t="shared" ref="N9:T9" si="8">+N10+N11+N12</f>
        <v>194.30240770999998</v>
      </c>
      <c r="O9" s="331">
        <f t="shared" si="8"/>
        <v>194.69</v>
      </c>
      <c r="P9" s="331">
        <f t="shared" si="8"/>
        <v>184.08</v>
      </c>
      <c r="Q9" s="331">
        <f t="shared" si="8"/>
        <v>182.24743945</v>
      </c>
      <c r="R9" s="331">
        <f t="shared" si="8"/>
        <v>198.29</v>
      </c>
      <c r="S9" s="331">
        <f t="shared" si="8"/>
        <v>168.09999999999997</v>
      </c>
      <c r="T9" s="331">
        <f t="shared" si="8"/>
        <v>170.79999999999995</v>
      </c>
      <c r="U9" s="331">
        <f t="shared" ref="U9:AB9" si="9">+U10+U11+U12</f>
        <v>179.07999999999998</v>
      </c>
      <c r="V9" s="331">
        <f t="shared" si="9"/>
        <v>184.97999999999996</v>
      </c>
      <c r="W9" s="331">
        <f t="shared" si="9"/>
        <v>171.99</v>
      </c>
      <c r="X9" s="331">
        <f t="shared" si="9"/>
        <v>173.62999999999997</v>
      </c>
      <c r="Y9" s="331">
        <f t="shared" si="9"/>
        <v>175.28900000000002</v>
      </c>
      <c r="Z9" s="331">
        <f t="shared" si="9"/>
        <v>181.27999999999997</v>
      </c>
      <c r="AA9" s="331">
        <f t="shared" si="9"/>
        <v>189.57011431000001</v>
      </c>
      <c r="AB9" s="331">
        <f t="shared" si="9"/>
        <v>196.25040959</v>
      </c>
      <c r="AC9" s="331">
        <f t="shared" ref="AC9:AD9" si="10">+AC10+AC11+AC12</f>
        <v>189.73360789999998</v>
      </c>
      <c r="AD9" s="331">
        <f t="shared" si="10"/>
        <v>197.34993929999999</v>
      </c>
      <c r="AE9" s="331">
        <f t="shared" ref="AE9:AF9" si="11">+AE10+AE11+AE12</f>
        <v>198.92706276999999</v>
      </c>
      <c r="AF9" s="331">
        <f t="shared" si="11"/>
        <v>196.47080285999999</v>
      </c>
      <c r="AG9" s="331">
        <f t="shared" ref="AG9:AM9" si="12">+AG10+AG11+AG12</f>
        <v>196.12906547999998</v>
      </c>
      <c r="AH9" s="331">
        <f t="shared" si="12"/>
        <v>208.57160699999997</v>
      </c>
      <c r="AI9" s="331">
        <f t="shared" si="12"/>
        <v>208.04</v>
      </c>
      <c r="AJ9" s="331">
        <f t="shared" si="12"/>
        <v>211.18999999999997</v>
      </c>
      <c r="AK9" s="331">
        <f t="shared" si="12"/>
        <v>214.71118933</v>
      </c>
      <c r="AL9" s="331">
        <f t="shared" si="12"/>
        <v>210.57734765000001</v>
      </c>
      <c r="AM9" s="331">
        <f t="shared" si="12"/>
        <v>210.57</v>
      </c>
    </row>
    <row r="10" spans="1:39" s="300" customFormat="1">
      <c r="A10" s="308" t="s">
        <v>166</v>
      </c>
      <c r="B10" s="309" t="s">
        <v>44</v>
      </c>
      <c r="C10" s="330">
        <v>24.62</v>
      </c>
      <c r="D10" s="330">
        <f>'C3LPG'!M180</f>
        <v>22.66</v>
      </c>
      <c r="E10" s="330">
        <f>'C3LPG'!N180</f>
        <v>18.09</v>
      </c>
      <c r="F10" s="330">
        <f>'C3LPG'!O180</f>
        <v>17.23</v>
      </c>
      <c r="G10" s="330">
        <f>'C3LPG'!P180</f>
        <v>11.25</v>
      </c>
      <c r="H10" s="330">
        <f>'C3LPG'!Q180</f>
        <v>12.100000000000001</v>
      </c>
      <c r="I10" s="330">
        <f>'C3LPG'!R180</f>
        <v>17.88</v>
      </c>
      <c r="J10" s="330">
        <f>'C3LPG'!S180</f>
        <v>23.200000000000003</v>
      </c>
      <c r="K10" s="330">
        <f>'C3LPG'!T180</f>
        <v>31.1</v>
      </c>
      <c r="L10" s="330">
        <f>'C3LPG'!U180</f>
        <v>28.200000000000003</v>
      </c>
      <c r="M10" s="330">
        <f>'C3LPG'!V180</f>
        <v>31.5</v>
      </c>
      <c r="N10" s="330">
        <f>'C3LPG'!W180</f>
        <v>32.200000000000003</v>
      </c>
      <c r="O10" s="330">
        <f>'C3LPG'!X180</f>
        <v>30.77</v>
      </c>
      <c r="P10" s="330">
        <f>'C3LPG'!Y180</f>
        <v>26.55</v>
      </c>
      <c r="Q10" s="330">
        <f>'C3LPG'!Z180</f>
        <v>32.519999999999996</v>
      </c>
      <c r="R10" s="330">
        <f>'C3LPG'!AA180</f>
        <v>34.83</v>
      </c>
      <c r="S10" s="330">
        <f>'C3LPG'!AB180</f>
        <v>29.07</v>
      </c>
      <c r="T10" s="330">
        <f>'C3LPG'!AC180</f>
        <v>28.519999999999996</v>
      </c>
      <c r="U10" s="330">
        <f>'C3LPG'!AD180</f>
        <v>36.29</v>
      </c>
      <c r="V10" s="330">
        <f>'C3LPG'!AE180</f>
        <v>38.450000000000003</v>
      </c>
      <c r="W10" s="330">
        <f>'C3LPG'!AF180</f>
        <v>32.43</v>
      </c>
      <c r="X10" s="330">
        <f>'C3LPG'!AG180</f>
        <v>33.450000000000003</v>
      </c>
      <c r="Y10" s="330">
        <f>'C3LPG'!AH180</f>
        <v>29.48</v>
      </c>
      <c r="Z10" s="330">
        <f>'C3LPG'!AI180</f>
        <v>33.449999999999996</v>
      </c>
      <c r="AA10" s="330">
        <f>'C3LPG'!AJ180</f>
        <v>34.08</v>
      </c>
      <c r="AB10" s="330">
        <f>'C3LPG'!AK180</f>
        <v>29.84</v>
      </c>
      <c r="AC10" s="330">
        <f>'C3LPG'!AL180</f>
        <v>37.69</v>
      </c>
      <c r="AD10" s="330">
        <f>'C3LPG'!AM180</f>
        <v>38.489999999999995</v>
      </c>
      <c r="AE10" s="330">
        <f>'C3LPG'!AN180</f>
        <v>43.91</v>
      </c>
      <c r="AF10" s="330">
        <f>'C3LPG'!AO180</f>
        <v>38.489999999999995</v>
      </c>
      <c r="AG10" s="330">
        <f>'C3LPG'!AP180</f>
        <v>38.75</v>
      </c>
      <c r="AH10" s="330">
        <f>'C3LPG'!AQ180</f>
        <v>49.089999999999996</v>
      </c>
      <c r="AI10" s="330">
        <f>'C3LPG'!AR180</f>
        <v>47.83</v>
      </c>
      <c r="AJ10" s="330">
        <f>'C3LPG'!AS180</f>
        <v>49.449999999999996</v>
      </c>
      <c r="AK10" s="330">
        <f>'C3LPG'!AT180</f>
        <v>50.7</v>
      </c>
      <c r="AL10" s="330">
        <f>'C3LPG'!AU180</f>
        <v>50.43</v>
      </c>
      <c r="AM10" s="330">
        <f>'C3LPG'!AV180</f>
        <v>50.43</v>
      </c>
    </row>
    <row r="11" spans="1:39" s="300" customFormat="1">
      <c r="A11" s="308" t="s">
        <v>167</v>
      </c>
      <c r="B11" s="309" t="s">
        <v>44</v>
      </c>
      <c r="C11" s="330">
        <v>191.20567744999997</v>
      </c>
      <c r="D11" s="330">
        <f>'C3LPG'!M181</f>
        <v>181.64329082</v>
      </c>
      <c r="E11" s="330">
        <f>'C3LPG'!N181</f>
        <v>175.59545953</v>
      </c>
      <c r="F11" s="330">
        <f>'C3LPG'!O181</f>
        <v>161.47</v>
      </c>
      <c r="G11" s="330">
        <f>'C3LPG'!P181</f>
        <v>132.49</v>
      </c>
      <c r="H11" s="330">
        <f>'C3LPG'!Q181</f>
        <v>133.46</v>
      </c>
      <c r="I11" s="330">
        <f>'C3LPG'!R181</f>
        <v>141.44</v>
      </c>
      <c r="J11" s="330">
        <f>'C3LPG'!S181</f>
        <v>156.22999999999999</v>
      </c>
      <c r="K11" s="330">
        <f>'C3LPG'!T181</f>
        <v>160.78</v>
      </c>
      <c r="L11" s="330">
        <f>'C3LPG'!U181</f>
        <v>158.84</v>
      </c>
      <c r="M11" s="330">
        <f>'C3LPG'!V181</f>
        <v>166.91</v>
      </c>
      <c r="N11" s="330">
        <f>'C3LPG'!W181</f>
        <v>160.70240770999999</v>
      </c>
      <c r="O11" s="330">
        <f>'C3LPG'!X181</f>
        <v>162.72</v>
      </c>
      <c r="P11" s="330">
        <f>'C3LPG'!Y181</f>
        <v>156.13</v>
      </c>
      <c r="Q11" s="330">
        <f>'C3LPG'!Z181</f>
        <v>148.42743945000001</v>
      </c>
      <c r="R11" s="330">
        <f>'C3LPG'!AA181</f>
        <v>162.11000000000001</v>
      </c>
      <c r="S11" s="330">
        <f>'C3LPG'!AB181</f>
        <v>137.82999999999998</v>
      </c>
      <c r="T11" s="330">
        <f>'C3LPG'!AC181</f>
        <v>140.82999999999998</v>
      </c>
      <c r="U11" s="330">
        <f>'C3LPG'!AD181</f>
        <v>141.32</v>
      </c>
      <c r="V11" s="330">
        <f>'C3LPG'!AE181</f>
        <v>145.26999999999998</v>
      </c>
      <c r="W11" s="330">
        <f>'C3LPG'!AF181</f>
        <v>138.22999999999999</v>
      </c>
      <c r="X11" s="330">
        <f>'C3LPG'!AG181</f>
        <v>138.94999999999999</v>
      </c>
      <c r="Y11" s="330">
        <f>'C3LPG'!AH181</f>
        <v>144.75900000000001</v>
      </c>
      <c r="Z11" s="330">
        <f>'C3LPG'!AI181</f>
        <v>146.32999999999998</v>
      </c>
      <c r="AA11" s="330">
        <f>'C3LPG'!AJ181</f>
        <v>153.94011431000001</v>
      </c>
      <c r="AB11" s="330">
        <f>'C3LPG'!AK181</f>
        <v>165.00040959</v>
      </c>
      <c r="AC11" s="330">
        <f>'C3LPG'!AL181</f>
        <v>150.66360789999999</v>
      </c>
      <c r="AD11" s="330">
        <f>'C3LPG'!AM181</f>
        <v>157.95993929999997</v>
      </c>
      <c r="AE11" s="330">
        <f>'C3LPG'!AN181</f>
        <v>154.06706277000001</v>
      </c>
      <c r="AF11" s="330">
        <f>'C3LPG'!AO181</f>
        <v>157.03080285999999</v>
      </c>
      <c r="AG11" s="330">
        <f>'C3LPG'!AP181</f>
        <v>156.47906547999997</v>
      </c>
      <c r="AH11" s="330">
        <f>'C3LPG'!AQ181</f>
        <v>158.38160699999997</v>
      </c>
      <c r="AI11" s="330">
        <f>'C3LPG'!AR181</f>
        <v>159.10999999999999</v>
      </c>
      <c r="AJ11" s="330">
        <f>'C3LPG'!AS181</f>
        <v>160.63999999999999</v>
      </c>
      <c r="AK11" s="330">
        <f>'C3LPG'!AT181</f>
        <v>162.91118932999998</v>
      </c>
      <c r="AL11" s="330">
        <f>'C3LPG'!AU181</f>
        <v>159.04734765000001</v>
      </c>
      <c r="AM11" s="330">
        <f>'C3LPG'!AV181</f>
        <v>159.04</v>
      </c>
    </row>
    <row r="12" spans="1:39" s="300" customFormat="1">
      <c r="A12" s="308" t="s">
        <v>168</v>
      </c>
      <c r="B12" s="309" t="s">
        <v>44</v>
      </c>
      <c r="C12" s="330">
        <v>1.1024456499999999</v>
      </c>
      <c r="D12" s="330">
        <f>'C3LPG'!M182</f>
        <v>1.3</v>
      </c>
      <c r="E12" s="330">
        <f>'C3LPG'!N182</f>
        <v>1.56</v>
      </c>
      <c r="F12" s="330">
        <f>'C3LPG'!O182</f>
        <v>1.3</v>
      </c>
      <c r="G12" s="330">
        <f>'C3LPG'!P182</f>
        <v>1.45</v>
      </c>
      <c r="H12" s="330">
        <f>'C3LPG'!Q182</f>
        <v>1.3585938099999999</v>
      </c>
      <c r="I12" s="330">
        <f>'C3LPG'!R182</f>
        <v>1.12617382</v>
      </c>
      <c r="J12" s="330">
        <f>'C3LPG'!S182</f>
        <v>1.4</v>
      </c>
      <c r="K12" s="330">
        <f>'C3LPG'!T182</f>
        <v>1.02</v>
      </c>
      <c r="L12" s="330">
        <f>'C3LPG'!U182</f>
        <v>1.45</v>
      </c>
      <c r="M12" s="330">
        <f>'C3LPG'!V182</f>
        <v>1.4500000000000002</v>
      </c>
      <c r="N12" s="330">
        <f>'C3LPG'!W182</f>
        <v>1.4</v>
      </c>
      <c r="O12" s="330">
        <f>'C3LPG'!X182</f>
        <v>1.2</v>
      </c>
      <c r="P12" s="330">
        <f>'C3LPG'!Y182</f>
        <v>1.4</v>
      </c>
      <c r="Q12" s="330">
        <f>'C3LPG'!Z182</f>
        <v>1.2999999999999998</v>
      </c>
      <c r="R12" s="330">
        <f>'C3LPG'!AA182</f>
        <v>1.35</v>
      </c>
      <c r="S12" s="330">
        <f>'C3LPG'!AB182</f>
        <v>1.2</v>
      </c>
      <c r="T12" s="330">
        <f>'C3LPG'!AC182</f>
        <v>1.45</v>
      </c>
      <c r="U12" s="330">
        <f>'C3LPG'!AD182</f>
        <v>1.47</v>
      </c>
      <c r="V12" s="330">
        <f>'C3LPG'!AE182</f>
        <v>1.26</v>
      </c>
      <c r="W12" s="330">
        <f>'C3LPG'!AF182</f>
        <v>1.33</v>
      </c>
      <c r="X12" s="330">
        <f>'C3LPG'!AG182</f>
        <v>1.23</v>
      </c>
      <c r="Y12" s="330">
        <f>'C3LPG'!AH182</f>
        <v>1.05</v>
      </c>
      <c r="Z12" s="330">
        <f>'C3LPG'!AI182</f>
        <v>1.5</v>
      </c>
      <c r="AA12" s="330">
        <f>'C3LPG'!AJ182</f>
        <v>1.55</v>
      </c>
      <c r="AB12" s="330">
        <f>'C3LPG'!AK182</f>
        <v>1.4100000000000001</v>
      </c>
      <c r="AC12" s="330">
        <f>'C3LPG'!AL182</f>
        <v>1.38</v>
      </c>
      <c r="AD12" s="330">
        <f>'C3LPG'!AM182</f>
        <v>0.9</v>
      </c>
      <c r="AE12" s="330">
        <f>'C3LPG'!AN182</f>
        <v>0.95</v>
      </c>
      <c r="AF12" s="330">
        <f>'C3LPG'!AO182</f>
        <v>0.95</v>
      </c>
      <c r="AG12" s="330">
        <f>'C3LPG'!AP182</f>
        <v>0.9</v>
      </c>
      <c r="AH12" s="330">
        <f>'C3LPG'!AQ182</f>
        <v>1.1000000000000001</v>
      </c>
      <c r="AI12" s="330">
        <f>'C3LPG'!AR182</f>
        <v>1.1000000000000001</v>
      </c>
      <c r="AJ12" s="330">
        <f>'C3LPG'!AS182</f>
        <v>1.1000000000000001</v>
      </c>
      <c r="AK12" s="330">
        <f>'C3LPG'!AT182</f>
        <v>1.1000000000000001</v>
      </c>
      <c r="AL12" s="330">
        <f>'C3LPG'!AU182</f>
        <v>1.1000000000000001</v>
      </c>
      <c r="AM12" s="330">
        <f>'C3LPG'!AV182</f>
        <v>1.1000000000000001</v>
      </c>
    </row>
    <row r="13" spans="1:39" s="300" customFormat="1">
      <c r="A13" s="306" t="s">
        <v>169</v>
      </c>
      <c r="B13" s="307" t="s">
        <v>44</v>
      </c>
      <c r="C13" s="330"/>
      <c r="D13" s="330">
        <f>'C3LPG'!M9</f>
        <v>0</v>
      </c>
      <c r="E13" s="330">
        <f>'C3LPG'!N9</f>
        <v>-5.97</v>
      </c>
      <c r="F13" s="330">
        <f>'C3LPG'!O9</f>
        <v>5.85</v>
      </c>
      <c r="G13" s="330">
        <f>'C3LPG'!P9</f>
        <v>0</v>
      </c>
      <c r="H13" s="330">
        <f>'C3LPG'!Q9</f>
        <v>0</v>
      </c>
      <c r="I13" s="330">
        <f>'C3LPG'!R9</f>
        <v>0</v>
      </c>
      <c r="J13" s="330">
        <f>'C3LPG'!S9</f>
        <v>0</v>
      </c>
      <c r="K13" s="330">
        <f>'C3LPG'!T9</f>
        <v>0</v>
      </c>
      <c r="L13" s="330">
        <f>'C3LPG'!U9</f>
        <v>-5</v>
      </c>
      <c r="M13" s="330">
        <f>'C3LPG'!V9</f>
        <v>0</v>
      </c>
      <c r="N13" s="330">
        <f>'C3LPG'!W9</f>
        <v>0</v>
      </c>
      <c r="O13" s="330">
        <f>'C3LPG'!X9</f>
        <v>0</v>
      </c>
      <c r="P13" s="330">
        <f>'C3LPG'!Y9</f>
        <v>0</v>
      </c>
      <c r="Q13" s="330">
        <f>'C3LPG'!Z9</f>
        <v>0</v>
      </c>
      <c r="R13" s="330">
        <f>'C3LPG'!AA9</f>
        <v>0</v>
      </c>
      <c r="S13" s="330">
        <f>'C3LPG'!AB9</f>
        <v>0</v>
      </c>
      <c r="T13" s="330">
        <f>'C3LPG'!AC9</f>
        <v>0</v>
      </c>
      <c r="U13" s="330">
        <f>'C3LPG'!AD9</f>
        <v>0</v>
      </c>
      <c r="V13" s="330">
        <f>'C3LPG'!AE9</f>
        <v>0</v>
      </c>
      <c r="W13" s="330">
        <f>'C3LPG'!AF9</f>
        <v>-2</v>
      </c>
      <c r="X13" s="330">
        <f>'C3LPG'!AG9</f>
        <v>0</v>
      </c>
      <c r="Y13" s="330">
        <f>'C3LPG'!AH9</f>
        <v>0</v>
      </c>
      <c r="Z13" s="330">
        <f>'C3LPG'!AI9</f>
        <v>0.5</v>
      </c>
      <c r="AA13" s="330">
        <f>'C3LPG'!AJ9</f>
        <v>0</v>
      </c>
      <c r="AB13" s="330">
        <f>'C3LPG'!AK9</f>
        <v>0</v>
      </c>
      <c r="AC13" s="330">
        <f>'C3LPG'!AL9</f>
        <v>0</v>
      </c>
      <c r="AD13" s="330">
        <f>'C3LPG'!AM9</f>
        <v>0</v>
      </c>
      <c r="AE13" s="330">
        <f>'C3LPG'!AN9</f>
        <v>0</v>
      </c>
      <c r="AF13" s="330">
        <f>'C3LPG'!AO9</f>
        <v>0</v>
      </c>
      <c r="AG13" s="330">
        <f>'C3LPG'!AP9</f>
        <v>0</v>
      </c>
      <c r="AH13" s="330">
        <f>'C3LPG'!AQ9</f>
        <v>0</v>
      </c>
      <c r="AI13" s="330">
        <f>'C3LPG'!AR9</f>
        <v>0</v>
      </c>
      <c r="AJ13" s="330">
        <f>'C3LPG'!AS9</f>
        <v>0</v>
      </c>
      <c r="AK13" s="330">
        <f>'C3LPG'!AT9</f>
        <v>0</v>
      </c>
      <c r="AL13" s="330">
        <f>'C3LPG'!AU9</f>
        <v>0</v>
      </c>
      <c r="AM13" s="330">
        <f>'C3LPG'!AV9</f>
        <v>0</v>
      </c>
    </row>
    <row r="14" spans="1:39" s="300" customFormat="1">
      <c r="A14" s="310" t="s">
        <v>170</v>
      </c>
      <c r="B14" s="311" t="s">
        <v>44</v>
      </c>
      <c r="C14" s="332">
        <v>31.888097230590823</v>
      </c>
      <c r="D14" s="332">
        <f>'C3LPG'!M2</f>
        <v>16.827883907470703</v>
      </c>
      <c r="E14" s="332">
        <f>'C3LPG'!N2</f>
        <v>36.020527630224606</v>
      </c>
      <c r="F14" s="332">
        <f>'C3LPG'!O2</f>
        <v>33.684161457519529</v>
      </c>
      <c r="G14" s="332">
        <f>'C3LPG'!P2</f>
        <v>18.635842199999999</v>
      </c>
      <c r="H14" s="332">
        <f>'C3LPG'!Q2</f>
        <v>29.542833899999998</v>
      </c>
      <c r="I14" s="332">
        <f>'C3LPG'!R2</f>
        <v>14.458839999999999</v>
      </c>
      <c r="J14" s="332">
        <f>'C3LPG'!S2</f>
        <v>18.007720000000003</v>
      </c>
      <c r="K14" s="332">
        <f>'C3LPG'!T2</f>
        <v>15.124660000000002</v>
      </c>
      <c r="L14" s="332">
        <f>'C3LPG'!U2</f>
        <v>26.696860000000001</v>
      </c>
      <c r="M14" s="332">
        <f>'C3LPG'!V2</f>
        <v>14.437240000000001</v>
      </c>
      <c r="N14" s="332">
        <f>'C3LPG'!W2</f>
        <v>22.420850699999999</v>
      </c>
      <c r="O14" s="332">
        <f>'C3LPG'!X2</f>
        <v>18.055042360000002</v>
      </c>
      <c r="P14" s="332">
        <f>'C3LPG'!Y2</f>
        <v>24.4024</v>
      </c>
      <c r="Q14" s="332">
        <f>'C3LPG'!Z2</f>
        <v>28.877920000000003</v>
      </c>
      <c r="R14" s="332">
        <f>'C3LPG'!AA2</f>
        <v>23.042922528000002</v>
      </c>
      <c r="S14" s="332">
        <f>'C3LPG'!AB2</f>
        <v>33.906688200000005</v>
      </c>
      <c r="T14" s="332">
        <f>'C3LPG'!AC2</f>
        <v>33.714913788000004</v>
      </c>
      <c r="U14" s="332">
        <f>'C3LPG'!AD2</f>
        <v>20.090257854000004</v>
      </c>
      <c r="V14" s="332">
        <f>'C3LPG'!AE2</f>
        <v>18.548406900000003</v>
      </c>
      <c r="W14" s="332">
        <f>'C3LPG'!AF2</f>
        <v>27.909638357999999</v>
      </c>
      <c r="X14" s="332">
        <f>'C3LPG'!AG2</f>
        <v>13.881282000000002</v>
      </c>
      <c r="Y14" s="332">
        <f>'C3LPG'!AH2</f>
        <v>13.449996600000002</v>
      </c>
      <c r="Z14" s="332">
        <f>'C3LPG'!AI2</f>
        <v>17.451211600000001</v>
      </c>
      <c r="AA14" s="332">
        <f>'C3LPG'!AJ2</f>
        <v>24.142531513182256</v>
      </c>
      <c r="AB14" s="332">
        <f>'C3LPG'!AK2</f>
        <v>24.196265939409447</v>
      </c>
      <c r="AC14" s="332">
        <f>'C3LPG'!AL2</f>
        <v>22.448840030320177</v>
      </c>
      <c r="AD14" s="332">
        <f>'C3LPG'!AM2</f>
        <v>22.265038661354616</v>
      </c>
      <c r="AE14" s="332">
        <f>'C3LPG'!AN2</f>
        <v>24.353355201699415</v>
      </c>
      <c r="AF14" s="332">
        <f>'C3LPG'!AO2</f>
        <v>24.480984175214175</v>
      </c>
      <c r="AG14" s="332">
        <f>'C3LPG'!AP2</f>
        <v>22.081777567392358</v>
      </c>
      <c r="AH14" s="332">
        <f>'C3LPG'!AQ2</f>
        <v>22.500354175218042</v>
      </c>
      <c r="AI14" s="332">
        <f>'C3LPG'!AR2</f>
        <v>24.814861365996343</v>
      </c>
      <c r="AJ14" s="332">
        <f>'C3LPG'!AS2</f>
        <v>22.459269137620886</v>
      </c>
      <c r="AK14" s="332">
        <f>'C3LPG'!AT2</f>
        <v>22.859229641310613</v>
      </c>
      <c r="AL14" s="332">
        <f>'C3LPG'!AU2</f>
        <v>24.22783373095708</v>
      </c>
      <c r="AM14" s="332">
        <f>'C3LPG'!AV2</f>
        <v>24.532386127333517</v>
      </c>
    </row>
    <row r="15" spans="1:39" s="300" customFormat="1">
      <c r="A15" s="301" t="s">
        <v>171</v>
      </c>
      <c r="B15" s="302"/>
      <c r="C15" s="333"/>
      <c r="D15" s="333"/>
      <c r="E15" s="334"/>
      <c r="F15" s="334"/>
      <c r="G15" s="334"/>
      <c r="H15" s="334"/>
      <c r="I15" s="334"/>
      <c r="J15" s="334"/>
      <c r="K15" s="334"/>
      <c r="L15" s="334"/>
      <c r="M15" s="334"/>
      <c r="N15" s="334"/>
      <c r="O15" s="334"/>
      <c r="P15" s="334"/>
      <c r="Q15" s="334"/>
      <c r="R15" s="334"/>
      <c r="S15" s="334"/>
      <c r="T15" s="334"/>
      <c r="U15" s="334"/>
      <c r="V15" s="334"/>
      <c r="W15" s="334"/>
      <c r="X15" s="334"/>
      <c r="Y15" s="334"/>
      <c r="Z15" s="334"/>
      <c r="AA15" s="334"/>
      <c r="AB15" s="334"/>
      <c r="AC15" s="334"/>
      <c r="AD15" s="334"/>
      <c r="AE15" s="334"/>
      <c r="AF15" s="334"/>
      <c r="AG15" s="334"/>
      <c r="AH15" s="334"/>
      <c r="AI15" s="334"/>
      <c r="AJ15" s="334"/>
      <c r="AK15" s="334"/>
      <c r="AL15" s="334"/>
      <c r="AM15" s="334"/>
    </row>
    <row r="16" spans="1:39" s="300" customFormat="1">
      <c r="A16" s="304" t="s">
        <v>161</v>
      </c>
      <c r="B16" s="313" t="s">
        <v>44</v>
      </c>
      <c r="C16" s="335">
        <f>+C17+C18</f>
        <v>223.30567744999996</v>
      </c>
      <c r="D16" s="335">
        <f>+D17+D18</f>
        <v>200.24329082</v>
      </c>
      <c r="E16" s="335">
        <f t="shared" ref="E16:T16" si="13">+E17+E18</f>
        <v>192.49545953000001</v>
      </c>
      <c r="F16" s="335">
        <f t="shared" si="13"/>
        <v>165.27</v>
      </c>
      <c r="G16" s="335">
        <f t="shared" si="13"/>
        <v>146.49</v>
      </c>
      <c r="H16" s="335">
        <f t="shared" si="13"/>
        <v>143.36000000000001</v>
      </c>
      <c r="I16" s="335">
        <f t="shared" si="13"/>
        <v>157.91999999999999</v>
      </c>
      <c r="J16" s="335">
        <f t="shared" si="13"/>
        <v>192.73</v>
      </c>
      <c r="K16" s="335">
        <f t="shared" si="13"/>
        <v>201.28</v>
      </c>
      <c r="L16" s="335">
        <f t="shared" si="13"/>
        <v>182.34</v>
      </c>
      <c r="M16" s="335">
        <f t="shared" si="13"/>
        <v>184.81</v>
      </c>
      <c r="N16" s="335">
        <f t="shared" si="13"/>
        <v>203.20240770999999</v>
      </c>
      <c r="O16" s="335">
        <f t="shared" si="13"/>
        <v>193.09700000000001</v>
      </c>
      <c r="P16" s="335">
        <f t="shared" si="13"/>
        <v>168.63</v>
      </c>
      <c r="Q16" s="335">
        <f t="shared" si="13"/>
        <v>193.92743945000001</v>
      </c>
      <c r="R16" s="335">
        <f t="shared" si="13"/>
        <v>202.96</v>
      </c>
      <c r="S16" s="335">
        <f t="shared" si="13"/>
        <v>170.82999999999998</v>
      </c>
      <c r="T16" s="335">
        <f t="shared" si="13"/>
        <v>176.88</v>
      </c>
      <c r="U16" s="335">
        <f t="shared" ref="U16:AB16" si="14">+U17+U18</f>
        <v>176.32</v>
      </c>
      <c r="V16" s="335">
        <f t="shared" si="14"/>
        <v>248.67</v>
      </c>
      <c r="W16" s="335">
        <f t="shared" si="14"/>
        <v>170.13</v>
      </c>
      <c r="X16" s="335">
        <f t="shared" si="14"/>
        <v>195.1</v>
      </c>
      <c r="Y16" s="335">
        <f t="shared" si="14"/>
        <v>192.55900000000003</v>
      </c>
      <c r="Z16" s="335">
        <f t="shared" si="14"/>
        <v>185.02999999999997</v>
      </c>
      <c r="AA16" s="335">
        <f t="shared" si="14"/>
        <v>202.64011431</v>
      </c>
      <c r="AB16" s="335">
        <f t="shared" si="14"/>
        <v>233.80040959000002</v>
      </c>
      <c r="AC16" s="335">
        <f t="shared" ref="AC16:AD16" si="15">+AC17+AC18</f>
        <v>223.4636079</v>
      </c>
      <c r="AD16" s="335">
        <f t="shared" si="15"/>
        <v>241.75993929999998</v>
      </c>
      <c r="AE16" s="335">
        <f t="shared" ref="AE16:AF16" si="16">+AE17+AE18</f>
        <v>248.86706277000002</v>
      </c>
      <c r="AF16" s="335">
        <f t="shared" si="16"/>
        <v>257.83080286000001</v>
      </c>
      <c r="AG16" s="335">
        <f t="shared" ref="AG16:AM16" si="17">+AG17+AG18</f>
        <v>255.27906547999999</v>
      </c>
      <c r="AH16" s="335">
        <f t="shared" si="17"/>
        <v>267.18160699999999</v>
      </c>
      <c r="AI16" s="335">
        <f t="shared" si="17"/>
        <v>274.90999999999997</v>
      </c>
      <c r="AJ16" s="335">
        <f t="shared" si="17"/>
        <v>259.44</v>
      </c>
      <c r="AK16" s="335">
        <f t="shared" si="17"/>
        <v>264.71118932999997</v>
      </c>
      <c r="AL16" s="335">
        <f t="shared" si="17"/>
        <v>261.84734765000002</v>
      </c>
      <c r="AM16" s="335">
        <f t="shared" si="17"/>
        <v>271.83999999999997</v>
      </c>
    </row>
    <row r="17" spans="1:43" s="300" customFormat="1">
      <c r="A17" s="306" t="s">
        <v>172</v>
      </c>
      <c r="B17" s="307" t="s">
        <v>44</v>
      </c>
      <c r="C17" s="331">
        <f>+C11</f>
        <v>191.20567744999997</v>
      </c>
      <c r="D17" s="331">
        <f t="shared" ref="D17:T17" si="18">+D11</f>
        <v>181.64329082</v>
      </c>
      <c r="E17" s="331">
        <f t="shared" si="18"/>
        <v>175.59545953</v>
      </c>
      <c r="F17" s="331">
        <f t="shared" si="18"/>
        <v>161.47</v>
      </c>
      <c r="G17" s="331">
        <f t="shared" si="18"/>
        <v>132.49</v>
      </c>
      <c r="H17" s="331">
        <f t="shared" si="18"/>
        <v>133.46</v>
      </c>
      <c r="I17" s="331">
        <f t="shared" si="18"/>
        <v>141.44</v>
      </c>
      <c r="J17" s="331">
        <f t="shared" si="18"/>
        <v>156.22999999999999</v>
      </c>
      <c r="K17" s="331">
        <f t="shared" si="18"/>
        <v>160.78</v>
      </c>
      <c r="L17" s="331">
        <f t="shared" si="18"/>
        <v>158.84</v>
      </c>
      <c r="M17" s="331">
        <f t="shared" si="18"/>
        <v>166.91</v>
      </c>
      <c r="N17" s="331">
        <f t="shared" si="18"/>
        <v>160.70240770999999</v>
      </c>
      <c r="O17" s="331">
        <f t="shared" si="18"/>
        <v>162.72</v>
      </c>
      <c r="P17" s="331">
        <f t="shared" si="18"/>
        <v>156.13</v>
      </c>
      <c r="Q17" s="331">
        <f t="shared" si="18"/>
        <v>148.42743945000001</v>
      </c>
      <c r="R17" s="331">
        <f t="shared" si="18"/>
        <v>162.11000000000001</v>
      </c>
      <c r="S17" s="331">
        <f t="shared" si="18"/>
        <v>137.82999999999998</v>
      </c>
      <c r="T17" s="331">
        <f t="shared" si="18"/>
        <v>140.82999999999998</v>
      </c>
      <c r="U17" s="331">
        <f t="shared" ref="U17:AB17" si="19">+U11</f>
        <v>141.32</v>
      </c>
      <c r="V17" s="331">
        <f t="shared" si="19"/>
        <v>145.26999999999998</v>
      </c>
      <c r="W17" s="331">
        <f t="shared" si="19"/>
        <v>138.22999999999999</v>
      </c>
      <c r="X17" s="331">
        <f t="shared" si="19"/>
        <v>138.94999999999999</v>
      </c>
      <c r="Y17" s="331">
        <f t="shared" si="19"/>
        <v>144.75900000000001</v>
      </c>
      <c r="Z17" s="331">
        <f t="shared" si="19"/>
        <v>146.32999999999998</v>
      </c>
      <c r="AA17" s="331">
        <f t="shared" si="19"/>
        <v>153.94011431000001</v>
      </c>
      <c r="AB17" s="331">
        <f t="shared" si="19"/>
        <v>165.00040959</v>
      </c>
      <c r="AC17" s="331">
        <f t="shared" ref="AC17:AD17" si="20">+AC11</f>
        <v>150.66360789999999</v>
      </c>
      <c r="AD17" s="331">
        <f t="shared" si="20"/>
        <v>157.95993929999997</v>
      </c>
      <c r="AE17" s="331">
        <f t="shared" ref="AE17:AF17" si="21">+AE11</f>
        <v>154.06706277000001</v>
      </c>
      <c r="AF17" s="331">
        <f t="shared" si="21"/>
        <v>157.03080285999999</v>
      </c>
      <c r="AG17" s="331">
        <f t="shared" ref="AG17:AM17" si="22">+AG11</f>
        <v>156.47906547999997</v>
      </c>
      <c r="AH17" s="331">
        <f t="shared" si="22"/>
        <v>158.38160699999997</v>
      </c>
      <c r="AI17" s="331">
        <f t="shared" si="22"/>
        <v>159.10999999999999</v>
      </c>
      <c r="AJ17" s="331">
        <f t="shared" si="22"/>
        <v>160.63999999999999</v>
      </c>
      <c r="AK17" s="331">
        <f t="shared" si="22"/>
        <v>162.91118932999998</v>
      </c>
      <c r="AL17" s="331">
        <f t="shared" si="22"/>
        <v>159.04734765000001</v>
      </c>
      <c r="AM17" s="331">
        <f t="shared" si="22"/>
        <v>159.04</v>
      </c>
    </row>
    <row r="18" spans="1:43" s="300" customFormat="1">
      <c r="A18" s="306" t="s">
        <v>47</v>
      </c>
      <c r="B18" s="307" t="s">
        <v>44</v>
      </c>
      <c r="C18" s="331">
        <f>+C19+C20</f>
        <v>32.1</v>
      </c>
      <c r="D18" s="331">
        <f t="shared" ref="D18:T18" si="23">+D19+D20</f>
        <v>18.600000000000001</v>
      </c>
      <c r="E18" s="331">
        <f t="shared" si="23"/>
        <v>16.899999999999999</v>
      </c>
      <c r="F18" s="331">
        <f t="shared" si="23"/>
        <v>3.8</v>
      </c>
      <c r="G18" s="331">
        <f t="shared" si="23"/>
        <v>14</v>
      </c>
      <c r="H18" s="331">
        <f t="shared" si="23"/>
        <v>9.9</v>
      </c>
      <c r="I18" s="331">
        <f t="shared" si="23"/>
        <v>16.48</v>
      </c>
      <c r="J18" s="331">
        <f t="shared" si="23"/>
        <v>36.5</v>
      </c>
      <c r="K18" s="331">
        <f t="shared" si="23"/>
        <v>40.5</v>
      </c>
      <c r="L18" s="331">
        <f t="shared" si="23"/>
        <v>23.5</v>
      </c>
      <c r="M18" s="331">
        <f t="shared" si="23"/>
        <v>17.899999999999999</v>
      </c>
      <c r="N18" s="331">
        <f t="shared" si="23"/>
        <v>42.5</v>
      </c>
      <c r="O18" s="331">
        <f t="shared" si="23"/>
        <v>30.376999999999999</v>
      </c>
      <c r="P18" s="331">
        <f t="shared" si="23"/>
        <v>12.5</v>
      </c>
      <c r="Q18" s="331">
        <f t="shared" si="23"/>
        <v>45.5</v>
      </c>
      <c r="R18" s="331">
        <f t="shared" si="23"/>
        <v>40.85</v>
      </c>
      <c r="S18" s="331">
        <f t="shared" si="23"/>
        <v>33</v>
      </c>
      <c r="T18" s="331">
        <f t="shared" si="23"/>
        <v>36.049999999999997</v>
      </c>
      <c r="U18" s="331">
        <f t="shared" ref="U18:AB18" si="24">+U19+U20</f>
        <v>35</v>
      </c>
      <c r="V18" s="331">
        <f t="shared" si="24"/>
        <v>103.4</v>
      </c>
      <c r="W18" s="331">
        <f t="shared" si="24"/>
        <v>31.9</v>
      </c>
      <c r="X18" s="331">
        <f t="shared" si="24"/>
        <v>56.15</v>
      </c>
      <c r="Y18" s="331">
        <f t="shared" si="24"/>
        <v>47.8</v>
      </c>
      <c r="Z18" s="331">
        <f t="shared" si="24"/>
        <v>38.700000000000003</v>
      </c>
      <c r="AA18" s="331">
        <f t="shared" si="24"/>
        <v>48.7</v>
      </c>
      <c r="AB18" s="331">
        <f t="shared" si="24"/>
        <v>68.8</v>
      </c>
      <c r="AC18" s="331">
        <f t="shared" ref="AC18:AD18" si="25">+AC19+AC20</f>
        <v>72.8</v>
      </c>
      <c r="AD18" s="331">
        <f t="shared" si="25"/>
        <v>83.8</v>
      </c>
      <c r="AE18" s="331">
        <f t="shared" ref="AE18:AF18" si="26">+AE19+AE20</f>
        <v>94.8</v>
      </c>
      <c r="AF18" s="331">
        <f t="shared" si="26"/>
        <v>100.8</v>
      </c>
      <c r="AG18" s="331">
        <f t="shared" ref="AG18:AM18" si="27">+AG19+AG20</f>
        <v>98.8</v>
      </c>
      <c r="AH18" s="331">
        <f t="shared" si="27"/>
        <v>108.8</v>
      </c>
      <c r="AI18" s="331">
        <f t="shared" si="27"/>
        <v>115.8</v>
      </c>
      <c r="AJ18" s="331">
        <f t="shared" si="27"/>
        <v>98.8</v>
      </c>
      <c r="AK18" s="331">
        <f t="shared" si="27"/>
        <v>101.8</v>
      </c>
      <c r="AL18" s="331">
        <f t="shared" si="27"/>
        <v>102.8</v>
      </c>
      <c r="AM18" s="331">
        <f t="shared" si="27"/>
        <v>112.8</v>
      </c>
    </row>
    <row r="19" spans="1:43" s="300" customFormat="1">
      <c r="A19" s="308" t="s">
        <v>173</v>
      </c>
      <c r="B19" s="309" t="s">
        <v>44</v>
      </c>
      <c r="C19" s="336">
        <f t="shared" ref="C19:T19" si="28">C6</f>
        <v>14.1</v>
      </c>
      <c r="D19" s="336">
        <f t="shared" si="28"/>
        <v>0</v>
      </c>
      <c r="E19" s="336">
        <f t="shared" si="28"/>
        <v>3.4</v>
      </c>
      <c r="F19" s="336">
        <f t="shared" si="28"/>
        <v>0</v>
      </c>
      <c r="G19" s="336">
        <f t="shared" si="28"/>
        <v>0</v>
      </c>
      <c r="H19" s="336">
        <f t="shared" si="28"/>
        <v>2</v>
      </c>
      <c r="I19" s="336">
        <f t="shared" si="28"/>
        <v>3.58</v>
      </c>
      <c r="J19" s="336">
        <f t="shared" si="28"/>
        <v>23</v>
      </c>
      <c r="K19" s="336">
        <f t="shared" si="28"/>
        <v>27</v>
      </c>
      <c r="L19" s="336">
        <f t="shared" si="28"/>
        <v>13</v>
      </c>
      <c r="M19" s="336">
        <f t="shared" si="28"/>
        <v>7</v>
      </c>
      <c r="N19" s="336">
        <f t="shared" si="28"/>
        <v>32</v>
      </c>
      <c r="O19" s="336">
        <f t="shared" si="28"/>
        <v>20.677</v>
      </c>
      <c r="P19" s="336">
        <f t="shared" si="28"/>
        <v>6</v>
      </c>
      <c r="Q19" s="336">
        <f t="shared" si="28"/>
        <v>39</v>
      </c>
      <c r="R19" s="336">
        <f t="shared" si="28"/>
        <v>37</v>
      </c>
      <c r="S19" s="336">
        <f t="shared" si="28"/>
        <v>29.5</v>
      </c>
      <c r="T19" s="336">
        <f t="shared" si="28"/>
        <v>35</v>
      </c>
      <c r="U19" s="336">
        <f t="shared" ref="U19:AB19" si="29">U6</f>
        <v>31.5</v>
      </c>
      <c r="V19" s="336">
        <f t="shared" si="29"/>
        <v>100</v>
      </c>
      <c r="W19" s="336">
        <f t="shared" si="29"/>
        <v>26</v>
      </c>
      <c r="X19" s="336">
        <f t="shared" si="29"/>
        <v>51</v>
      </c>
      <c r="Y19" s="336">
        <f t="shared" si="29"/>
        <v>42</v>
      </c>
      <c r="Z19" s="336">
        <f t="shared" si="29"/>
        <v>32</v>
      </c>
      <c r="AA19" s="336">
        <f t="shared" si="29"/>
        <v>41</v>
      </c>
      <c r="AB19" s="336">
        <f t="shared" si="29"/>
        <v>61</v>
      </c>
      <c r="AC19" s="336">
        <f t="shared" ref="AC19:AD19" si="30">AC6</f>
        <v>65</v>
      </c>
      <c r="AD19" s="336">
        <f t="shared" si="30"/>
        <v>76</v>
      </c>
      <c r="AE19" s="336">
        <f t="shared" ref="AE19:AF19" si="31">AE6</f>
        <v>87</v>
      </c>
      <c r="AF19" s="336">
        <f t="shared" si="31"/>
        <v>93</v>
      </c>
      <c r="AG19" s="336">
        <f t="shared" ref="AG19:AM19" si="32">AG6</f>
        <v>91</v>
      </c>
      <c r="AH19" s="336">
        <f t="shared" si="32"/>
        <v>101</v>
      </c>
      <c r="AI19" s="336">
        <f t="shared" si="32"/>
        <v>108</v>
      </c>
      <c r="AJ19" s="336">
        <f t="shared" si="32"/>
        <v>91</v>
      </c>
      <c r="AK19" s="336">
        <f t="shared" si="32"/>
        <v>94</v>
      </c>
      <c r="AL19" s="336">
        <f t="shared" si="32"/>
        <v>95</v>
      </c>
      <c r="AM19" s="336">
        <f t="shared" si="32"/>
        <v>105</v>
      </c>
    </row>
    <row r="20" spans="1:43" s="300" customFormat="1">
      <c r="A20" s="308" t="s">
        <v>174</v>
      </c>
      <c r="B20" s="309" t="s">
        <v>44</v>
      </c>
      <c r="C20" s="331">
        <f>+C24+C25+C26</f>
        <v>18</v>
      </c>
      <c r="D20" s="331">
        <f>+D24+D25+D26</f>
        <v>18.600000000000001</v>
      </c>
      <c r="E20" s="331">
        <f t="shared" ref="E20:T20" si="33">+E24+E25+E26</f>
        <v>13.5</v>
      </c>
      <c r="F20" s="331">
        <f t="shared" si="33"/>
        <v>3.8</v>
      </c>
      <c r="G20" s="331">
        <f t="shared" si="33"/>
        <v>14</v>
      </c>
      <c r="H20" s="331">
        <f t="shared" si="33"/>
        <v>7.9</v>
      </c>
      <c r="I20" s="331">
        <f t="shared" si="33"/>
        <v>12.9</v>
      </c>
      <c r="J20" s="331">
        <f t="shared" si="33"/>
        <v>13.5</v>
      </c>
      <c r="K20" s="331">
        <f t="shared" si="33"/>
        <v>13.5</v>
      </c>
      <c r="L20" s="331">
        <f t="shared" si="33"/>
        <v>10.5</v>
      </c>
      <c r="M20" s="331">
        <f t="shared" si="33"/>
        <v>10.9</v>
      </c>
      <c r="N20" s="331">
        <f t="shared" si="33"/>
        <v>10.5</v>
      </c>
      <c r="O20" s="331">
        <f t="shared" si="33"/>
        <v>9.6999999999999993</v>
      </c>
      <c r="P20" s="331">
        <f t="shared" si="33"/>
        <v>6.5</v>
      </c>
      <c r="Q20" s="331">
        <f t="shared" si="33"/>
        <v>6.5</v>
      </c>
      <c r="R20" s="331">
        <f t="shared" si="33"/>
        <v>3.85</v>
      </c>
      <c r="S20" s="331">
        <f t="shared" si="33"/>
        <v>3.5</v>
      </c>
      <c r="T20" s="331">
        <f t="shared" si="33"/>
        <v>1.05</v>
      </c>
      <c r="U20" s="331">
        <f t="shared" ref="U20:AB20" si="34">+U24+U25+U26</f>
        <v>3.5</v>
      </c>
      <c r="V20" s="331">
        <f t="shared" si="34"/>
        <v>3.4000000000000004</v>
      </c>
      <c r="W20" s="331">
        <f t="shared" si="34"/>
        <v>5.9</v>
      </c>
      <c r="X20" s="331">
        <f t="shared" si="34"/>
        <v>5.15</v>
      </c>
      <c r="Y20" s="331">
        <f t="shared" si="34"/>
        <v>5.8</v>
      </c>
      <c r="Z20" s="331">
        <f t="shared" si="34"/>
        <v>6.7</v>
      </c>
      <c r="AA20" s="331">
        <f t="shared" si="34"/>
        <v>7.7</v>
      </c>
      <c r="AB20" s="331">
        <f t="shared" si="34"/>
        <v>7.8</v>
      </c>
      <c r="AC20" s="331">
        <f t="shared" ref="AC20:AD20" si="35">+AC24+AC25+AC26</f>
        <v>7.8</v>
      </c>
      <c r="AD20" s="331">
        <f t="shared" si="35"/>
        <v>7.8</v>
      </c>
      <c r="AE20" s="331">
        <f t="shared" ref="AE20:AF20" si="36">+AE24+AE25+AE26</f>
        <v>7.8</v>
      </c>
      <c r="AF20" s="331">
        <f t="shared" si="36"/>
        <v>7.8</v>
      </c>
      <c r="AG20" s="331">
        <f t="shared" ref="AG20:AM20" si="37">+AG24+AG25+AG26</f>
        <v>7.8</v>
      </c>
      <c r="AH20" s="331">
        <f t="shared" si="37"/>
        <v>7.8</v>
      </c>
      <c r="AI20" s="331">
        <f t="shared" si="37"/>
        <v>7.8</v>
      </c>
      <c r="AJ20" s="331">
        <f t="shared" si="37"/>
        <v>7.8</v>
      </c>
      <c r="AK20" s="331">
        <f t="shared" si="37"/>
        <v>7.8</v>
      </c>
      <c r="AL20" s="331">
        <f t="shared" si="37"/>
        <v>7.8</v>
      </c>
      <c r="AM20" s="331">
        <f t="shared" si="37"/>
        <v>7.8</v>
      </c>
    </row>
    <row r="21" spans="1:43" s="300" customFormat="1">
      <c r="A21" s="314" t="s">
        <v>6</v>
      </c>
      <c r="B21" s="315" t="s">
        <v>44</v>
      </c>
      <c r="C21" s="337">
        <f>+C22+C23</f>
        <v>209.20567744999997</v>
      </c>
      <c r="D21" s="337">
        <f>+D22+D23</f>
        <v>200.24329082</v>
      </c>
      <c r="E21" s="337">
        <f t="shared" ref="E21:T21" si="38">+E22+E23</f>
        <v>189.09545953</v>
      </c>
      <c r="F21" s="337">
        <f t="shared" si="38"/>
        <v>165.27</v>
      </c>
      <c r="G21" s="337">
        <f t="shared" si="38"/>
        <v>146.49</v>
      </c>
      <c r="H21" s="337">
        <f t="shared" si="38"/>
        <v>141.36000000000001</v>
      </c>
      <c r="I21" s="337">
        <f t="shared" si="38"/>
        <v>154.34</v>
      </c>
      <c r="J21" s="337">
        <f t="shared" si="38"/>
        <v>169.73</v>
      </c>
      <c r="K21" s="337">
        <f t="shared" si="38"/>
        <v>174.28</v>
      </c>
      <c r="L21" s="337">
        <f t="shared" si="38"/>
        <v>169.34</v>
      </c>
      <c r="M21" s="337">
        <f t="shared" si="38"/>
        <v>177.81</v>
      </c>
      <c r="N21" s="337">
        <f t="shared" si="38"/>
        <v>171.20240770999999</v>
      </c>
      <c r="O21" s="337">
        <f t="shared" si="38"/>
        <v>172.42</v>
      </c>
      <c r="P21" s="337">
        <f t="shared" si="38"/>
        <v>162.63</v>
      </c>
      <c r="Q21" s="337">
        <f t="shared" si="38"/>
        <v>154.92743945000001</v>
      </c>
      <c r="R21" s="337">
        <f t="shared" si="38"/>
        <v>165.96</v>
      </c>
      <c r="S21" s="337">
        <f t="shared" si="38"/>
        <v>141.32999999999998</v>
      </c>
      <c r="T21" s="337">
        <f t="shared" si="38"/>
        <v>141.88</v>
      </c>
      <c r="U21" s="337">
        <f t="shared" ref="U21:AB21" si="39">+U22+U23</f>
        <v>144.82</v>
      </c>
      <c r="V21" s="337">
        <f t="shared" si="39"/>
        <v>148.66999999999999</v>
      </c>
      <c r="W21" s="337">
        <f t="shared" si="39"/>
        <v>144.13</v>
      </c>
      <c r="X21" s="337">
        <f t="shared" si="39"/>
        <v>144.1</v>
      </c>
      <c r="Y21" s="337">
        <f t="shared" si="39"/>
        <v>150.55900000000003</v>
      </c>
      <c r="Z21" s="337">
        <f t="shared" si="39"/>
        <v>153.02999999999997</v>
      </c>
      <c r="AA21" s="337">
        <f t="shared" si="39"/>
        <v>161.64011431</v>
      </c>
      <c r="AB21" s="337">
        <f t="shared" si="39"/>
        <v>172.80040959000002</v>
      </c>
      <c r="AC21" s="337">
        <f t="shared" ref="AC21:AD21" si="40">+AC22+AC23</f>
        <v>158.4636079</v>
      </c>
      <c r="AD21" s="337">
        <f t="shared" si="40"/>
        <v>165.75993929999998</v>
      </c>
      <c r="AE21" s="337">
        <f t="shared" ref="AE21:AF21" si="41">+AE22+AE23</f>
        <v>161.86706277000002</v>
      </c>
      <c r="AF21" s="337">
        <f t="shared" si="41"/>
        <v>164.83080286000001</v>
      </c>
      <c r="AG21" s="337">
        <f t="shared" ref="AG21:AM21" si="42">+AG22+AG23</f>
        <v>164.27906547999999</v>
      </c>
      <c r="AH21" s="337">
        <f t="shared" si="42"/>
        <v>166.18160699999999</v>
      </c>
      <c r="AI21" s="337">
        <f t="shared" si="42"/>
        <v>166.91</v>
      </c>
      <c r="AJ21" s="337">
        <f t="shared" si="42"/>
        <v>168.44</v>
      </c>
      <c r="AK21" s="337">
        <f t="shared" si="42"/>
        <v>170.71118933</v>
      </c>
      <c r="AL21" s="337">
        <f t="shared" si="42"/>
        <v>166.84734765000002</v>
      </c>
      <c r="AM21" s="337">
        <f t="shared" si="42"/>
        <v>166.84</v>
      </c>
    </row>
    <row r="22" spans="1:43" s="300" customFormat="1">
      <c r="A22" s="306" t="s">
        <v>175</v>
      </c>
      <c r="B22" s="307" t="s">
        <v>44</v>
      </c>
      <c r="C22" s="331">
        <f>C11</f>
        <v>191.20567744999997</v>
      </c>
      <c r="D22" s="331">
        <f t="shared" ref="D22:T22" si="43">D11</f>
        <v>181.64329082</v>
      </c>
      <c r="E22" s="331">
        <f t="shared" si="43"/>
        <v>175.59545953</v>
      </c>
      <c r="F22" s="331">
        <f t="shared" si="43"/>
        <v>161.47</v>
      </c>
      <c r="G22" s="331">
        <f t="shared" si="43"/>
        <v>132.49</v>
      </c>
      <c r="H22" s="331">
        <f t="shared" si="43"/>
        <v>133.46</v>
      </c>
      <c r="I22" s="331">
        <f t="shared" si="43"/>
        <v>141.44</v>
      </c>
      <c r="J22" s="331">
        <f t="shared" si="43"/>
        <v>156.22999999999999</v>
      </c>
      <c r="K22" s="331">
        <f t="shared" si="43"/>
        <v>160.78</v>
      </c>
      <c r="L22" s="331">
        <f t="shared" si="43"/>
        <v>158.84</v>
      </c>
      <c r="M22" s="331">
        <f t="shared" si="43"/>
        <v>166.91</v>
      </c>
      <c r="N22" s="331">
        <f t="shared" si="43"/>
        <v>160.70240770999999</v>
      </c>
      <c r="O22" s="331">
        <f t="shared" si="43"/>
        <v>162.72</v>
      </c>
      <c r="P22" s="331">
        <f t="shared" si="43"/>
        <v>156.13</v>
      </c>
      <c r="Q22" s="331">
        <f t="shared" si="43"/>
        <v>148.42743945000001</v>
      </c>
      <c r="R22" s="331">
        <f t="shared" si="43"/>
        <v>162.11000000000001</v>
      </c>
      <c r="S22" s="331">
        <f t="shared" si="43"/>
        <v>137.82999999999998</v>
      </c>
      <c r="T22" s="331">
        <f t="shared" si="43"/>
        <v>140.82999999999998</v>
      </c>
      <c r="U22" s="331">
        <f t="shared" ref="U22:AB22" si="44">U11</f>
        <v>141.32</v>
      </c>
      <c r="V22" s="331">
        <f t="shared" si="44"/>
        <v>145.26999999999998</v>
      </c>
      <c r="W22" s="331">
        <f t="shared" si="44"/>
        <v>138.22999999999999</v>
      </c>
      <c r="X22" s="331">
        <f t="shared" si="44"/>
        <v>138.94999999999999</v>
      </c>
      <c r="Y22" s="331">
        <f t="shared" si="44"/>
        <v>144.75900000000001</v>
      </c>
      <c r="Z22" s="331">
        <f t="shared" si="44"/>
        <v>146.32999999999998</v>
      </c>
      <c r="AA22" s="331">
        <f t="shared" si="44"/>
        <v>153.94011431000001</v>
      </c>
      <c r="AB22" s="331">
        <f t="shared" si="44"/>
        <v>165.00040959</v>
      </c>
      <c r="AC22" s="331">
        <f t="shared" ref="AC22:AD22" si="45">AC11</f>
        <v>150.66360789999999</v>
      </c>
      <c r="AD22" s="331">
        <f t="shared" si="45"/>
        <v>157.95993929999997</v>
      </c>
      <c r="AE22" s="331">
        <f t="shared" ref="AE22:AF22" si="46">AE11</f>
        <v>154.06706277000001</v>
      </c>
      <c r="AF22" s="331">
        <f t="shared" si="46"/>
        <v>157.03080285999999</v>
      </c>
      <c r="AG22" s="331">
        <f t="shared" ref="AG22:AM22" si="47">AG11</f>
        <v>156.47906547999997</v>
      </c>
      <c r="AH22" s="331">
        <f t="shared" si="47"/>
        <v>158.38160699999997</v>
      </c>
      <c r="AI22" s="331">
        <f t="shared" si="47"/>
        <v>159.10999999999999</v>
      </c>
      <c r="AJ22" s="331">
        <f t="shared" si="47"/>
        <v>160.63999999999999</v>
      </c>
      <c r="AK22" s="331">
        <f t="shared" si="47"/>
        <v>162.91118932999998</v>
      </c>
      <c r="AL22" s="331">
        <f t="shared" si="47"/>
        <v>159.04734765000001</v>
      </c>
      <c r="AM22" s="331">
        <f t="shared" si="47"/>
        <v>159.04</v>
      </c>
    </row>
    <row r="23" spans="1:43" s="300" customFormat="1">
      <c r="A23" s="306" t="s">
        <v>176</v>
      </c>
      <c r="B23" s="307" t="s">
        <v>44</v>
      </c>
      <c r="C23" s="331">
        <f>+C24+C25+C26</f>
        <v>18</v>
      </c>
      <c r="D23" s="331">
        <f>+D24+D25+D26</f>
        <v>18.600000000000001</v>
      </c>
      <c r="E23" s="331">
        <f t="shared" ref="E23:T23" si="48">+E24+E25+E26</f>
        <v>13.5</v>
      </c>
      <c r="F23" s="331">
        <f t="shared" si="48"/>
        <v>3.8</v>
      </c>
      <c r="G23" s="331">
        <f t="shared" si="48"/>
        <v>14</v>
      </c>
      <c r="H23" s="331">
        <f t="shared" si="48"/>
        <v>7.9</v>
      </c>
      <c r="I23" s="331">
        <f t="shared" si="48"/>
        <v>12.9</v>
      </c>
      <c r="J23" s="331">
        <f t="shared" si="48"/>
        <v>13.5</v>
      </c>
      <c r="K23" s="331">
        <f t="shared" si="48"/>
        <v>13.5</v>
      </c>
      <c r="L23" s="331">
        <f t="shared" si="48"/>
        <v>10.5</v>
      </c>
      <c r="M23" s="331">
        <f t="shared" si="48"/>
        <v>10.9</v>
      </c>
      <c r="N23" s="331">
        <f t="shared" si="48"/>
        <v>10.5</v>
      </c>
      <c r="O23" s="331">
        <f t="shared" si="48"/>
        <v>9.6999999999999993</v>
      </c>
      <c r="P23" s="331">
        <f t="shared" si="48"/>
        <v>6.5</v>
      </c>
      <c r="Q23" s="331">
        <f t="shared" si="48"/>
        <v>6.5</v>
      </c>
      <c r="R23" s="331">
        <f t="shared" si="48"/>
        <v>3.85</v>
      </c>
      <c r="S23" s="331">
        <f t="shared" si="48"/>
        <v>3.5</v>
      </c>
      <c r="T23" s="331">
        <f t="shared" si="48"/>
        <v>1.05</v>
      </c>
      <c r="U23" s="331">
        <f t="shared" ref="U23:AB23" si="49">+U24+U25+U26</f>
        <v>3.5</v>
      </c>
      <c r="V23" s="331">
        <f t="shared" si="49"/>
        <v>3.4000000000000004</v>
      </c>
      <c r="W23" s="331">
        <f t="shared" si="49"/>
        <v>5.9</v>
      </c>
      <c r="X23" s="331">
        <f t="shared" si="49"/>
        <v>5.15</v>
      </c>
      <c r="Y23" s="331">
        <f t="shared" si="49"/>
        <v>5.8</v>
      </c>
      <c r="Z23" s="331">
        <f>+Z24+Z25+Z26</f>
        <v>6.7</v>
      </c>
      <c r="AA23" s="331">
        <f t="shared" si="49"/>
        <v>7.7</v>
      </c>
      <c r="AB23" s="331">
        <f t="shared" si="49"/>
        <v>7.8</v>
      </c>
      <c r="AC23" s="331">
        <f t="shared" ref="AC23:AD23" si="50">+AC24+AC25+AC26</f>
        <v>7.8</v>
      </c>
      <c r="AD23" s="331">
        <f t="shared" si="50"/>
        <v>7.8</v>
      </c>
      <c r="AE23" s="331">
        <f t="shared" ref="AE23:AF23" si="51">+AE24+AE25+AE26</f>
        <v>7.8</v>
      </c>
      <c r="AF23" s="331">
        <f t="shared" si="51"/>
        <v>7.8</v>
      </c>
      <c r="AG23" s="331">
        <f t="shared" ref="AG23:AM23" si="52">+AG24+AG25+AG26</f>
        <v>7.8</v>
      </c>
      <c r="AH23" s="331">
        <f t="shared" si="52"/>
        <v>7.8</v>
      </c>
      <c r="AI23" s="331">
        <f t="shared" si="52"/>
        <v>7.8</v>
      </c>
      <c r="AJ23" s="331">
        <f t="shared" si="52"/>
        <v>7.8</v>
      </c>
      <c r="AK23" s="331">
        <f t="shared" si="52"/>
        <v>7.8</v>
      </c>
      <c r="AL23" s="331">
        <f t="shared" si="52"/>
        <v>7.8</v>
      </c>
      <c r="AM23" s="331">
        <f t="shared" si="52"/>
        <v>7.8</v>
      </c>
    </row>
    <row r="24" spans="1:43" s="300" customFormat="1">
      <c r="A24" s="308" t="s">
        <v>381</v>
      </c>
      <c r="B24" s="309" t="s">
        <v>44</v>
      </c>
      <c r="C24" s="330">
        <v>15</v>
      </c>
      <c r="D24" s="330">
        <v>15</v>
      </c>
      <c r="E24" s="330">
        <v>11</v>
      </c>
      <c r="F24" s="349">
        <v>1.8</v>
      </c>
      <c r="G24" s="330">
        <v>11</v>
      </c>
      <c r="H24" s="330">
        <v>6</v>
      </c>
      <c r="I24" s="330">
        <v>11</v>
      </c>
      <c r="J24" s="330">
        <v>11</v>
      </c>
      <c r="K24" s="330">
        <v>11</v>
      </c>
      <c r="L24" s="349">
        <v>9.5</v>
      </c>
      <c r="M24" s="349">
        <v>9.5</v>
      </c>
      <c r="N24" s="349">
        <v>9.5</v>
      </c>
      <c r="O24" s="349">
        <v>8.5</v>
      </c>
      <c r="P24" s="349">
        <v>5</v>
      </c>
      <c r="Q24" s="349">
        <v>5</v>
      </c>
      <c r="R24" s="349">
        <v>3.35</v>
      </c>
      <c r="S24" s="349">
        <v>3</v>
      </c>
      <c r="T24" s="349">
        <v>0.55000000000000004</v>
      </c>
      <c r="U24" s="349">
        <v>2</v>
      </c>
      <c r="V24" s="670">
        <v>2.7</v>
      </c>
      <c r="W24" s="349">
        <f>1.5+3.5-0.5</f>
        <v>4.5</v>
      </c>
      <c r="X24" s="349">
        <f>5-0.5-1</f>
        <v>3.5</v>
      </c>
      <c r="Y24" s="349">
        <f>4-0.7+0.7</f>
        <v>4</v>
      </c>
      <c r="Z24" s="349">
        <v>5</v>
      </c>
      <c r="AA24" s="349">
        <v>6</v>
      </c>
      <c r="AB24" s="349">
        <v>6</v>
      </c>
      <c r="AC24" s="349">
        <v>6</v>
      </c>
      <c r="AD24" s="349">
        <v>6</v>
      </c>
      <c r="AE24" s="349">
        <v>6</v>
      </c>
      <c r="AF24" s="349">
        <v>6</v>
      </c>
      <c r="AG24" s="349">
        <v>6</v>
      </c>
      <c r="AH24" s="349">
        <v>6</v>
      </c>
      <c r="AI24" s="349">
        <v>6</v>
      </c>
      <c r="AJ24" s="349">
        <v>6</v>
      </c>
      <c r="AK24" s="349">
        <v>6</v>
      </c>
      <c r="AL24" s="349">
        <v>6</v>
      </c>
      <c r="AM24" s="349">
        <v>6</v>
      </c>
    </row>
    <row r="25" spans="1:43" s="300" customFormat="1" hidden="1">
      <c r="A25" s="308" t="s">
        <v>382</v>
      </c>
      <c r="B25" s="309" t="s">
        <v>44</v>
      </c>
      <c r="C25" s="330"/>
      <c r="D25" s="330">
        <v>0.6</v>
      </c>
      <c r="E25" s="330"/>
      <c r="F25" s="330"/>
      <c r="G25" s="330"/>
      <c r="H25" s="330"/>
      <c r="I25" s="330"/>
      <c r="J25" s="330"/>
      <c r="K25" s="330"/>
      <c r="L25" s="330"/>
      <c r="M25" s="330"/>
      <c r="N25" s="330"/>
      <c r="O25" s="330"/>
      <c r="P25" s="330"/>
      <c r="Q25" s="330"/>
      <c r="R25" s="330"/>
      <c r="S25" s="330"/>
      <c r="T25" s="330"/>
      <c r="U25" s="330"/>
      <c r="V25" s="330"/>
      <c r="W25" s="330"/>
      <c r="X25" s="330"/>
      <c r="Y25" s="330"/>
      <c r="Z25" s="330"/>
      <c r="AA25" s="330"/>
      <c r="AB25" s="330"/>
      <c r="AC25" s="330"/>
      <c r="AD25" s="330"/>
      <c r="AE25" s="330"/>
      <c r="AF25" s="330"/>
      <c r="AG25" s="330"/>
      <c r="AH25" s="330"/>
      <c r="AI25" s="330"/>
      <c r="AJ25" s="330"/>
      <c r="AK25" s="330"/>
      <c r="AL25" s="330"/>
      <c r="AM25" s="330"/>
      <c r="AP25" s="938" t="s">
        <v>293</v>
      </c>
      <c r="AQ25" s="939" t="s">
        <v>294</v>
      </c>
    </row>
    <row r="26" spans="1:43" s="300" customFormat="1">
      <c r="A26" s="308" t="s">
        <v>383</v>
      </c>
      <c r="B26" s="309" t="s">
        <v>44</v>
      </c>
      <c r="C26" s="330">
        <v>3</v>
      </c>
      <c r="D26" s="330">
        <v>3</v>
      </c>
      <c r="E26" s="330">
        <v>2.5</v>
      </c>
      <c r="F26" s="330">
        <v>2</v>
      </c>
      <c r="G26" s="330">
        <v>3</v>
      </c>
      <c r="H26" s="330">
        <v>1.9</v>
      </c>
      <c r="I26" s="349">
        <v>1.9</v>
      </c>
      <c r="J26" s="349">
        <v>2.5</v>
      </c>
      <c r="K26" s="349">
        <v>2.5</v>
      </c>
      <c r="L26" s="349">
        <v>1</v>
      </c>
      <c r="M26" s="349">
        <v>1.4</v>
      </c>
      <c r="N26" s="349">
        <v>1</v>
      </c>
      <c r="O26" s="349">
        <v>1.2</v>
      </c>
      <c r="P26" s="349">
        <v>1.5</v>
      </c>
      <c r="Q26" s="349">
        <v>1.5</v>
      </c>
      <c r="R26" s="349">
        <v>0.5</v>
      </c>
      <c r="S26" s="349">
        <v>0.5</v>
      </c>
      <c r="T26" s="349">
        <v>0.5</v>
      </c>
      <c r="U26" s="349">
        <f>1+0.5</f>
        <v>1.5</v>
      </c>
      <c r="V26" s="349">
        <v>0.7</v>
      </c>
      <c r="W26" s="670">
        <f>1.05+0.35</f>
        <v>1.4</v>
      </c>
      <c r="X26" s="670">
        <f>1.05+0.6</f>
        <v>1.65</v>
      </c>
      <c r="Y26" s="670">
        <f>0.88+0.12+0.8</f>
        <v>1.8</v>
      </c>
      <c r="Z26" s="670">
        <v>1.7</v>
      </c>
      <c r="AA26" s="670">
        <v>1.7</v>
      </c>
      <c r="AB26" s="670">
        <v>1.8</v>
      </c>
      <c r="AC26" s="670">
        <v>1.8</v>
      </c>
      <c r="AD26" s="670">
        <v>1.8</v>
      </c>
      <c r="AE26" s="670">
        <v>1.8</v>
      </c>
      <c r="AF26" s="670">
        <v>1.8</v>
      </c>
      <c r="AG26" s="670">
        <v>1.8</v>
      </c>
      <c r="AH26" s="670">
        <v>1.8</v>
      </c>
      <c r="AI26" s="670">
        <v>1.8</v>
      </c>
      <c r="AJ26" s="670">
        <v>1.8</v>
      </c>
      <c r="AK26" s="670">
        <v>1.8</v>
      </c>
      <c r="AL26" s="670">
        <v>1.8</v>
      </c>
      <c r="AM26" s="670">
        <v>1.8</v>
      </c>
      <c r="AP26" s="938"/>
      <c r="AQ26" s="939"/>
    </row>
    <row r="27" spans="1:43" s="300" customFormat="1">
      <c r="A27" s="310" t="s">
        <v>177</v>
      </c>
      <c r="B27" s="311" t="s">
        <v>44</v>
      </c>
      <c r="C27" s="338">
        <v>4.3630100000000001</v>
      </c>
      <c r="D27" s="338">
        <v>4.8184300000000002</v>
      </c>
      <c r="E27" s="338">
        <v>4.7113100000000001</v>
      </c>
      <c r="F27" s="338">
        <v>4.8537400000000002</v>
      </c>
      <c r="G27" s="338">
        <v>4.01729</v>
      </c>
      <c r="H27" s="338">
        <v>4.1034899999999999</v>
      </c>
      <c r="I27" s="338">
        <v>3.9801899999999999</v>
      </c>
      <c r="J27" s="338">
        <v>3.1403699999999999</v>
      </c>
      <c r="K27" s="338">
        <v>4.1078799999999998</v>
      </c>
      <c r="L27" s="338">
        <v>4.1213299999999995</v>
      </c>
      <c r="M27" s="338">
        <v>4.4393100000000008</v>
      </c>
      <c r="N27" s="338">
        <v>4.7826300000000002</v>
      </c>
      <c r="O27" s="338">
        <v>4.9286300000000001</v>
      </c>
      <c r="P27" s="338">
        <v>4.9282299999999992</v>
      </c>
      <c r="Q27" s="338">
        <v>5.0398900000000006</v>
      </c>
      <c r="R27" s="338">
        <v>5.0159700000000003</v>
      </c>
      <c r="S27" s="338">
        <v>4.9056199999999999</v>
      </c>
      <c r="T27" s="338">
        <v>4.2280699999999998</v>
      </c>
      <c r="U27" s="338">
        <v>3.8584399999999999</v>
      </c>
      <c r="V27" s="338">
        <v>4.84267</v>
      </c>
      <c r="W27" s="338">
        <v>2.2034699999999998</v>
      </c>
      <c r="X27" s="338">
        <v>1.84476</v>
      </c>
      <c r="Y27" s="338">
        <v>2.1745799999999997</v>
      </c>
      <c r="Z27" s="684">
        <v>2.8392199999999996</v>
      </c>
      <c r="AA27" s="684">
        <f t="shared" ref="AA27:AF30" si="53">Z27</f>
        <v>2.8392199999999996</v>
      </c>
      <c r="AB27" s="684">
        <f t="shared" si="53"/>
        <v>2.8392199999999996</v>
      </c>
      <c r="AC27" s="684">
        <f t="shared" si="53"/>
        <v>2.8392199999999996</v>
      </c>
      <c r="AD27" s="684">
        <f t="shared" si="53"/>
        <v>2.8392199999999996</v>
      </c>
      <c r="AE27" s="684">
        <f t="shared" si="53"/>
        <v>2.8392199999999996</v>
      </c>
      <c r="AF27" s="684">
        <f t="shared" si="53"/>
        <v>2.8392199999999996</v>
      </c>
      <c r="AG27" s="684">
        <f t="shared" ref="AG27:AM30" si="54">AF27</f>
        <v>2.8392199999999996</v>
      </c>
      <c r="AH27" s="684">
        <f t="shared" si="54"/>
        <v>2.8392199999999996</v>
      </c>
      <c r="AI27" s="684">
        <f t="shared" si="54"/>
        <v>2.8392199999999996</v>
      </c>
      <c r="AJ27" s="684">
        <f t="shared" si="54"/>
        <v>2.8392199999999996</v>
      </c>
      <c r="AK27" s="684">
        <f t="shared" si="54"/>
        <v>2.8392199999999996</v>
      </c>
      <c r="AL27" s="684">
        <f t="shared" si="54"/>
        <v>2.8392199999999996</v>
      </c>
      <c r="AM27" s="684">
        <f t="shared" si="54"/>
        <v>2.8392199999999996</v>
      </c>
      <c r="AP27" s="341">
        <v>2839.22</v>
      </c>
      <c r="AQ27" s="382">
        <f t="shared" ref="AQ27:AQ32" si="55">AP27/1000</f>
        <v>2.8392199999999996</v>
      </c>
    </row>
    <row r="28" spans="1:43" s="300" customFormat="1">
      <c r="A28" s="310" t="s">
        <v>180</v>
      </c>
      <c r="B28" s="311" t="s">
        <v>44</v>
      </c>
      <c r="C28" s="338">
        <v>12.485040000000001</v>
      </c>
      <c r="D28" s="338">
        <v>9.6427199999999988</v>
      </c>
      <c r="E28" s="338">
        <v>5.1455200000000003</v>
      </c>
      <c r="F28" s="338">
        <v>8.9106900000000007</v>
      </c>
      <c r="G28" s="338">
        <v>10.6479</v>
      </c>
      <c r="H28" s="338">
        <v>11.268190000000001</v>
      </c>
      <c r="I28" s="338">
        <v>9.0518400000000003</v>
      </c>
      <c r="J28" s="338">
        <v>11.33426</v>
      </c>
      <c r="K28" s="338">
        <v>7.3439199999999998</v>
      </c>
      <c r="L28" s="338">
        <v>7.4108900000000002</v>
      </c>
      <c r="M28" s="338">
        <v>6.3707500000000001</v>
      </c>
      <c r="N28" s="338">
        <v>7.9856099999999994</v>
      </c>
      <c r="O28" s="338">
        <v>8.8895</v>
      </c>
      <c r="P28" s="338">
        <v>9.9887499999999996</v>
      </c>
      <c r="Q28" s="338">
        <v>7.2515400000000003</v>
      </c>
      <c r="R28" s="338">
        <v>9.6531599999999997</v>
      </c>
      <c r="S28" s="338">
        <v>9.087159999999999</v>
      </c>
      <c r="T28" s="338">
        <v>10.34149</v>
      </c>
      <c r="U28" s="338">
        <v>10.659940000000001</v>
      </c>
      <c r="V28" s="338">
        <v>7.6978299999999997</v>
      </c>
      <c r="W28" s="338">
        <v>9.9850400000000015</v>
      </c>
      <c r="X28" s="338">
        <v>8.6645099999999999</v>
      </c>
      <c r="Y28" s="338">
        <v>6.8640100000000004</v>
      </c>
      <c r="Z28" s="684">
        <v>10.40516</v>
      </c>
      <c r="AA28" s="684">
        <f t="shared" si="53"/>
        <v>10.40516</v>
      </c>
      <c r="AB28" s="684">
        <f t="shared" si="53"/>
        <v>10.40516</v>
      </c>
      <c r="AC28" s="684">
        <f t="shared" si="53"/>
        <v>10.40516</v>
      </c>
      <c r="AD28" s="684">
        <f t="shared" si="53"/>
        <v>10.40516</v>
      </c>
      <c r="AE28" s="684">
        <f t="shared" si="53"/>
        <v>10.40516</v>
      </c>
      <c r="AF28" s="684">
        <f t="shared" si="53"/>
        <v>10.40516</v>
      </c>
      <c r="AG28" s="684">
        <f t="shared" si="54"/>
        <v>10.40516</v>
      </c>
      <c r="AH28" s="684">
        <f t="shared" si="54"/>
        <v>10.40516</v>
      </c>
      <c r="AI28" s="684">
        <f t="shared" si="54"/>
        <v>10.40516</v>
      </c>
      <c r="AJ28" s="684">
        <f t="shared" si="54"/>
        <v>10.40516</v>
      </c>
      <c r="AK28" s="684">
        <f t="shared" si="54"/>
        <v>10.40516</v>
      </c>
      <c r="AL28" s="684">
        <f t="shared" si="54"/>
        <v>10.40516</v>
      </c>
      <c r="AM28" s="684">
        <f t="shared" si="54"/>
        <v>10.40516</v>
      </c>
      <c r="AP28" s="341">
        <v>10405.16</v>
      </c>
      <c r="AQ28" s="382">
        <f t="shared" si="55"/>
        <v>10.40516</v>
      </c>
    </row>
    <row r="29" spans="1:43" s="300" customFormat="1">
      <c r="A29" s="310" t="s">
        <v>181</v>
      </c>
      <c r="B29" s="311" t="s">
        <v>44</v>
      </c>
      <c r="C29" s="338">
        <v>1.74675</v>
      </c>
      <c r="D29" s="338">
        <v>1.7093</v>
      </c>
      <c r="E29" s="338">
        <v>1.74495</v>
      </c>
      <c r="F29" s="338">
        <v>1.73674</v>
      </c>
      <c r="G29" s="338">
        <v>1.7336099999999999</v>
      </c>
      <c r="H29" s="338">
        <v>1.7284000000000002</v>
      </c>
      <c r="I29" s="338">
        <v>1.6542000000000001</v>
      </c>
      <c r="J29" s="338">
        <v>1.5305799999999998</v>
      </c>
      <c r="K29" s="338">
        <v>1.2746300000000002</v>
      </c>
      <c r="L29" s="338">
        <v>8.58765</v>
      </c>
      <c r="M29" s="338">
        <v>8.5851000000000006</v>
      </c>
      <c r="N29" s="338">
        <v>6.1211599999999997</v>
      </c>
      <c r="O29" s="338">
        <v>6.1287600000000007</v>
      </c>
      <c r="P29" s="338">
        <v>6.1342299999999996</v>
      </c>
      <c r="Q29" s="338">
        <v>6.0019999999999998</v>
      </c>
      <c r="R29" s="338">
        <v>8.2162900000000008</v>
      </c>
      <c r="S29" s="338">
        <v>3.9404299999999997</v>
      </c>
      <c r="T29" s="338">
        <v>3.4487199999999998</v>
      </c>
      <c r="U29" s="338">
        <v>3.4514</v>
      </c>
      <c r="V29" s="338">
        <v>0.92852000000000001</v>
      </c>
      <c r="W29" s="338">
        <v>3.8965100000000001</v>
      </c>
      <c r="X29" s="338">
        <v>1.51406</v>
      </c>
      <c r="Y29" s="338">
        <v>1.5146600000000001</v>
      </c>
      <c r="Z29" s="684">
        <v>1.5125999999999999</v>
      </c>
      <c r="AA29" s="684">
        <f t="shared" si="53"/>
        <v>1.5125999999999999</v>
      </c>
      <c r="AB29" s="684">
        <f t="shared" si="53"/>
        <v>1.5125999999999999</v>
      </c>
      <c r="AC29" s="684">
        <f t="shared" si="53"/>
        <v>1.5125999999999999</v>
      </c>
      <c r="AD29" s="684">
        <f t="shared" si="53"/>
        <v>1.5125999999999999</v>
      </c>
      <c r="AE29" s="684">
        <f t="shared" si="53"/>
        <v>1.5125999999999999</v>
      </c>
      <c r="AF29" s="684">
        <f t="shared" si="53"/>
        <v>1.5125999999999999</v>
      </c>
      <c r="AG29" s="684">
        <f t="shared" si="54"/>
        <v>1.5125999999999999</v>
      </c>
      <c r="AH29" s="684">
        <f t="shared" si="54"/>
        <v>1.5125999999999999</v>
      </c>
      <c r="AI29" s="684">
        <f t="shared" si="54"/>
        <v>1.5125999999999999</v>
      </c>
      <c r="AJ29" s="684">
        <f t="shared" si="54"/>
        <v>1.5125999999999999</v>
      </c>
      <c r="AK29" s="684">
        <f t="shared" si="54"/>
        <v>1.5125999999999999</v>
      </c>
      <c r="AL29" s="684">
        <f t="shared" si="54"/>
        <v>1.5125999999999999</v>
      </c>
      <c r="AM29" s="684">
        <f t="shared" si="54"/>
        <v>1.5125999999999999</v>
      </c>
      <c r="AP29" s="341">
        <v>1512.6</v>
      </c>
      <c r="AQ29" s="382">
        <f t="shared" si="55"/>
        <v>1.5125999999999999</v>
      </c>
    </row>
    <row r="30" spans="1:43" s="300" customFormat="1">
      <c r="A30" s="310" t="s">
        <v>182</v>
      </c>
      <c r="B30" s="311" t="s">
        <v>44</v>
      </c>
      <c r="C30" s="338">
        <v>2.8454800000000002</v>
      </c>
      <c r="D30" s="338">
        <v>2.8450900000000003</v>
      </c>
      <c r="E30" s="338">
        <v>0.10045999999999999</v>
      </c>
      <c r="F30" s="338">
        <v>9.6069999999999989E-2</v>
      </c>
      <c r="G30" s="338">
        <v>0</v>
      </c>
      <c r="H30" s="338">
        <v>0</v>
      </c>
      <c r="I30" s="338">
        <v>4.0060000000000005E-2</v>
      </c>
      <c r="J30" s="338">
        <v>0.12368000000000001</v>
      </c>
      <c r="K30" s="338">
        <v>0.87017999999999995</v>
      </c>
      <c r="L30" s="338">
        <v>5.4668900000000002</v>
      </c>
      <c r="M30" s="338">
        <v>5.4723000000000006</v>
      </c>
      <c r="N30" s="338">
        <v>5.4638800000000005</v>
      </c>
      <c r="O30" s="338">
        <v>5.4652799999999999</v>
      </c>
      <c r="P30" s="338">
        <v>5.4606000000000003</v>
      </c>
      <c r="Q30" s="338">
        <v>5.4509300000000005</v>
      </c>
      <c r="R30" s="338">
        <v>6.7955200000000007</v>
      </c>
      <c r="S30" s="338">
        <v>6.7940100000000001</v>
      </c>
      <c r="T30" s="338">
        <v>6.7880200000000004</v>
      </c>
      <c r="U30" s="338">
        <v>6.7672700000000008</v>
      </c>
      <c r="V30" s="338">
        <v>2.4862800000000003</v>
      </c>
      <c r="W30" s="338">
        <v>8.710049999999999</v>
      </c>
      <c r="X30" s="338">
        <v>5.8685299999999998</v>
      </c>
      <c r="Y30" s="338">
        <v>0.91939000000000004</v>
      </c>
      <c r="Z30" s="684">
        <v>0.91237999999999997</v>
      </c>
      <c r="AA30" s="684">
        <f t="shared" si="53"/>
        <v>0.91237999999999997</v>
      </c>
      <c r="AB30" s="684">
        <f t="shared" si="53"/>
        <v>0.91237999999999997</v>
      </c>
      <c r="AC30" s="684">
        <f t="shared" si="53"/>
        <v>0.91237999999999997</v>
      </c>
      <c r="AD30" s="684">
        <f t="shared" si="53"/>
        <v>0.91237999999999997</v>
      </c>
      <c r="AE30" s="684">
        <f t="shared" si="53"/>
        <v>0.91237999999999997</v>
      </c>
      <c r="AF30" s="684">
        <f t="shared" si="53"/>
        <v>0.91237999999999997</v>
      </c>
      <c r="AG30" s="684">
        <f t="shared" si="54"/>
        <v>0.91237999999999997</v>
      </c>
      <c r="AH30" s="684">
        <f t="shared" si="54"/>
        <v>0.91237999999999997</v>
      </c>
      <c r="AI30" s="684">
        <f t="shared" si="54"/>
        <v>0.91237999999999997</v>
      </c>
      <c r="AJ30" s="684">
        <f t="shared" si="54"/>
        <v>0.91237999999999997</v>
      </c>
      <c r="AK30" s="684">
        <f t="shared" si="54"/>
        <v>0.91237999999999997</v>
      </c>
      <c r="AL30" s="684">
        <f t="shared" si="54"/>
        <v>0.91237999999999997</v>
      </c>
      <c r="AM30" s="684">
        <f t="shared" si="54"/>
        <v>0.91237999999999997</v>
      </c>
      <c r="AP30" s="341">
        <v>912.38</v>
      </c>
      <c r="AQ30" s="382">
        <f t="shared" si="55"/>
        <v>0.91237999999999997</v>
      </c>
    </row>
    <row r="31" spans="1:43" s="300" customFormat="1">
      <c r="A31" s="310" t="s">
        <v>183</v>
      </c>
      <c r="B31" s="311" t="s">
        <v>44</v>
      </c>
      <c r="C31" s="338">
        <v>20.697040000000001</v>
      </c>
      <c r="D31" s="338">
        <v>13.78134</v>
      </c>
      <c r="E31" s="338">
        <v>7.7362799999999998</v>
      </c>
      <c r="F31" s="338">
        <v>4.9186300000000003</v>
      </c>
      <c r="G31" s="338">
        <v>13.089840000000001</v>
      </c>
      <c r="H31" s="338">
        <v>8.2105800000000002</v>
      </c>
      <c r="I31" s="338">
        <v>3.6063800000000001</v>
      </c>
      <c r="J31" s="338">
        <v>7.9523100000000007</v>
      </c>
      <c r="K31" s="338">
        <v>14.077450000000001</v>
      </c>
      <c r="L31" s="338">
        <v>20.986369999999997</v>
      </c>
      <c r="M31" s="338">
        <v>8.0376300000000001</v>
      </c>
      <c r="N31" s="338">
        <v>15.845660000000001</v>
      </c>
      <c r="O31" s="338">
        <v>4.99397</v>
      </c>
      <c r="P31" s="338">
        <v>18.02657</v>
      </c>
      <c r="Q31" s="338">
        <v>11.229280000000001</v>
      </c>
      <c r="R31" s="338">
        <v>12.113440000000001</v>
      </c>
      <c r="S31" s="338">
        <v>21.480130000000003</v>
      </c>
      <c r="T31" s="338">
        <v>17.01482</v>
      </c>
      <c r="U31" s="338">
        <v>14.103429999999999</v>
      </c>
      <c r="V31" s="338">
        <v>2.2935500000000002</v>
      </c>
      <c r="W31" s="338">
        <v>8.1916799999999999</v>
      </c>
      <c r="X31" s="338">
        <v>2.8309099999999998</v>
      </c>
      <c r="Y31" s="338">
        <v>6.8748999999999993</v>
      </c>
      <c r="Z31" s="684">
        <v>8.5900800000000004</v>
      </c>
      <c r="AA31" s="684"/>
      <c r="AB31" s="684"/>
      <c r="AC31" s="684"/>
      <c r="AD31" s="684"/>
      <c r="AE31" s="684"/>
      <c r="AF31" s="684"/>
      <c r="AG31" s="684"/>
      <c r="AH31" s="684"/>
      <c r="AI31" s="684"/>
      <c r="AJ31" s="684"/>
      <c r="AK31" s="684"/>
      <c r="AL31" s="684"/>
      <c r="AM31" s="684"/>
      <c r="AP31" s="341">
        <v>8590.08</v>
      </c>
      <c r="AQ31" s="382">
        <f t="shared" si="55"/>
        <v>8.5900800000000004</v>
      </c>
    </row>
    <row r="32" spans="1:43" s="300" customFormat="1">
      <c r="A32" s="310" t="s">
        <v>184</v>
      </c>
      <c r="B32" s="311" t="s">
        <v>44</v>
      </c>
      <c r="C32" s="338">
        <v>21.019130000000001</v>
      </c>
      <c r="D32" s="338">
        <v>15.081700000000001</v>
      </c>
      <c r="E32" s="338">
        <v>12.372590000000001</v>
      </c>
      <c r="F32" s="338">
        <v>9.5060699999999994</v>
      </c>
      <c r="G32" s="338">
        <v>18.52337</v>
      </c>
      <c r="H32" s="338">
        <v>10.627790000000001</v>
      </c>
      <c r="I32" s="338">
        <v>2.1879599999999999</v>
      </c>
      <c r="J32" s="338">
        <v>6.5095000000000001</v>
      </c>
      <c r="K32" s="338">
        <v>13.483370000000001</v>
      </c>
      <c r="L32" s="338">
        <v>14.53547</v>
      </c>
      <c r="M32" s="338">
        <v>12.915569999999999</v>
      </c>
      <c r="N32" s="338">
        <v>14.74959</v>
      </c>
      <c r="O32" s="338">
        <v>4.77651</v>
      </c>
      <c r="P32" s="338">
        <v>20.466369999999998</v>
      </c>
      <c r="Q32" s="338">
        <v>11.72532</v>
      </c>
      <c r="R32" s="338">
        <v>13.922360000000001</v>
      </c>
      <c r="S32" s="338">
        <v>21.769310000000001</v>
      </c>
      <c r="T32" s="338">
        <v>21.638180000000002</v>
      </c>
      <c r="U32" s="338">
        <v>16.56108</v>
      </c>
      <c r="V32" s="338">
        <v>4.6611199999999995</v>
      </c>
      <c r="W32" s="338">
        <v>4.3384099999999997</v>
      </c>
      <c r="X32" s="338">
        <v>4.7323500000000003</v>
      </c>
      <c r="Y32" s="338">
        <v>5.7439999999999998</v>
      </c>
      <c r="Z32" s="684">
        <v>7.6550200000000004</v>
      </c>
      <c r="AA32" s="684">
        <f t="shared" ref="AA32:AF32" si="56">Z31+Z32+AA34-AA23-AA19</f>
        <v>11.545099999999998</v>
      </c>
      <c r="AB32" s="684">
        <f>AA31+AA32+AB34-AB23-AB19</f>
        <v>13.745099999999994</v>
      </c>
      <c r="AC32" s="684">
        <f t="shared" si="56"/>
        <v>11.445099999999996</v>
      </c>
      <c r="AD32" s="684">
        <f t="shared" si="56"/>
        <v>15.645099999999999</v>
      </c>
      <c r="AE32" s="684">
        <f>AD31+AD32+AE34-AE23-AE19</f>
        <v>16.845100000000002</v>
      </c>
      <c r="AF32" s="684">
        <f t="shared" si="56"/>
        <v>12.045100000000005</v>
      </c>
      <c r="AG32" s="684">
        <f t="shared" ref="AG32:AM32" si="57">AF31+AF32+AG34-AG23-AG19</f>
        <v>19.337300270438234</v>
      </c>
      <c r="AH32" s="684">
        <f t="shared" si="57"/>
        <v>25.308239696824515</v>
      </c>
      <c r="AI32" s="684">
        <f t="shared" si="57"/>
        <v>12.279180373394482</v>
      </c>
      <c r="AJ32" s="684">
        <f t="shared" si="57"/>
        <v>12.541139915072932</v>
      </c>
      <c r="AK32" s="684">
        <f t="shared" si="57"/>
        <v>10.395959916496267</v>
      </c>
      <c r="AL32" s="684">
        <f t="shared" si="57"/>
        <v>7.8137601157664989</v>
      </c>
      <c r="AM32" s="684">
        <f t="shared" si="57"/>
        <v>20.759339929306478</v>
      </c>
      <c r="AP32" s="341">
        <v>7655.02</v>
      </c>
      <c r="AQ32" s="382">
        <f t="shared" si="55"/>
        <v>7.6550200000000004</v>
      </c>
    </row>
    <row r="33" spans="1:40" ht="15" thickBot="1">
      <c r="A33" s="921" t="s">
        <v>356</v>
      </c>
      <c r="B33" s="922" t="s">
        <v>44</v>
      </c>
      <c r="V33" s="677">
        <v>66</v>
      </c>
      <c r="W33" s="677">
        <v>44</v>
      </c>
      <c r="X33" s="677">
        <v>46</v>
      </c>
      <c r="Y33" s="677">
        <v>44</v>
      </c>
      <c r="Z33" s="678">
        <v>44</v>
      </c>
      <c r="AA33" s="928">
        <f>44</f>
        <v>44</v>
      </c>
      <c r="AB33" s="928">
        <v>88</v>
      </c>
      <c r="AC33" s="928">
        <f>44*2</f>
        <v>88</v>
      </c>
      <c r="AD33" s="928">
        <v>88</v>
      </c>
      <c r="AE33" s="928">
        <f>44*2.5</f>
        <v>110</v>
      </c>
      <c r="AF33" s="928">
        <f>44*2.5</f>
        <v>110</v>
      </c>
      <c r="AG33" s="928">
        <f>44*3.5</f>
        <v>154</v>
      </c>
      <c r="AH33" s="928">
        <f>44*4</f>
        <v>176</v>
      </c>
      <c r="AI33" s="928">
        <f>44*3.5</f>
        <v>154</v>
      </c>
      <c r="AJ33" s="928">
        <f>44*3</f>
        <v>132</v>
      </c>
      <c r="AK33" s="928">
        <f>44*3.5</f>
        <v>154</v>
      </c>
      <c r="AL33" s="928">
        <f>44*3.5</f>
        <v>154</v>
      </c>
      <c r="AM33" s="928">
        <f>44*3.5</f>
        <v>154</v>
      </c>
    </row>
    <row r="34" spans="1:40" s="324" customFormat="1" ht="15" thickBot="1">
      <c r="A34" s="324" t="s">
        <v>355</v>
      </c>
      <c r="B34" s="325" t="s">
        <v>44</v>
      </c>
      <c r="C34" s="326">
        <v>44</v>
      </c>
      <c r="D34" s="327"/>
      <c r="E34" s="327"/>
      <c r="F34" s="327"/>
      <c r="G34" s="327">
        <v>23</v>
      </c>
      <c r="H34" s="327">
        <v>0</v>
      </c>
      <c r="I34" s="327"/>
      <c r="J34" s="327">
        <v>44</v>
      </c>
      <c r="K34" s="327">
        <v>44</v>
      </c>
      <c r="L34" s="327">
        <v>47</v>
      </c>
      <c r="M34" s="327"/>
      <c r="N34" s="327">
        <v>47.5</v>
      </c>
      <c r="O34" s="327">
        <f>4+4+0.5</f>
        <v>8.5</v>
      </c>
      <c r="P34" s="327">
        <v>45.58</v>
      </c>
      <c r="Q34" s="327">
        <v>22</v>
      </c>
      <c r="R34" s="327">
        <v>44</v>
      </c>
      <c r="S34" s="327">
        <f>44</f>
        <v>44</v>
      </c>
      <c r="T34" s="614">
        <f>46-'C3LPG'!AC98</f>
        <v>29</v>
      </c>
      <c r="U34" s="614">
        <f>44-'C3LPG'!AD98</f>
        <v>26</v>
      </c>
      <c r="V34" s="327">
        <f>V33-'C3LPG'!AE98</f>
        <v>66</v>
      </c>
      <c r="W34" s="327">
        <f>W33-'C3LPG'!AF98</f>
        <v>44</v>
      </c>
      <c r="X34" s="327">
        <f>X33-'C3LPG'!AG98</f>
        <v>46</v>
      </c>
      <c r="Y34" s="327">
        <f>Y33-'C3LPG'!AH98</f>
        <v>44</v>
      </c>
      <c r="Z34" s="327">
        <f>Z33-'C3LPG'!AI98</f>
        <v>44</v>
      </c>
      <c r="AA34" s="497">
        <f>AA33-'C3LPG'!AJ98</f>
        <v>44</v>
      </c>
      <c r="AB34" s="929">
        <f>AB33-AB35-AC35</f>
        <v>71</v>
      </c>
      <c r="AC34" s="936">
        <f>AC33-AC36-AD35-AD36</f>
        <v>70.5</v>
      </c>
      <c r="AD34" s="930">
        <f>AD33</f>
        <v>88</v>
      </c>
      <c r="AE34" s="931">
        <f>AE33-AE35-AE36-AE37-AE38-AE39</f>
        <v>96</v>
      </c>
      <c r="AF34" s="932">
        <f t="shared" ref="AF34:AM34" si="58">AF33-AF35-AF36-AF37-AF38-AF39</f>
        <v>96</v>
      </c>
      <c r="AG34" s="932">
        <f t="shared" si="58"/>
        <v>106.09220027043823</v>
      </c>
      <c r="AH34" s="932">
        <f t="shared" si="58"/>
        <v>114.77093942638629</v>
      </c>
      <c r="AI34" s="932">
        <f t="shared" si="58"/>
        <v>102.77094067656995</v>
      </c>
      <c r="AJ34" s="932">
        <f t="shared" si="58"/>
        <v>99.061959541678448</v>
      </c>
      <c r="AK34" s="932">
        <f t="shared" si="58"/>
        <v>99.654820001423332</v>
      </c>
      <c r="AL34" s="932">
        <f t="shared" si="58"/>
        <v>100.21780019927023</v>
      </c>
      <c r="AM34" s="933">
        <f t="shared" si="58"/>
        <v>125.74557981353996</v>
      </c>
      <c r="AN34" s="815" t="s">
        <v>377</v>
      </c>
    </row>
    <row r="35" spans="1:40" s="927" customFormat="1" ht="10.25" customHeight="1">
      <c r="A35" s="923" t="s">
        <v>400</v>
      </c>
      <c r="B35" s="923" t="s">
        <v>44</v>
      </c>
      <c r="C35" s="924"/>
      <c r="D35" s="925"/>
      <c r="E35" s="925"/>
      <c r="F35" s="925"/>
      <c r="G35" s="925"/>
      <c r="H35" s="925"/>
      <c r="I35" s="925"/>
      <c r="J35" s="925"/>
      <c r="K35" s="925"/>
      <c r="L35" s="925"/>
      <c r="M35" s="925"/>
      <c r="N35" s="925"/>
      <c r="O35" s="925"/>
      <c r="P35" s="925"/>
      <c r="Q35" s="925"/>
      <c r="R35" s="925"/>
      <c r="S35" s="925"/>
      <c r="T35" s="925"/>
      <c r="U35" s="925"/>
      <c r="V35" s="925"/>
      <c r="W35" s="925"/>
      <c r="X35" s="925"/>
      <c r="Y35" s="925"/>
      <c r="Z35" s="925"/>
      <c r="AA35" s="926">
        <f>'C3LPG'!AJ98</f>
        <v>0</v>
      </c>
      <c r="AB35" s="935">
        <f>'C3LPG'!AK98</f>
        <v>7</v>
      </c>
      <c r="AC35" s="935">
        <f>'C3LPG'!AL98</f>
        <v>10</v>
      </c>
      <c r="AD35" s="934">
        <f>'C3LPG'!AM98</f>
        <v>10</v>
      </c>
      <c r="AE35" s="926">
        <f>'C3LPG'!AN98</f>
        <v>0</v>
      </c>
      <c r="AF35" s="926">
        <f>'C3LPG'!AO98</f>
        <v>0</v>
      </c>
      <c r="AG35" s="926">
        <f>'C3LPG'!AP98</f>
        <v>0</v>
      </c>
      <c r="AH35" s="926">
        <f>'C3LPG'!AQ98</f>
        <v>0</v>
      </c>
      <c r="AI35" s="926">
        <f>'C3LPG'!AR98</f>
        <v>0</v>
      </c>
      <c r="AJ35" s="926">
        <f>'C3LPG'!AS98</f>
        <v>0</v>
      </c>
      <c r="AK35" s="926">
        <f>'C3LPG'!AT98</f>
        <v>0</v>
      </c>
      <c r="AL35" s="926">
        <f>'C3LPG'!AU98</f>
        <v>0</v>
      </c>
      <c r="AM35" s="926">
        <f>'C3LPG'!AV98</f>
        <v>0</v>
      </c>
      <c r="AN35" s="565"/>
    </row>
    <row r="36" spans="1:40" s="927" customFormat="1" ht="10.25" customHeight="1">
      <c r="A36" s="923" t="s">
        <v>401</v>
      </c>
      <c r="B36" s="923" t="s">
        <v>44</v>
      </c>
      <c r="C36" s="924"/>
      <c r="D36" s="925"/>
      <c r="E36" s="925"/>
      <c r="F36" s="925"/>
      <c r="G36" s="925"/>
      <c r="H36" s="925"/>
      <c r="I36" s="925"/>
      <c r="J36" s="925"/>
      <c r="K36" s="925"/>
      <c r="L36" s="925"/>
      <c r="M36" s="925"/>
      <c r="N36" s="925"/>
      <c r="O36" s="925"/>
      <c r="P36" s="925"/>
      <c r="Q36" s="925"/>
      <c r="R36" s="925"/>
      <c r="S36" s="925"/>
      <c r="T36" s="925"/>
      <c r="U36" s="925"/>
      <c r="V36" s="925"/>
      <c r="W36" s="925"/>
      <c r="X36" s="925"/>
      <c r="Y36" s="925"/>
      <c r="Z36" s="925"/>
      <c r="AA36" s="926">
        <f>'C3LPG'!AJ99</f>
        <v>0</v>
      </c>
      <c r="AB36" s="926">
        <f>'C3LPG'!AK99</f>
        <v>0</v>
      </c>
      <c r="AC36" s="934">
        <f>'C3LPG'!AL99</f>
        <v>3.5</v>
      </c>
      <c r="AD36" s="934">
        <f>'C3LPG'!AM99</f>
        <v>4</v>
      </c>
      <c r="AE36" s="926">
        <f>'C3LPG'!AN99</f>
        <v>0</v>
      </c>
      <c r="AF36" s="926">
        <f>'C3LPG'!AO99</f>
        <v>0</v>
      </c>
      <c r="AG36" s="926">
        <f>'C3LPG'!AP99</f>
        <v>0</v>
      </c>
      <c r="AH36" s="926">
        <f>'C3LPG'!AQ99</f>
        <v>0</v>
      </c>
      <c r="AI36" s="926">
        <f>'C3LPG'!AR99</f>
        <v>0</v>
      </c>
      <c r="AJ36" s="926">
        <f>'C3LPG'!AS99</f>
        <v>0</v>
      </c>
      <c r="AK36" s="926">
        <f>'C3LPG'!AT99</f>
        <v>0</v>
      </c>
      <c r="AL36" s="926">
        <f>'C3LPG'!AU99</f>
        <v>0</v>
      </c>
      <c r="AM36" s="926">
        <f>'C3LPG'!AV99</f>
        <v>0</v>
      </c>
      <c r="AN36" s="565"/>
    </row>
    <row r="37" spans="1:40" s="927" customFormat="1" ht="10.25" customHeight="1">
      <c r="A37" s="923" t="s">
        <v>402</v>
      </c>
      <c r="B37" s="923" t="s">
        <v>44</v>
      </c>
      <c r="C37" s="924"/>
      <c r="D37" s="925"/>
      <c r="E37" s="925"/>
      <c r="F37" s="925"/>
      <c r="G37" s="925"/>
      <c r="H37" s="925"/>
      <c r="I37" s="925"/>
      <c r="J37" s="925"/>
      <c r="K37" s="925"/>
      <c r="L37" s="925"/>
      <c r="M37" s="925"/>
      <c r="N37" s="925"/>
      <c r="O37" s="925"/>
      <c r="P37" s="925"/>
      <c r="Q37" s="925"/>
      <c r="R37" s="925"/>
      <c r="S37" s="925"/>
      <c r="T37" s="925"/>
      <c r="U37" s="925"/>
      <c r="V37" s="925"/>
      <c r="W37" s="925"/>
      <c r="X37" s="925"/>
      <c r="Y37" s="925"/>
      <c r="Z37" s="925"/>
      <c r="AA37" s="926">
        <f>'C3LPG'!AJ100</f>
        <v>0</v>
      </c>
      <c r="AB37" s="926">
        <f>'C3LPG'!AK100</f>
        <v>0</v>
      </c>
      <c r="AC37" s="926">
        <f>'C3LPG'!AL100</f>
        <v>0</v>
      </c>
      <c r="AD37" s="926">
        <f>'C3LPG'!AM100</f>
        <v>0</v>
      </c>
      <c r="AE37" s="926">
        <f>'C3LPG'!AN100</f>
        <v>10</v>
      </c>
      <c r="AF37" s="926">
        <f>'C3LPG'!AO100</f>
        <v>10</v>
      </c>
      <c r="AG37" s="926">
        <f>'C3LPG'!AP100</f>
        <v>13.045999999999999</v>
      </c>
      <c r="AH37" s="926">
        <f>'C3LPG'!AQ100</f>
        <v>13.481</v>
      </c>
      <c r="AI37" s="926">
        <f>'C3LPG'!AR100</f>
        <v>3.4809999999999999</v>
      </c>
      <c r="AJ37" s="926">
        <f>'C3LPG'!AS100</f>
        <v>13.045999999999999</v>
      </c>
      <c r="AK37" s="926">
        <f>'C3LPG'!AT100</f>
        <v>10.8</v>
      </c>
      <c r="AL37" s="926">
        <f>'C3LPG'!AU100</f>
        <v>10.8</v>
      </c>
      <c r="AM37" s="926">
        <f>'C3LPG'!AV100</f>
        <v>10.8</v>
      </c>
      <c r="AN37" s="565"/>
    </row>
    <row r="38" spans="1:40" s="927" customFormat="1" ht="10.25" customHeight="1">
      <c r="A38" s="923" t="s">
        <v>403</v>
      </c>
      <c r="B38" s="923" t="s">
        <v>44</v>
      </c>
      <c r="C38" s="924"/>
      <c r="D38" s="925"/>
      <c r="E38" s="925"/>
      <c r="F38" s="925"/>
      <c r="G38" s="925"/>
      <c r="H38" s="925"/>
      <c r="I38" s="925"/>
      <c r="J38" s="925"/>
      <c r="K38" s="925"/>
      <c r="L38" s="925"/>
      <c r="M38" s="925"/>
      <c r="N38" s="925"/>
      <c r="O38" s="925"/>
      <c r="P38" s="925"/>
      <c r="Q38" s="925"/>
      <c r="R38" s="925"/>
      <c r="S38" s="925"/>
      <c r="T38" s="925"/>
      <c r="U38" s="925"/>
      <c r="V38" s="925"/>
      <c r="W38" s="925"/>
      <c r="X38" s="925"/>
      <c r="Y38" s="925"/>
      <c r="Z38" s="925"/>
      <c r="AA38" s="926">
        <f>'C3LPG'!AJ101</f>
        <v>0</v>
      </c>
      <c r="AB38" s="926">
        <f>'C3LPG'!AK101</f>
        <v>0</v>
      </c>
      <c r="AC38" s="926">
        <f>'C3LPG'!AL101</f>
        <v>0</v>
      </c>
      <c r="AD38" s="926">
        <f>'C3LPG'!AM101</f>
        <v>0</v>
      </c>
      <c r="AE38" s="926">
        <f>'C3LPG'!AN101</f>
        <v>4</v>
      </c>
      <c r="AF38" s="926">
        <f>'C3LPG'!AO101</f>
        <v>4</v>
      </c>
      <c r="AG38" s="926">
        <f>'C3LPG'!AP101</f>
        <v>0</v>
      </c>
      <c r="AH38" s="926">
        <f>'C3LPG'!AQ101</f>
        <v>0</v>
      </c>
      <c r="AI38" s="926">
        <f>'C3LPG'!AR101</f>
        <v>0</v>
      </c>
      <c r="AJ38" s="926">
        <f>'C3LPG'!AS101</f>
        <v>0</v>
      </c>
      <c r="AK38" s="926">
        <f>'C3LPG'!AT101</f>
        <v>0</v>
      </c>
      <c r="AL38" s="926">
        <f>'C3LPG'!AU101</f>
        <v>0</v>
      </c>
      <c r="AM38" s="926">
        <f>'C3LPG'!AV101</f>
        <v>0</v>
      </c>
      <c r="AN38" s="565"/>
    </row>
    <row r="39" spans="1:40" s="927" customFormat="1" ht="10.25" customHeight="1">
      <c r="A39" s="923" t="s">
        <v>404</v>
      </c>
      <c r="B39" s="923" t="s">
        <v>44</v>
      </c>
      <c r="C39" s="924"/>
      <c r="D39" s="925"/>
      <c r="E39" s="925"/>
      <c r="F39" s="925"/>
      <c r="G39" s="925"/>
      <c r="H39" s="925"/>
      <c r="I39" s="925"/>
      <c r="J39" s="925"/>
      <c r="K39" s="925"/>
      <c r="L39" s="925"/>
      <c r="M39" s="925"/>
      <c r="N39" s="925"/>
      <c r="O39" s="925"/>
      <c r="P39" s="925"/>
      <c r="Q39" s="925"/>
      <c r="R39" s="925"/>
      <c r="S39" s="925"/>
      <c r="T39" s="925"/>
      <c r="U39" s="925"/>
      <c r="V39" s="925"/>
      <c r="W39" s="925"/>
      <c r="X39" s="925"/>
      <c r="Y39" s="925"/>
      <c r="Z39" s="925"/>
      <c r="AA39" s="926">
        <f>'C3LPG'!AJ102</f>
        <v>0</v>
      </c>
      <c r="AB39" s="926">
        <f>'C3LPG'!AK102</f>
        <v>0</v>
      </c>
      <c r="AC39" s="926">
        <f>'C3LPG'!AL102</f>
        <v>0</v>
      </c>
      <c r="AD39" s="926">
        <f>'C3LPG'!AM102</f>
        <v>0</v>
      </c>
      <c r="AE39" s="926">
        <f>'C3LPG'!AN102</f>
        <v>0</v>
      </c>
      <c r="AF39" s="926">
        <f>'C3LPG'!AO102</f>
        <v>0</v>
      </c>
      <c r="AG39" s="926">
        <f>'C3LPG'!AP102</f>
        <v>34.861799729561781</v>
      </c>
      <c r="AH39" s="926">
        <f>'C3LPG'!AQ102</f>
        <v>47.748060573613706</v>
      </c>
      <c r="AI39" s="926">
        <f>'C3LPG'!AR102</f>
        <v>47.748059323430049</v>
      </c>
      <c r="AJ39" s="926">
        <f>'C3LPG'!AS102</f>
        <v>19.89204045832156</v>
      </c>
      <c r="AK39" s="926">
        <f>'C3LPG'!AT102</f>
        <v>43.545179998576657</v>
      </c>
      <c r="AL39" s="926">
        <f>'C3LPG'!AU102</f>
        <v>42.982199800729759</v>
      </c>
      <c r="AM39" s="926">
        <f>'C3LPG'!AV102</f>
        <v>17.454420186460034</v>
      </c>
      <c r="AN39" s="565"/>
    </row>
    <row r="40" spans="1:40" s="324" customFormat="1" ht="16.25" customHeight="1">
      <c r="A40" s="795" t="s">
        <v>405</v>
      </c>
      <c r="B40" s="323" t="s">
        <v>44</v>
      </c>
      <c r="C40" s="328"/>
      <c r="D40" s="328">
        <f t="shared" ref="D40:T40" si="59">+SUM(D27:D32)+D14</f>
        <v>64.706463907470706</v>
      </c>
      <c r="E40" s="328">
        <f t="shared" si="59"/>
        <v>67.831637630224606</v>
      </c>
      <c r="F40" s="328">
        <f t="shared" si="59"/>
        <v>63.70610145751953</v>
      </c>
      <c r="G40" s="328">
        <f t="shared" si="59"/>
        <v>66.647852199999988</v>
      </c>
      <c r="H40" s="328">
        <f t="shared" si="59"/>
        <v>65.481283899999994</v>
      </c>
      <c r="I40" s="328">
        <f t="shared" si="59"/>
        <v>34.979469999999999</v>
      </c>
      <c r="J40" s="328">
        <f t="shared" si="59"/>
        <v>48.598420000000004</v>
      </c>
      <c r="K40" s="328">
        <f t="shared" si="59"/>
        <v>56.282089999999997</v>
      </c>
      <c r="L40" s="328">
        <f t="shared" si="59"/>
        <v>87.805459999999997</v>
      </c>
      <c r="M40" s="328">
        <f t="shared" si="59"/>
        <v>60.257900000000006</v>
      </c>
      <c r="N40" s="328">
        <f t="shared" si="59"/>
        <v>77.369380699999994</v>
      </c>
      <c r="O40" s="328">
        <f t="shared" si="59"/>
        <v>53.237692360000004</v>
      </c>
      <c r="P40" s="328">
        <f t="shared" si="59"/>
        <v>89.407150000000001</v>
      </c>
      <c r="Q40" s="328">
        <f t="shared" si="59"/>
        <v>75.576880000000003</v>
      </c>
      <c r="R40" s="328">
        <f t="shared" si="59"/>
        <v>78.759662528000007</v>
      </c>
      <c r="S40" s="328">
        <f t="shared" si="59"/>
        <v>101.88334820000001</v>
      </c>
      <c r="T40" s="328">
        <f t="shared" si="59"/>
        <v>97.174213788000003</v>
      </c>
      <c r="U40" s="328">
        <f t="shared" ref="U40:AB40" si="60">+SUM(U27:U32)+U14</f>
        <v>75.491817854000004</v>
      </c>
      <c r="V40" s="328">
        <f t="shared" si="60"/>
        <v>41.458376900000005</v>
      </c>
      <c r="W40" s="328">
        <f t="shared" si="60"/>
        <v>65.234798357999992</v>
      </c>
      <c r="X40" s="328">
        <f>+SUM(X27:X32)+X14</f>
        <v>39.336402000000007</v>
      </c>
      <c r="Y40" s="328">
        <f>+SUM(Y27:Y32)+Y14</f>
        <v>37.541536600000001</v>
      </c>
      <c r="Z40" s="328">
        <f t="shared" si="60"/>
        <v>49.365671599999999</v>
      </c>
      <c r="AA40" s="328">
        <f t="shared" si="60"/>
        <v>51.356991513182251</v>
      </c>
      <c r="AB40" s="796">
        <f t="shared" si="60"/>
        <v>53.610725939409434</v>
      </c>
      <c r="AC40" s="796">
        <f t="shared" ref="AC40:AD40" si="61">+SUM(AC27:AC32)+AC14</f>
        <v>49.563300030320171</v>
      </c>
      <c r="AD40" s="796">
        <f t="shared" si="61"/>
        <v>53.579498661354613</v>
      </c>
      <c r="AE40" s="796">
        <f>+SUM(AE27:AE32)+AE14</f>
        <v>56.867815201699415</v>
      </c>
      <c r="AF40" s="796">
        <f t="shared" ref="AF40" si="62">+SUM(AF27:AF32)+AF14</f>
        <v>52.195444175214178</v>
      </c>
      <c r="AG40" s="796">
        <f t="shared" ref="AG40:AM40" si="63">+SUM(AG27:AG32)+AG14</f>
        <v>57.08843783783059</v>
      </c>
      <c r="AH40" s="796">
        <f t="shared" si="63"/>
        <v>63.477953872042555</v>
      </c>
      <c r="AI40" s="796">
        <f t="shared" si="63"/>
        <v>52.763401739390822</v>
      </c>
      <c r="AJ40" s="796">
        <f t="shared" si="63"/>
        <v>50.669769052693816</v>
      </c>
      <c r="AK40" s="796">
        <f t="shared" si="63"/>
        <v>48.924549557806877</v>
      </c>
      <c r="AL40" s="796">
        <f t="shared" si="63"/>
        <v>47.710953846723577</v>
      </c>
      <c r="AM40" s="796">
        <f t="shared" si="63"/>
        <v>60.961086056639992</v>
      </c>
    </row>
    <row r="41" spans="1:40" s="300" customFormat="1">
      <c r="C41" s="341"/>
      <c r="D41" s="312"/>
    </row>
    <row r="42" spans="1:40" s="300" customFormat="1">
      <c r="A42" s="317"/>
      <c r="B42" s="498"/>
      <c r="C42" s="316"/>
      <c r="D42" s="312"/>
      <c r="P42" s="497"/>
      <c r="Q42" s="497"/>
      <c r="R42" s="497"/>
      <c r="S42" s="497"/>
      <c r="T42" s="497"/>
      <c r="U42" s="497"/>
      <c r="V42" s="497"/>
      <c r="W42" s="497"/>
      <c r="X42" s="497"/>
      <c r="Y42" s="497"/>
      <c r="Z42" s="497"/>
      <c r="AA42" s="497"/>
      <c r="AB42" s="497"/>
      <c r="AC42" s="497"/>
      <c r="AD42" s="497"/>
      <c r="AE42" s="497"/>
      <c r="AF42" s="497"/>
      <c r="AG42" s="497"/>
      <c r="AH42" s="497"/>
      <c r="AI42" s="497"/>
      <c r="AJ42" s="497"/>
      <c r="AK42" s="497"/>
      <c r="AL42" s="497"/>
      <c r="AM42" s="497"/>
    </row>
    <row r="43" spans="1:40">
      <c r="B43" s="565"/>
      <c r="C43" s="342"/>
      <c r="D43" s="312"/>
      <c r="P43" s="327"/>
      <c r="Q43" s="327"/>
      <c r="R43" s="327"/>
      <c r="S43" s="327"/>
      <c r="T43" s="327"/>
      <c r="U43" s="327"/>
      <c r="V43" s="327"/>
      <c r="W43" s="327"/>
      <c r="X43" s="327"/>
      <c r="Y43" s="327"/>
      <c r="Z43" s="327"/>
      <c r="AA43" s="327"/>
      <c r="AB43" s="327"/>
      <c r="AC43" s="327"/>
      <c r="AD43" s="327"/>
      <c r="AE43" s="327"/>
      <c r="AF43" s="327"/>
      <c r="AG43" s="327"/>
      <c r="AH43" s="327"/>
      <c r="AI43" s="327"/>
      <c r="AJ43" s="327"/>
      <c r="AK43" s="327"/>
      <c r="AL43" s="327"/>
      <c r="AM43" s="327"/>
    </row>
    <row r="44" spans="1:40">
      <c r="R44" s="538"/>
    </row>
    <row r="45" spans="1:40">
      <c r="C45" s="319"/>
      <c r="D45" s="340">
        <f t="shared" ref="D45:Q45" si="64">D1</f>
        <v>43832</v>
      </c>
      <c r="E45" s="340">
        <f t="shared" si="64"/>
        <v>43863</v>
      </c>
      <c r="F45" s="340">
        <f t="shared" si="64"/>
        <v>43892</v>
      </c>
      <c r="G45" s="340">
        <f t="shared" si="64"/>
        <v>43923</v>
      </c>
      <c r="H45" s="340">
        <f t="shared" si="64"/>
        <v>43953</v>
      </c>
      <c r="I45" s="340">
        <f t="shared" si="64"/>
        <v>43984</v>
      </c>
      <c r="J45" s="340">
        <f t="shared" si="64"/>
        <v>44014</v>
      </c>
      <c r="K45" s="340">
        <f t="shared" si="64"/>
        <v>44045</v>
      </c>
      <c r="L45" s="340">
        <f t="shared" si="64"/>
        <v>44076</v>
      </c>
      <c r="M45" s="340">
        <f t="shared" si="64"/>
        <v>44106</v>
      </c>
      <c r="N45" s="340">
        <f t="shared" si="64"/>
        <v>44137</v>
      </c>
      <c r="O45" s="340">
        <f t="shared" si="64"/>
        <v>44167</v>
      </c>
      <c r="P45" s="340">
        <f t="shared" si="64"/>
        <v>44198</v>
      </c>
      <c r="Q45" s="340">
        <f t="shared" si="64"/>
        <v>44229</v>
      </c>
      <c r="R45" s="340">
        <f t="shared" ref="R45:AB45" si="65">R1</f>
        <v>44257</v>
      </c>
      <c r="S45" s="340">
        <f t="shared" si="65"/>
        <v>44288</v>
      </c>
      <c r="T45" s="340">
        <f t="shared" si="65"/>
        <v>44318</v>
      </c>
      <c r="U45" s="340">
        <f t="shared" si="65"/>
        <v>44349</v>
      </c>
      <c r="V45" s="340">
        <f t="shared" si="65"/>
        <v>44379</v>
      </c>
      <c r="W45" s="340">
        <f t="shared" si="65"/>
        <v>44410</v>
      </c>
      <c r="X45" s="340">
        <f t="shared" si="65"/>
        <v>44441</v>
      </c>
      <c r="Y45" s="340">
        <f t="shared" si="65"/>
        <v>44471</v>
      </c>
      <c r="Z45" s="340">
        <f t="shared" si="65"/>
        <v>44502</v>
      </c>
      <c r="AA45" s="340">
        <f t="shared" si="65"/>
        <v>44532</v>
      </c>
      <c r="AB45" s="340">
        <f t="shared" si="65"/>
        <v>44563</v>
      </c>
      <c r="AC45" s="340">
        <f t="shared" ref="AC45:AD45" si="66">AC1</f>
        <v>44594</v>
      </c>
      <c r="AD45" s="340">
        <f t="shared" si="66"/>
        <v>44622</v>
      </c>
      <c r="AE45" s="340">
        <f t="shared" ref="AE45:AF45" si="67">AE1</f>
        <v>44653</v>
      </c>
      <c r="AF45" s="340">
        <f t="shared" si="67"/>
        <v>44683</v>
      </c>
      <c r="AG45" s="340">
        <f t="shared" ref="AG45:AM45" si="68">AG1</f>
        <v>44714</v>
      </c>
      <c r="AH45" s="340">
        <f t="shared" si="68"/>
        <v>44744</v>
      </c>
      <c r="AI45" s="340">
        <f t="shared" si="68"/>
        <v>44775</v>
      </c>
      <c r="AJ45" s="340">
        <f t="shared" si="68"/>
        <v>44806</v>
      </c>
      <c r="AK45" s="340">
        <f t="shared" si="68"/>
        <v>44836</v>
      </c>
      <c r="AL45" s="340">
        <f t="shared" si="68"/>
        <v>44867</v>
      </c>
      <c r="AM45" s="340">
        <f t="shared" si="68"/>
        <v>44897</v>
      </c>
    </row>
    <row r="46" spans="1:40">
      <c r="A46" s="318" t="s">
        <v>384</v>
      </c>
      <c r="C46" s="319"/>
      <c r="D46" s="320">
        <f t="shared" ref="D46:Q46" si="69">D40</f>
        <v>64.706463907470706</v>
      </c>
      <c r="E46" s="320">
        <f t="shared" si="69"/>
        <v>67.831637630224606</v>
      </c>
      <c r="F46" s="320">
        <f t="shared" si="69"/>
        <v>63.70610145751953</v>
      </c>
      <c r="G46" s="320">
        <f t="shared" si="69"/>
        <v>66.647852199999988</v>
      </c>
      <c r="H46" s="320">
        <f t="shared" si="69"/>
        <v>65.481283899999994</v>
      </c>
      <c r="I46" s="320">
        <f t="shared" si="69"/>
        <v>34.979469999999999</v>
      </c>
      <c r="J46" s="320">
        <f t="shared" si="69"/>
        <v>48.598420000000004</v>
      </c>
      <c r="K46" s="320">
        <f t="shared" si="69"/>
        <v>56.282089999999997</v>
      </c>
      <c r="L46" s="320">
        <f t="shared" si="69"/>
        <v>87.805459999999997</v>
      </c>
      <c r="M46" s="320">
        <f t="shared" si="69"/>
        <v>60.257900000000006</v>
      </c>
      <c r="N46" s="320">
        <f t="shared" si="69"/>
        <v>77.369380699999994</v>
      </c>
      <c r="O46" s="320">
        <f t="shared" si="69"/>
        <v>53.237692360000004</v>
      </c>
      <c r="P46" s="320">
        <f t="shared" si="69"/>
        <v>89.407150000000001</v>
      </c>
      <c r="Q46" s="320">
        <f t="shared" si="69"/>
        <v>75.576880000000003</v>
      </c>
      <c r="R46" s="320">
        <f t="shared" ref="R46:AB46" si="70">R40</f>
        <v>78.759662528000007</v>
      </c>
      <c r="S46" s="320">
        <f t="shared" si="70"/>
        <v>101.88334820000001</v>
      </c>
      <c r="T46" s="320">
        <f t="shared" si="70"/>
        <v>97.174213788000003</v>
      </c>
      <c r="U46" s="320">
        <f t="shared" si="70"/>
        <v>75.491817854000004</v>
      </c>
      <c r="V46" s="320">
        <f t="shared" si="70"/>
        <v>41.458376900000005</v>
      </c>
      <c r="W46" s="320">
        <f t="shared" si="70"/>
        <v>65.234798357999992</v>
      </c>
      <c r="X46" s="320">
        <f t="shared" si="70"/>
        <v>39.336402000000007</v>
      </c>
      <c r="Y46" s="320">
        <f t="shared" si="70"/>
        <v>37.541536600000001</v>
      </c>
      <c r="Z46" s="320">
        <f t="shared" si="70"/>
        <v>49.365671599999999</v>
      </c>
      <c r="AA46" s="320">
        <f t="shared" si="70"/>
        <v>51.356991513182251</v>
      </c>
      <c r="AB46" s="320">
        <f t="shared" si="70"/>
        <v>53.610725939409434</v>
      </c>
      <c r="AC46" s="320">
        <f t="shared" ref="AC46:AD46" si="71">AC40</f>
        <v>49.563300030320171</v>
      </c>
      <c r="AD46" s="320">
        <f t="shared" si="71"/>
        <v>53.579498661354613</v>
      </c>
      <c r="AE46" s="320">
        <f t="shared" ref="AE46:AF46" si="72">AE40</f>
        <v>56.867815201699415</v>
      </c>
      <c r="AF46" s="320">
        <f t="shared" si="72"/>
        <v>52.195444175214178</v>
      </c>
      <c r="AG46" s="320">
        <f t="shared" ref="AG46:AM46" si="73">AG40</f>
        <v>57.08843783783059</v>
      </c>
      <c r="AH46" s="320">
        <f t="shared" si="73"/>
        <v>63.477953872042555</v>
      </c>
      <c r="AI46" s="320">
        <f t="shared" si="73"/>
        <v>52.763401739390822</v>
      </c>
      <c r="AJ46" s="320">
        <f t="shared" si="73"/>
        <v>50.669769052693816</v>
      </c>
      <c r="AK46" s="320">
        <f t="shared" si="73"/>
        <v>48.924549557806877</v>
      </c>
      <c r="AL46" s="320">
        <f t="shared" si="73"/>
        <v>47.710953846723577</v>
      </c>
      <c r="AM46" s="320">
        <f t="shared" si="73"/>
        <v>60.961086056639992</v>
      </c>
    </row>
    <row r="47" spans="1:40">
      <c r="A47" s="318" t="s">
        <v>385</v>
      </c>
      <c r="D47" s="320">
        <f>D46-D48</f>
        <v>64.706463907470706</v>
      </c>
      <c r="E47" s="320">
        <f t="shared" ref="E47:Q47" si="74">E46-E48</f>
        <v>67.831637630224606</v>
      </c>
      <c r="F47" s="320">
        <f t="shared" si="74"/>
        <v>63.70610145751953</v>
      </c>
      <c r="G47" s="320">
        <f t="shared" si="74"/>
        <v>43.647852199999988</v>
      </c>
      <c r="H47" s="320">
        <f t="shared" si="74"/>
        <v>65.481283899999994</v>
      </c>
      <c r="I47" s="320">
        <f t="shared" si="74"/>
        <v>34.979469999999999</v>
      </c>
      <c r="J47" s="320">
        <f t="shared" si="74"/>
        <v>4.5984200000000044</v>
      </c>
      <c r="K47" s="320">
        <f t="shared" si="74"/>
        <v>12.282089999999997</v>
      </c>
      <c r="L47" s="320">
        <f t="shared" si="74"/>
        <v>40.805459999999997</v>
      </c>
      <c r="M47" s="320">
        <f t="shared" si="74"/>
        <v>60.257900000000006</v>
      </c>
      <c r="N47" s="320">
        <f t="shared" si="74"/>
        <v>29.869380699999994</v>
      </c>
      <c r="O47" s="320">
        <f t="shared" si="74"/>
        <v>44.737692360000004</v>
      </c>
      <c r="P47" s="320">
        <f t="shared" si="74"/>
        <v>43.827150000000003</v>
      </c>
      <c r="Q47" s="320">
        <f t="shared" si="74"/>
        <v>53.576880000000003</v>
      </c>
      <c r="R47" s="320">
        <f t="shared" ref="R47:AB47" si="75">R46-R48</f>
        <v>34.759662528000007</v>
      </c>
      <c r="S47" s="320">
        <f t="shared" si="75"/>
        <v>57.883348200000015</v>
      </c>
      <c r="T47" s="320">
        <f t="shared" si="75"/>
        <v>68.174213788000003</v>
      </c>
      <c r="U47" s="320">
        <f t="shared" si="75"/>
        <v>49.491817854000004</v>
      </c>
      <c r="V47" s="320">
        <f t="shared" si="75"/>
        <v>-24.541623099999995</v>
      </c>
      <c r="W47" s="320">
        <f t="shared" si="75"/>
        <v>21.234798357999992</v>
      </c>
      <c r="X47" s="320">
        <f t="shared" si="75"/>
        <v>-6.6635979999999932</v>
      </c>
      <c r="Y47" s="320">
        <f t="shared" si="75"/>
        <v>-6.4584633999999994</v>
      </c>
      <c r="Z47" s="320">
        <f t="shared" si="75"/>
        <v>5.3656715999999989</v>
      </c>
      <c r="AA47" s="320">
        <f t="shared" si="75"/>
        <v>7.3569915131822512</v>
      </c>
      <c r="AB47" s="320">
        <f t="shared" si="75"/>
        <v>-17.389274060590566</v>
      </c>
      <c r="AC47" s="320">
        <f t="shared" ref="AC47:AD47" si="76">AC46-AC48</f>
        <v>-20.936699969679829</v>
      </c>
      <c r="AD47" s="320">
        <f t="shared" si="76"/>
        <v>-34.420501338645387</v>
      </c>
      <c r="AE47" s="320">
        <f t="shared" ref="AE47:AF47" si="77">AE46-AE48</f>
        <v>-39.132184798300585</v>
      </c>
      <c r="AF47" s="320">
        <f t="shared" si="77"/>
        <v>-43.804555824785822</v>
      </c>
      <c r="AG47" s="320">
        <f t="shared" ref="AG47:AM47" si="78">AG46-AG48</f>
        <v>-49.003762432607637</v>
      </c>
      <c r="AH47" s="320">
        <f t="shared" si="78"/>
        <v>-51.292985554343737</v>
      </c>
      <c r="AI47" s="320">
        <f t="shared" si="78"/>
        <v>-50.007538937179127</v>
      </c>
      <c r="AJ47" s="320">
        <f t="shared" si="78"/>
        <v>-48.392190488984632</v>
      </c>
      <c r="AK47" s="320">
        <f t="shared" si="78"/>
        <v>-50.730270443616455</v>
      </c>
      <c r="AL47" s="320">
        <f t="shared" si="78"/>
        <v>-52.506846352546653</v>
      </c>
      <c r="AM47" s="320">
        <f t="shared" si="78"/>
        <v>-64.784493756899963</v>
      </c>
    </row>
    <row r="48" spans="1:40">
      <c r="A48" s="318" t="s">
        <v>158</v>
      </c>
      <c r="D48" s="320">
        <f>D34</f>
        <v>0</v>
      </c>
      <c r="E48" s="320">
        <f t="shared" ref="E48:Q48" si="79">E34</f>
        <v>0</v>
      </c>
      <c r="F48" s="320">
        <f t="shared" si="79"/>
        <v>0</v>
      </c>
      <c r="G48" s="320">
        <f t="shared" si="79"/>
        <v>23</v>
      </c>
      <c r="H48" s="320">
        <f t="shared" si="79"/>
        <v>0</v>
      </c>
      <c r="I48" s="320">
        <f t="shared" si="79"/>
        <v>0</v>
      </c>
      <c r="J48" s="320">
        <f t="shared" si="79"/>
        <v>44</v>
      </c>
      <c r="K48" s="320">
        <f t="shared" si="79"/>
        <v>44</v>
      </c>
      <c r="L48" s="320">
        <f t="shared" si="79"/>
        <v>47</v>
      </c>
      <c r="M48" s="320">
        <f t="shared" si="79"/>
        <v>0</v>
      </c>
      <c r="N48" s="320">
        <f t="shared" si="79"/>
        <v>47.5</v>
      </c>
      <c r="O48" s="320">
        <f t="shared" si="79"/>
        <v>8.5</v>
      </c>
      <c r="P48" s="320">
        <f t="shared" si="79"/>
        <v>45.58</v>
      </c>
      <c r="Q48" s="320">
        <f t="shared" si="79"/>
        <v>22</v>
      </c>
      <c r="R48" s="320">
        <f t="shared" ref="R48:AB48" si="80">R34</f>
        <v>44</v>
      </c>
      <c r="S48" s="320">
        <f t="shared" si="80"/>
        <v>44</v>
      </c>
      <c r="T48" s="320">
        <f t="shared" si="80"/>
        <v>29</v>
      </c>
      <c r="U48" s="320">
        <f>U34</f>
        <v>26</v>
      </c>
      <c r="V48" s="320">
        <f t="shared" si="80"/>
        <v>66</v>
      </c>
      <c r="W48" s="320">
        <f>W34</f>
        <v>44</v>
      </c>
      <c r="X48" s="320">
        <f t="shared" si="80"/>
        <v>46</v>
      </c>
      <c r="Y48" s="320">
        <f t="shared" si="80"/>
        <v>44</v>
      </c>
      <c r="Z48" s="320">
        <f>Z34</f>
        <v>44</v>
      </c>
      <c r="AA48" s="320">
        <f t="shared" si="80"/>
        <v>44</v>
      </c>
      <c r="AB48" s="320">
        <f t="shared" si="80"/>
        <v>71</v>
      </c>
      <c r="AC48" s="320">
        <f t="shared" ref="AC48:AD48" si="81">AC34</f>
        <v>70.5</v>
      </c>
      <c r="AD48" s="320">
        <f t="shared" si="81"/>
        <v>88</v>
      </c>
      <c r="AE48" s="700">
        <f>AE34</f>
        <v>96</v>
      </c>
      <c r="AF48" s="700">
        <f>AF34</f>
        <v>96</v>
      </c>
      <c r="AG48" s="700">
        <f t="shared" ref="AG48:AI48" si="82">AG34</f>
        <v>106.09220027043823</v>
      </c>
      <c r="AH48" s="700">
        <f t="shared" si="82"/>
        <v>114.77093942638629</v>
      </c>
      <c r="AI48" s="700">
        <f t="shared" si="82"/>
        <v>102.77094067656995</v>
      </c>
      <c r="AJ48" s="700">
        <f t="shared" ref="AJ48:AK48" si="83">AJ34</f>
        <v>99.061959541678448</v>
      </c>
      <c r="AK48" s="700">
        <f t="shared" si="83"/>
        <v>99.654820001423332</v>
      </c>
      <c r="AL48" s="700">
        <f t="shared" ref="AL48:AM48" si="84">AL34</f>
        <v>100.21780019927023</v>
      </c>
      <c r="AM48" s="700">
        <f t="shared" si="84"/>
        <v>125.74557981353996</v>
      </c>
    </row>
    <row r="49" spans="1:39">
      <c r="A49" s="318" t="s">
        <v>178</v>
      </c>
      <c r="D49" s="318">
        <v>25.57</v>
      </c>
      <c r="E49" s="318">
        <v>25.57</v>
      </c>
      <c r="F49" s="318">
        <v>25.57</v>
      </c>
      <c r="G49" s="318">
        <v>25.57</v>
      </c>
      <c r="H49" s="318">
        <v>25.57</v>
      </c>
      <c r="I49" s="318">
        <v>25.57</v>
      </c>
      <c r="J49" s="318">
        <v>25.57</v>
      </c>
      <c r="K49" s="318">
        <v>25.57</v>
      </c>
      <c r="L49" s="318">
        <v>25.57</v>
      </c>
      <c r="M49" s="318">
        <v>25.57</v>
      </c>
      <c r="N49" s="318">
        <v>25.57</v>
      </c>
      <c r="O49" s="318">
        <v>25.57</v>
      </c>
      <c r="P49" s="318">
        <f>5+14</f>
        <v>19</v>
      </c>
      <c r="Q49" s="318">
        <f t="shared" ref="Q49:U49" si="85">5+14</f>
        <v>19</v>
      </c>
      <c r="R49" s="318">
        <f t="shared" si="85"/>
        <v>19</v>
      </c>
      <c r="S49" s="318">
        <f t="shared" si="85"/>
        <v>19</v>
      </c>
      <c r="T49" s="318">
        <f t="shared" si="85"/>
        <v>19</v>
      </c>
      <c r="U49" s="318">
        <f t="shared" si="85"/>
        <v>19</v>
      </c>
      <c r="V49" s="681">
        <v>22.03</v>
      </c>
      <c r="W49" s="681">
        <v>22.03</v>
      </c>
      <c r="X49" s="681">
        <v>22.03</v>
      </c>
      <c r="Y49" s="681">
        <v>22.03</v>
      </c>
      <c r="Z49" s="681">
        <v>22.03</v>
      </c>
      <c r="AA49" s="681">
        <v>22.03</v>
      </c>
      <c r="AB49" s="681">
        <v>33.200000000000003</v>
      </c>
      <c r="AC49" s="681">
        <v>33.200000000000003</v>
      </c>
      <c r="AD49" s="681">
        <v>33.200000000000003</v>
      </c>
      <c r="AE49" s="681">
        <v>33.200000000000003</v>
      </c>
      <c r="AF49" s="681">
        <v>33.200000000000003</v>
      </c>
      <c r="AG49" s="681">
        <v>33.200000000000003</v>
      </c>
      <c r="AH49" s="681">
        <v>33.200000000000003</v>
      </c>
      <c r="AI49" s="681">
        <v>33.200000000000003</v>
      </c>
      <c r="AJ49" s="681">
        <v>33.200000000000003</v>
      </c>
      <c r="AK49" s="681">
        <v>33.200000000000003</v>
      </c>
      <c r="AL49" s="681">
        <v>33.200000000000003</v>
      </c>
      <c r="AM49" s="681">
        <v>33.200000000000003</v>
      </c>
    </row>
    <row r="50" spans="1:39">
      <c r="A50" s="318" t="s">
        <v>179</v>
      </c>
      <c r="D50" s="318">
        <v>41.7</v>
      </c>
      <c r="E50" s="318">
        <v>41.7</v>
      </c>
      <c r="F50" s="318">
        <v>41.7</v>
      </c>
      <c r="G50" s="318">
        <v>41.7</v>
      </c>
      <c r="H50" s="318">
        <v>41.7</v>
      </c>
      <c r="I50" s="318">
        <v>41.7</v>
      </c>
      <c r="J50" s="318">
        <v>41.7</v>
      </c>
      <c r="K50" s="318">
        <v>41.7</v>
      </c>
      <c r="L50" s="318">
        <v>41.7</v>
      </c>
      <c r="M50" s="318">
        <v>41.7</v>
      </c>
      <c r="N50" s="318">
        <v>41.7</v>
      </c>
      <c r="O50" s="318">
        <v>41.7</v>
      </c>
      <c r="P50" s="318">
        <f>19+17</f>
        <v>36</v>
      </c>
      <c r="Q50" s="318">
        <f t="shared" ref="Q50:U50" si="86">19+17</f>
        <v>36</v>
      </c>
      <c r="R50" s="318">
        <f t="shared" si="86"/>
        <v>36</v>
      </c>
      <c r="S50" s="318">
        <f t="shared" si="86"/>
        <v>36</v>
      </c>
      <c r="T50" s="318">
        <f t="shared" si="86"/>
        <v>36</v>
      </c>
      <c r="U50" s="318">
        <f t="shared" si="86"/>
        <v>36</v>
      </c>
      <c r="V50" s="681">
        <v>39.03</v>
      </c>
      <c r="W50" s="681">
        <v>39.03</v>
      </c>
      <c r="X50" s="681">
        <v>39.03</v>
      </c>
      <c r="Y50" s="817">
        <v>39.03</v>
      </c>
      <c r="Z50" s="817">
        <v>39.03</v>
      </c>
      <c r="AA50" s="681">
        <v>39.03</v>
      </c>
      <c r="AB50" s="681">
        <v>50.2</v>
      </c>
      <c r="AC50" s="681">
        <v>50.2</v>
      </c>
      <c r="AD50" s="681">
        <v>50.2</v>
      </c>
      <c r="AE50" s="681">
        <v>50.2</v>
      </c>
      <c r="AF50" s="681">
        <v>50.2</v>
      </c>
      <c r="AG50" s="681">
        <v>50.2</v>
      </c>
      <c r="AH50" s="681">
        <v>50.2</v>
      </c>
      <c r="AI50" s="681">
        <v>50.2</v>
      </c>
      <c r="AJ50" s="681">
        <v>50.2</v>
      </c>
      <c r="AK50" s="681">
        <v>50.2</v>
      </c>
      <c r="AL50" s="681">
        <v>50.2</v>
      </c>
      <c r="AM50" s="681">
        <v>50.2</v>
      </c>
    </row>
    <row r="54" spans="1:39">
      <c r="Z54" s="799"/>
      <c r="AA54" s="818"/>
      <c r="AB54" s="799"/>
    </row>
    <row r="55" spans="1:39">
      <c r="X55" s="807"/>
      <c r="Y55" s="807"/>
      <c r="Z55" s="807"/>
      <c r="AA55" s="807"/>
      <c r="AB55" s="807"/>
      <c r="AC55" s="807"/>
      <c r="AD55" s="807"/>
      <c r="AE55" s="807"/>
      <c r="AF55" s="807"/>
      <c r="AG55" s="807"/>
      <c r="AH55" s="807"/>
      <c r="AI55" s="807"/>
      <c r="AJ55" s="807"/>
      <c r="AK55" s="807"/>
      <c r="AL55" s="807"/>
      <c r="AM55" s="807"/>
    </row>
    <row r="56" spans="1:39">
      <c r="X56" s="807"/>
      <c r="Y56" s="807"/>
      <c r="Z56" s="807"/>
      <c r="AA56" s="807"/>
      <c r="AB56" s="807"/>
      <c r="AC56" s="807"/>
      <c r="AD56" s="807"/>
      <c r="AE56" s="807"/>
      <c r="AF56" s="807"/>
      <c r="AG56" s="807"/>
      <c r="AH56" s="807"/>
      <c r="AI56" s="807"/>
      <c r="AJ56" s="807"/>
      <c r="AK56" s="807"/>
      <c r="AL56" s="807"/>
      <c r="AM56" s="807"/>
    </row>
    <row r="57" spans="1:39">
      <c r="X57" s="807"/>
      <c r="Y57" s="807"/>
      <c r="Z57" s="807"/>
      <c r="AA57" s="807"/>
      <c r="AB57" s="807"/>
      <c r="AC57" s="807"/>
      <c r="AD57" s="807"/>
      <c r="AE57" s="807"/>
      <c r="AF57" s="807"/>
      <c r="AG57" s="807"/>
      <c r="AH57" s="807"/>
      <c r="AI57" s="807"/>
      <c r="AJ57" s="807"/>
      <c r="AK57" s="807"/>
      <c r="AL57" s="807"/>
      <c r="AM57" s="807"/>
    </row>
  </sheetData>
  <mergeCells count="2">
    <mergeCell ref="AP25:AP26"/>
    <mergeCell ref="AQ25:AQ26"/>
  </mergeCells>
  <conditionalFormatting sqref="V34:V39">
    <cfRule type="cellIs" dxfId="16" priority="109" operator="equal">
      <formula>$V$33</formula>
    </cfRule>
  </conditionalFormatting>
  <conditionalFormatting sqref="W34:W39">
    <cfRule type="cellIs" dxfId="15" priority="110" operator="equal">
      <formula>$W$33</formula>
    </cfRule>
  </conditionalFormatting>
  <conditionalFormatting sqref="X34:X39">
    <cfRule type="cellIs" dxfId="14" priority="111" operator="equal">
      <formula>$X$33</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Q298"/>
  <sheetViews>
    <sheetView zoomScale="70" zoomScaleNormal="70" workbookViewId="0">
      <pane xSplit="4" ySplit="19" topLeftCell="AJ94" activePane="bottomRight" state="frozen"/>
      <selection pane="topRight" activeCell="E1" sqref="E1"/>
      <selection pane="bottomLeft" activeCell="A20" sqref="A20"/>
      <selection pane="bottomRight" activeCell="AN102" sqref="AN102"/>
    </sheetView>
  </sheetViews>
  <sheetFormatPr defaultRowHeight="14.5" outlineLevelRow="1"/>
  <cols>
    <col min="1" max="1" width="22.08984375" style="1" customWidth="1"/>
    <col min="2" max="2" width="16.90625" style="2" customWidth="1"/>
    <col min="3" max="3" width="26.6328125" customWidth="1"/>
    <col min="4" max="4" width="22.54296875" customWidth="1"/>
    <col min="5" max="17" width="10.08984375" bestFit="1" customWidth="1"/>
    <col min="18" max="18" width="9.90625" customWidth="1"/>
    <col min="19" max="24" width="10.08984375" bestFit="1" customWidth="1"/>
    <col min="25" max="26" width="10" bestFit="1" customWidth="1"/>
    <col min="27" max="27" width="10" customWidth="1"/>
    <col min="28" max="29" width="10.08984375" customWidth="1"/>
    <col min="30" max="31" width="10.08984375" bestFit="1" customWidth="1"/>
    <col min="32" max="32" width="11" bestFit="1" customWidth="1"/>
    <col min="33" max="33" width="10.6328125" bestFit="1" customWidth="1"/>
    <col min="34" max="36" width="10.08984375" bestFit="1" customWidth="1"/>
    <col min="37" max="37" width="10.1796875" bestFit="1" customWidth="1"/>
    <col min="38" max="45" width="10.08984375" bestFit="1" customWidth="1"/>
    <col min="46" max="48" width="10.36328125" customWidth="1"/>
    <col min="49" max="49" width="3.54296875" customWidth="1"/>
    <col min="50" max="50" width="11.08984375" bestFit="1" customWidth="1"/>
    <col min="51" max="51" width="8.90625" customWidth="1"/>
    <col min="52" max="52" width="9.453125" customWidth="1"/>
    <col min="53" max="53" width="6.81640625" customWidth="1"/>
    <col min="56" max="56" width="9.1796875" bestFit="1" customWidth="1"/>
  </cols>
  <sheetData>
    <row r="1" spans="1:69" s="31" customFormat="1" ht="15.5" customHeight="1">
      <c r="A1" s="6"/>
      <c r="B1" s="30"/>
      <c r="C1" s="50"/>
      <c r="D1" s="563" t="s">
        <v>207</v>
      </c>
      <c r="R1" s="31">
        <v>30</v>
      </c>
      <c r="S1" s="31">
        <v>31</v>
      </c>
      <c r="T1" s="31">
        <v>31</v>
      </c>
      <c r="U1" s="31">
        <v>30</v>
      </c>
      <c r="V1" s="31">
        <v>31</v>
      </c>
      <c r="W1" s="31">
        <v>30</v>
      </c>
      <c r="X1" s="31">
        <v>31</v>
      </c>
      <c r="Y1" s="31">
        <v>31</v>
      </c>
      <c r="Z1" s="562">
        <v>28</v>
      </c>
      <c r="AA1" s="562">
        <v>31</v>
      </c>
      <c r="AB1" s="562">
        <v>30</v>
      </c>
      <c r="AC1" s="562">
        <v>31</v>
      </c>
      <c r="AD1" s="562">
        <v>30</v>
      </c>
      <c r="AE1" s="562">
        <v>31</v>
      </c>
      <c r="AF1" s="562">
        <v>31</v>
      </c>
      <c r="AG1" s="562">
        <v>30</v>
      </c>
      <c r="AH1" s="562">
        <v>31</v>
      </c>
      <c r="AI1" s="562">
        <v>30</v>
      </c>
      <c r="AJ1" s="562">
        <v>31</v>
      </c>
      <c r="AK1" s="562">
        <v>31</v>
      </c>
      <c r="AL1" s="562">
        <v>28</v>
      </c>
      <c r="AM1" s="562">
        <v>31</v>
      </c>
      <c r="AN1" s="562">
        <v>30</v>
      </c>
      <c r="AO1" s="562">
        <v>31</v>
      </c>
      <c r="AP1" s="562">
        <v>30</v>
      </c>
      <c r="AQ1" s="562">
        <v>31</v>
      </c>
      <c r="AR1" s="562">
        <v>31</v>
      </c>
      <c r="AS1" s="562">
        <v>30</v>
      </c>
      <c r="AT1" s="562">
        <v>31</v>
      </c>
      <c r="AU1" s="562">
        <v>30</v>
      </c>
      <c r="AV1" s="562">
        <v>31</v>
      </c>
    </row>
    <row r="2" spans="1:69" ht="14.75" customHeight="1" thickBot="1">
      <c r="A2" s="39" t="s">
        <v>196</v>
      </c>
      <c r="B2" s="30"/>
      <c r="C2" s="31"/>
      <c r="D2" s="50"/>
      <c r="E2" s="31"/>
      <c r="F2" s="31"/>
      <c r="G2" s="235">
        <v>43678</v>
      </c>
      <c r="H2" s="235">
        <v>43698</v>
      </c>
      <c r="I2" s="31"/>
      <c r="J2" s="31"/>
      <c r="K2" s="31"/>
      <c r="L2" s="296">
        <f>L6/1000</f>
        <v>31.888097230590823</v>
      </c>
      <c r="M2" s="296">
        <f>M6/1000</f>
        <v>16.827883907470703</v>
      </c>
      <c r="N2" s="296">
        <f t="shared" ref="N2:Y2" si="0">N6/1000</f>
        <v>36.020527630224606</v>
      </c>
      <c r="O2" s="296">
        <f t="shared" si="0"/>
        <v>33.684161457519529</v>
      </c>
      <c r="P2" s="296">
        <f t="shared" si="0"/>
        <v>18.635842199999999</v>
      </c>
      <c r="Q2" s="296">
        <f t="shared" si="0"/>
        <v>29.542833899999998</v>
      </c>
      <c r="R2" s="296">
        <f t="shared" si="0"/>
        <v>14.458839999999999</v>
      </c>
      <c r="S2" s="296">
        <f t="shared" si="0"/>
        <v>18.007720000000003</v>
      </c>
      <c r="T2" s="296">
        <f t="shared" si="0"/>
        <v>15.124660000000002</v>
      </c>
      <c r="U2" s="296">
        <f t="shared" si="0"/>
        <v>26.696860000000001</v>
      </c>
      <c r="V2" s="296">
        <f t="shared" si="0"/>
        <v>14.437240000000001</v>
      </c>
      <c r="W2" s="296">
        <f t="shared" si="0"/>
        <v>22.420850699999999</v>
      </c>
      <c r="X2" s="296">
        <f t="shared" si="0"/>
        <v>18.055042360000002</v>
      </c>
      <c r="Y2" s="296">
        <f t="shared" si="0"/>
        <v>24.4024</v>
      </c>
      <c r="Z2" s="296">
        <f t="shared" ref="Z2:AE2" si="1">Z6/1000</f>
        <v>28.877920000000003</v>
      </c>
      <c r="AA2" s="296">
        <f t="shared" si="1"/>
        <v>23.042922528000002</v>
      </c>
      <c r="AB2" s="296">
        <f t="shared" si="1"/>
        <v>33.906688200000005</v>
      </c>
      <c r="AC2" s="296">
        <f t="shared" si="1"/>
        <v>33.714913788000004</v>
      </c>
      <c r="AD2" s="296">
        <f>AD6/1000</f>
        <v>20.090257854000004</v>
      </c>
      <c r="AE2" s="296">
        <f t="shared" si="1"/>
        <v>18.548406900000003</v>
      </c>
      <c r="AF2" s="296">
        <f t="shared" ref="AF2:AK2" si="2">AF6/1000</f>
        <v>27.909638357999999</v>
      </c>
      <c r="AG2" s="296">
        <f t="shared" si="2"/>
        <v>13.881282000000002</v>
      </c>
      <c r="AH2" s="296">
        <f>AH6/1000</f>
        <v>13.449996600000002</v>
      </c>
      <c r="AI2" s="296">
        <f t="shared" si="2"/>
        <v>17.451211600000001</v>
      </c>
      <c r="AJ2" s="296">
        <f t="shared" si="2"/>
        <v>24.142531513182256</v>
      </c>
      <c r="AK2" s="296">
        <f t="shared" si="2"/>
        <v>24.196265939409447</v>
      </c>
      <c r="AL2" s="296">
        <f t="shared" ref="AL2:AM2" si="3">AL6/1000</f>
        <v>22.448840030320177</v>
      </c>
      <c r="AM2" s="296">
        <f t="shared" si="3"/>
        <v>22.265038661354616</v>
      </c>
      <c r="AN2" s="296">
        <f t="shared" ref="AN2" si="4">AN6/1000</f>
        <v>24.353355201699415</v>
      </c>
      <c r="AO2" s="296">
        <f>AO6/1000</f>
        <v>24.480984175214175</v>
      </c>
      <c r="AP2" s="296">
        <f t="shared" ref="AP2:AQ2" si="5">AP6/1000</f>
        <v>22.081777567392358</v>
      </c>
      <c r="AQ2" s="296">
        <f t="shared" si="5"/>
        <v>22.500354175218042</v>
      </c>
      <c r="AR2" s="296">
        <f t="shared" ref="AR2:AS2" si="6">AR6/1000</f>
        <v>24.814861365996343</v>
      </c>
      <c r="AS2" s="296">
        <f t="shared" si="6"/>
        <v>22.459269137620886</v>
      </c>
      <c r="AT2" s="296">
        <f t="shared" ref="AT2:AU2" si="7">AT6/1000</f>
        <v>22.859229641310613</v>
      </c>
      <c r="AU2" s="296">
        <f t="shared" si="7"/>
        <v>24.22783373095708</v>
      </c>
      <c r="AV2" s="296">
        <f t="shared" ref="AV2" si="8">AV6/1000</f>
        <v>24.532386127333517</v>
      </c>
      <c r="AW2" s="31"/>
      <c r="AX2" s="31"/>
      <c r="AY2" s="31"/>
      <c r="AZ2" s="31"/>
      <c r="BA2" s="31"/>
    </row>
    <row r="3" spans="1:69" s="75" customFormat="1" ht="15" thickBot="1">
      <c r="A3" s="950" t="s">
        <v>33</v>
      </c>
      <c r="B3" s="951"/>
      <c r="C3" s="397"/>
      <c r="D3" s="400"/>
      <c r="E3" s="78">
        <v>43587</v>
      </c>
      <c r="F3" s="78">
        <v>43618</v>
      </c>
      <c r="G3" s="78">
        <v>43648</v>
      </c>
      <c r="H3" s="78">
        <v>43679</v>
      </c>
      <c r="I3" s="251">
        <v>43710</v>
      </c>
      <c r="J3" s="251">
        <v>43740</v>
      </c>
      <c r="K3" s="78">
        <v>43771</v>
      </c>
      <c r="L3" s="280">
        <v>43801</v>
      </c>
      <c r="M3" s="251">
        <v>43832</v>
      </c>
      <c r="N3" s="251">
        <v>43863</v>
      </c>
      <c r="O3" s="78">
        <v>43892</v>
      </c>
      <c r="P3" s="78">
        <v>43923</v>
      </c>
      <c r="Q3" s="78">
        <v>43953</v>
      </c>
      <c r="R3" s="251">
        <v>43984</v>
      </c>
      <c r="S3" s="251">
        <v>44014</v>
      </c>
      <c r="T3" s="251">
        <v>44045</v>
      </c>
      <c r="U3" s="251">
        <v>44076</v>
      </c>
      <c r="V3" s="251">
        <v>44106</v>
      </c>
      <c r="W3" s="251">
        <v>44137</v>
      </c>
      <c r="X3" s="251">
        <v>44167</v>
      </c>
      <c r="Y3" s="251">
        <v>44198</v>
      </c>
      <c r="Z3" s="251">
        <v>44229</v>
      </c>
      <c r="AA3" s="800">
        <v>44257</v>
      </c>
      <c r="AB3" s="800">
        <v>44288</v>
      </c>
      <c r="AC3" s="800">
        <v>44318</v>
      </c>
      <c r="AD3" s="800">
        <v>44349</v>
      </c>
      <c r="AE3" s="800">
        <v>44379</v>
      </c>
      <c r="AF3" s="800">
        <v>44410</v>
      </c>
      <c r="AG3" s="800">
        <v>44441</v>
      </c>
      <c r="AH3" s="251">
        <v>44471</v>
      </c>
      <c r="AI3" s="251">
        <v>44502</v>
      </c>
      <c r="AJ3" s="251">
        <v>44532</v>
      </c>
      <c r="AK3" s="251">
        <v>44563</v>
      </c>
      <c r="AL3" s="251">
        <v>44594</v>
      </c>
      <c r="AM3" s="251">
        <v>44622</v>
      </c>
      <c r="AN3" s="251">
        <v>44653</v>
      </c>
      <c r="AO3" s="251">
        <v>44683</v>
      </c>
      <c r="AP3" s="251">
        <v>44714</v>
      </c>
      <c r="AQ3" s="251">
        <v>44744</v>
      </c>
      <c r="AR3" s="251">
        <v>44775</v>
      </c>
      <c r="AS3" s="251">
        <v>44806</v>
      </c>
      <c r="AT3" s="251">
        <v>44836</v>
      </c>
      <c r="AU3" s="251">
        <v>44867</v>
      </c>
      <c r="AV3" s="251">
        <v>44897</v>
      </c>
      <c r="AW3" s="76"/>
      <c r="AX3" s="655"/>
      <c r="AY3" s="74"/>
      <c r="AZ3" s="74"/>
      <c r="BA3" s="74"/>
    </row>
    <row r="4" spans="1:69">
      <c r="A4" s="21" t="s">
        <v>3</v>
      </c>
      <c r="B4" s="398"/>
      <c r="C4" s="46"/>
      <c r="D4" s="402"/>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38"/>
      <c r="AX4" s="655"/>
      <c r="AY4" s="31"/>
      <c r="AZ4" s="31"/>
      <c r="BA4" s="31"/>
      <c r="BE4" s="212">
        <v>0.25403924107025933</v>
      </c>
      <c r="BF4" s="266">
        <v>0.33483128996932265</v>
      </c>
      <c r="BG4" s="266">
        <v>0.44030814595945017</v>
      </c>
      <c r="BH4" s="266">
        <v>0.52359343951186588</v>
      </c>
      <c r="BI4" s="266">
        <v>0.46103669107740353</v>
      </c>
      <c r="BJ4" s="266">
        <v>0.39779918773241624</v>
      </c>
      <c r="BK4" s="266">
        <v>0.66942577304125628</v>
      </c>
      <c r="BL4" s="266"/>
      <c r="BM4" s="266"/>
      <c r="BN4" s="266"/>
      <c r="BO4" s="266"/>
      <c r="BP4" s="266"/>
      <c r="BQ4" s="266"/>
    </row>
    <row r="5" spans="1:69">
      <c r="A5" s="86" t="s">
        <v>261</v>
      </c>
      <c r="B5" s="394"/>
      <c r="C5" s="38"/>
      <c r="D5" s="403" t="s">
        <v>45</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91">
        <v>46018</v>
      </c>
      <c r="W5" s="83">
        <v>46018</v>
      </c>
      <c r="X5" s="387">
        <v>49624.800000000003</v>
      </c>
      <c r="Y5" s="387">
        <v>49624.80000000001</v>
      </c>
      <c r="Z5" s="291">
        <v>45790.8</v>
      </c>
      <c r="AA5" s="291">
        <v>43641.600000000006</v>
      </c>
      <c r="AB5" s="387">
        <v>47475.62</v>
      </c>
      <c r="AC5" s="291">
        <v>47475.62</v>
      </c>
      <c r="AD5" s="291">
        <v>43641.599999999999</v>
      </c>
      <c r="AE5" s="291">
        <v>43641.600000000006</v>
      </c>
      <c r="AF5" s="291">
        <v>43641.600000000006</v>
      </c>
      <c r="AG5" s="387">
        <v>47475.600000000006</v>
      </c>
      <c r="AH5" s="291">
        <v>43641.600000000006</v>
      </c>
      <c r="AI5" s="291">
        <v>43641.600000000006</v>
      </c>
      <c r="AJ5" s="387">
        <v>47475.600000000006</v>
      </c>
      <c r="AK5" s="387">
        <v>47475.62</v>
      </c>
      <c r="AL5" s="291">
        <v>43641.600000000006</v>
      </c>
      <c r="AM5" s="291">
        <v>43641.600000000006</v>
      </c>
      <c r="AN5" s="387">
        <v>47475.62</v>
      </c>
      <c r="AO5" s="387">
        <v>47475.62</v>
      </c>
      <c r="AP5" s="291">
        <v>43641.600000000006</v>
      </c>
      <c r="AQ5" s="291">
        <v>43641.600000000006</v>
      </c>
      <c r="AR5" s="387">
        <v>47475.600000000006</v>
      </c>
      <c r="AS5" s="291">
        <v>43641.600000000006</v>
      </c>
      <c r="AT5" s="291">
        <v>43641.600000000006</v>
      </c>
      <c r="AU5" s="387">
        <v>47475.600000000006</v>
      </c>
      <c r="AV5" s="387">
        <v>47475.600000000006</v>
      </c>
      <c r="AW5" s="38"/>
      <c r="AX5" s="655"/>
      <c r="AY5" s="655"/>
      <c r="AZ5" s="31"/>
      <c r="BA5" s="31"/>
      <c r="BE5" s="212">
        <v>0.39594825138632178</v>
      </c>
      <c r="BF5" s="266">
        <v>0.44985506108216866</v>
      </c>
      <c r="BG5" s="266">
        <v>0.54112680515879441</v>
      </c>
      <c r="BH5" s="266">
        <v>0.54734175247857253</v>
      </c>
      <c r="BI5" s="266">
        <v>0.79395000579712582</v>
      </c>
      <c r="BJ5" s="266">
        <v>0.5347436121558915</v>
      </c>
      <c r="BK5" s="266">
        <v>0.5117306731540433</v>
      </c>
      <c r="BL5" s="266"/>
      <c r="BM5" s="266"/>
      <c r="BN5" s="266"/>
      <c r="BO5" s="266"/>
      <c r="BP5" s="266"/>
      <c r="BQ5" s="266"/>
    </row>
    <row r="6" spans="1:69">
      <c r="A6" s="87" t="s">
        <v>199</v>
      </c>
      <c r="B6" s="394"/>
      <c r="C6" s="38"/>
      <c r="D6" s="403" t="s">
        <v>45</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v>33714.913788000005</v>
      </c>
      <c r="AD6" s="90">
        <v>20090.257854000003</v>
      </c>
      <c r="AE6" s="90">
        <v>18548.406900000002</v>
      </c>
      <c r="AF6" s="90">
        <v>27909.638358</v>
      </c>
      <c r="AG6" s="90">
        <v>13881.282000000003</v>
      </c>
      <c r="AH6" s="90">
        <v>13449.996600000002</v>
      </c>
      <c r="AI6" s="90">
        <v>17451.211600000002</v>
      </c>
      <c r="AJ6" s="90">
        <f>((AJ59+(AI6/1000)+AJ8+AJ61+AJ10)-AJ109-AJ113-AJ114-AJ115-AJ116-AJ117-AJ118-AJ119-AJ120-AJ121-AJ122-AJ123-AJ124-AJ125-AJ126-AJ127-AJ128-AJ129-AJ130-AJ131-AJ132-AJ133-AJ134-AJ135-AJ136-AJ137-AJ138-AJ139-AJ140-AJ141-AJ142-AJ143-AJ144-AJ145-AJ146-AJ147-AJ151-AJ152-AJ153-AJ154-AJ155-AJ156-AJ157-AJ158-AJ159-AJ160-AJ161-AJ162-AJ163-AJ164-AJ165-AJ166-AJ167-AJ9)*1000</f>
        <v>24142.531513182257</v>
      </c>
      <c r="AK6" s="90">
        <f t="shared" ref="AK6:AV6" si="9">((AK59+(AJ6/1000)+AK8+AK61+AK10)-AK109-AK113-AK114-AK115-AK116-AK117-AK118-AK119-AK120-AK121-AK122-AK123-AK124-AK125-AK126-AK127-AK128-AK129-AK130-AK131-AK132-AK133-AK134-AK135-AK136-AK137-AK138-AK139-AK140-AK141-AK142-AK143-AK144-AK145-AK146-AK147-AK151-AK152-AK153-AK154-AK155-AK156-AK157-AK158-AK159-AK160-AK161-AK162-AK163-AK164-AK165-AK166-AK167-AK9)*1000</f>
        <v>24196.265939409448</v>
      </c>
      <c r="AL6" s="90">
        <f t="shared" si="9"/>
        <v>22448.840030320178</v>
      </c>
      <c r="AM6" s="90">
        <f t="shared" si="9"/>
        <v>22265.038661354614</v>
      </c>
      <c r="AN6" s="90">
        <f t="shared" si="9"/>
        <v>24353.355201699414</v>
      </c>
      <c r="AO6" s="90">
        <f t="shared" si="9"/>
        <v>24480.984175214177</v>
      </c>
      <c r="AP6" s="90">
        <f t="shared" si="9"/>
        <v>22081.777567392357</v>
      </c>
      <c r="AQ6" s="90">
        <f t="shared" si="9"/>
        <v>22500.354175218043</v>
      </c>
      <c r="AR6" s="90">
        <f t="shared" si="9"/>
        <v>24814.861365996345</v>
      </c>
      <c r="AS6" s="90">
        <f t="shared" si="9"/>
        <v>22459.269137620886</v>
      </c>
      <c r="AT6" s="90">
        <f t="shared" si="9"/>
        <v>22859.229641310612</v>
      </c>
      <c r="AU6" s="90">
        <f t="shared" si="9"/>
        <v>24227.833730957082</v>
      </c>
      <c r="AV6" s="90">
        <f t="shared" si="9"/>
        <v>24532.386127333517</v>
      </c>
      <c r="AW6" s="38"/>
      <c r="AX6" s="655"/>
      <c r="AY6" s="655"/>
      <c r="AZ6" s="31"/>
      <c r="BA6" s="31"/>
      <c r="BE6" s="212">
        <v>0.2101324533610899</v>
      </c>
      <c r="BF6" s="266">
        <v>0.2992428217775443</v>
      </c>
      <c r="BG6" s="266">
        <v>0.40911475339945874</v>
      </c>
      <c r="BH6" s="266">
        <v>0.51624568806495075</v>
      </c>
      <c r="BI6" s="266">
        <v>0.39914928946670375</v>
      </c>
      <c r="BJ6" s="266">
        <v>0.3596143769310105</v>
      </c>
      <c r="BK6" s="266">
        <v>0.71339658513420401</v>
      </c>
      <c r="BL6" s="266"/>
      <c r="BM6" s="266"/>
      <c r="BN6" s="266"/>
      <c r="BO6" s="266"/>
      <c r="BP6" s="266"/>
      <c r="BQ6" s="266"/>
    </row>
    <row r="7" spans="1:69">
      <c r="A7" s="393" t="s">
        <v>203</v>
      </c>
      <c r="B7" s="394"/>
      <c r="C7" s="38"/>
      <c r="D7" s="403" t="s">
        <v>46</v>
      </c>
      <c r="E7" s="99">
        <f>E6/E5</f>
        <v>0.22361350896708981</v>
      </c>
      <c r="F7" s="99">
        <f t="shared" ref="F7:N7" si="10">F6/F5</f>
        <v>0.44350019613720032</v>
      </c>
      <c r="G7" s="99">
        <f t="shared" si="10"/>
        <v>0.32362850832648188</v>
      </c>
      <c r="H7" s="116">
        <f t="shared" si="10"/>
        <v>0.39182363423008387</v>
      </c>
      <c r="I7" s="116">
        <f t="shared" si="10"/>
        <v>0.2216113230263459</v>
      </c>
      <c r="J7" s="116">
        <f t="shared" si="10"/>
        <v>0.59643698300303716</v>
      </c>
      <c r="K7" s="116">
        <f t="shared" si="10"/>
        <v>0.56993512537453628</v>
      </c>
      <c r="L7" s="116">
        <f t="shared" si="10"/>
        <v>0.64258389415354455</v>
      </c>
      <c r="M7" s="116">
        <f t="shared" si="10"/>
        <v>0.33910230182228851</v>
      </c>
      <c r="N7" s="116">
        <f t="shared" si="10"/>
        <v>0.72585738643227993</v>
      </c>
      <c r="O7" s="116">
        <f t="shared" ref="O7:AK7" si="11">O6/O5</f>
        <v>0.67877677003271597</v>
      </c>
      <c r="P7" s="116">
        <f t="shared" si="11"/>
        <v>0.37553485757121435</v>
      </c>
      <c r="Q7" s="116">
        <f t="shared" si="11"/>
        <v>0.64516963887942547</v>
      </c>
      <c r="R7" s="392">
        <f t="shared" si="11"/>
        <v>0.31575862400307481</v>
      </c>
      <c r="S7" s="392">
        <f t="shared" si="11"/>
        <v>0.39326065497872936</v>
      </c>
      <c r="T7" s="392">
        <f t="shared" si="11"/>
        <v>0.3302990993824087</v>
      </c>
      <c r="U7" s="392">
        <f t="shared" si="11"/>
        <v>0.58301798614568867</v>
      </c>
      <c r="V7" s="392">
        <f t="shared" si="11"/>
        <v>0.31373027945586512</v>
      </c>
      <c r="W7" s="392">
        <f t="shared" si="11"/>
        <v>0.48721914685557821</v>
      </c>
      <c r="X7" s="392">
        <f t="shared" si="11"/>
        <v>0.36383103528880723</v>
      </c>
      <c r="Y7" s="392">
        <f t="shared" si="11"/>
        <v>0.49173800196675849</v>
      </c>
      <c r="Z7" s="392">
        <f t="shared" si="11"/>
        <v>0.63064895131773191</v>
      </c>
      <c r="AA7" s="392">
        <f t="shared" si="11"/>
        <v>0.52800361416630004</v>
      </c>
      <c r="AB7" s="392">
        <f t="shared" si="11"/>
        <v>0.71419158296405616</v>
      </c>
      <c r="AC7" s="392">
        <f t="shared" si="11"/>
        <v>0.7101521536316957</v>
      </c>
      <c r="AD7" s="392">
        <f t="shared" si="11"/>
        <v>0.46034650090739121</v>
      </c>
      <c r="AE7" s="392">
        <f t="shared" si="11"/>
        <v>0.42501665612626482</v>
      </c>
      <c r="AF7" s="392">
        <f>AF6/AF5</f>
        <v>0.63951913674109095</v>
      </c>
      <c r="AG7" s="392">
        <f t="shared" si="11"/>
        <v>0.29238771073983272</v>
      </c>
      <c r="AH7" s="392">
        <f t="shared" si="11"/>
        <v>0.30819210569731631</v>
      </c>
      <c r="AI7" s="392">
        <f t="shared" si="11"/>
        <v>0.39987561409297551</v>
      </c>
      <c r="AJ7" s="392">
        <f t="shared" si="11"/>
        <v>0.50852504261520137</v>
      </c>
      <c r="AK7" s="867">
        <f t="shared" si="11"/>
        <v>0.50965666039557667</v>
      </c>
      <c r="AL7" s="392">
        <f t="shared" ref="AL7:AT7" si="12">AL6/AL5</f>
        <v>0.51439085712531563</v>
      </c>
      <c r="AM7" s="392">
        <f t="shared" si="12"/>
        <v>0.5101792478129723</v>
      </c>
      <c r="AN7" s="392">
        <f t="shared" si="12"/>
        <v>0.51296550106558725</v>
      </c>
      <c r="AO7" s="392">
        <f t="shared" si="12"/>
        <v>0.51565380663199711</v>
      </c>
      <c r="AP7" s="392">
        <f t="shared" si="12"/>
        <v>0.50598001831721007</v>
      </c>
      <c r="AQ7" s="392">
        <f t="shared" si="12"/>
        <v>0.51557124796565756</v>
      </c>
      <c r="AR7" s="392">
        <f t="shared" si="12"/>
        <v>0.52268662988980319</v>
      </c>
      <c r="AS7" s="392">
        <f t="shared" si="12"/>
        <v>0.51462982882435293</v>
      </c>
      <c r="AT7" s="392">
        <f t="shared" si="12"/>
        <v>0.52379449060782857</v>
      </c>
      <c r="AU7" s="392">
        <f t="shared" ref="AU7:AV7" si="13">AU6/AU5</f>
        <v>0.51032180174567732</v>
      </c>
      <c r="AV7" s="392">
        <f t="shared" si="13"/>
        <v>0.51673672638857671</v>
      </c>
      <c r="AW7" s="38"/>
      <c r="AX7" s="462" t="s">
        <v>228</v>
      </c>
      <c r="AY7" s="31"/>
      <c r="AZ7" s="462" t="s">
        <v>351</v>
      </c>
      <c r="BA7" s="31"/>
    </row>
    <row r="8" spans="1:69">
      <c r="A8" s="96" t="s">
        <v>146</v>
      </c>
      <c r="B8" s="394"/>
      <c r="C8" s="38"/>
      <c r="D8" s="403" t="s">
        <v>44</v>
      </c>
      <c r="E8" s="94"/>
      <c r="F8" s="94"/>
      <c r="G8" s="125"/>
      <c r="H8" s="125">
        <f>3.5+1.5+3.6</f>
        <v>8.6</v>
      </c>
      <c r="I8" s="252">
        <v>2.46</v>
      </c>
      <c r="J8" s="267">
        <v>33</v>
      </c>
      <c r="K8" s="267">
        <v>11.6</v>
      </c>
      <c r="L8" s="290">
        <f>12+2.1</f>
        <v>14.1</v>
      </c>
      <c r="M8" s="125"/>
      <c r="N8" s="322">
        <v>3.4</v>
      </c>
      <c r="O8" s="125"/>
      <c r="P8" s="94"/>
      <c r="Q8" s="94">
        <v>2</v>
      </c>
      <c r="R8" s="125">
        <f>3+0.58</f>
        <v>3.58</v>
      </c>
      <c r="S8" s="94">
        <f>19+4</f>
        <v>23</v>
      </c>
      <c r="T8" s="94">
        <v>27</v>
      </c>
      <c r="U8" s="94">
        <v>13</v>
      </c>
      <c r="V8" s="94">
        <v>7</v>
      </c>
      <c r="W8" s="94">
        <f>32</f>
        <v>32</v>
      </c>
      <c r="X8" s="94">
        <v>20.677</v>
      </c>
      <c r="Y8" s="94">
        <f>1+2+3</f>
        <v>6</v>
      </c>
      <c r="Z8" s="94">
        <v>39</v>
      </c>
      <c r="AA8" s="94">
        <v>37</v>
      </c>
      <c r="AB8" s="290">
        <f>35.5-1-6+1</f>
        <v>29.5</v>
      </c>
      <c r="AC8" s="94">
        <v>35</v>
      </c>
      <c r="AD8" s="125">
        <v>31.5</v>
      </c>
      <c r="AE8" s="125">
        <v>100</v>
      </c>
      <c r="AF8" s="125">
        <v>26</v>
      </c>
      <c r="AG8" s="125">
        <v>51</v>
      </c>
      <c r="AH8" s="125">
        <v>42</v>
      </c>
      <c r="AI8" s="125">
        <f>29+5-2</f>
        <v>32</v>
      </c>
      <c r="AJ8" s="125">
        <v>41</v>
      </c>
      <c r="AK8" s="125">
        <v>61</v>
      </c>
      <c r="AL8" s="125">
        <v>65</v>
      </c>
      <c r="AM8" s="125">
        <v>76</v>
      </c>
      <c r="AN8" s="125">
        <v>87</v>
      </c>
      <c r="AO8" s="125">
        <v>93</v>
      </c>
      <c r="AP8" s="125">
        <v>91</v>
      </c>
      <c r="AQ8" s="125">
        <v>101</v>
      </c>
      <c r="AR8" s="125">
        <v>108</v>
      </c>
      <c r="AS8" s="125">
        <v>91</v>
      </c>
      <c r="AT8" s="125">
        <v>94</v>
      </c>
      <c r="AU8" s="125">
        <v>95</v>
      </c>
      <c r="AV8" s="125">
        <v>105</v>
      </c>
      <c r="AW8" s="38"/>
      <c r="AX8" s="463">
        <f>SUM(Y8:AJ8)</f>
        <v>470</v>
      </c>
      <c r="AY8" s="31"/>
      <c r="AZ8" s="832">
        <f>SUM(AK8:AV8)</f>
        <v>1067</v>
      </c>
      <c r="BA8" s="31"/>
    </row>
    <row r="9" spans="1:69" ht="15" thickBot="1">
      <c r="A9" s="97" t="s">
        <v>48</v>
      </c>
      <c r="B9" s="396"/>
      <c r="C9" s="48"/>
      <c r="D9" s="404" t="s">
        <v>44</v>
      </c>
      <c r="E9" s="95"/>
      <c r="F9" s="95"/>
      <c r="G9" s="95"/>
      <c r="H9" s="95"/>
      <c r="I9" s="250"/>
      <c r="J9" s="95"/>
      <c r="K9" s="95"/>
      <c r="L9" s="95">
        <f>-4</f>
        <v>-4</v>
      </c>
      <c r="M9" s="250"/>
      <c r="N9" s="95">
        <v>-5.97</v>
      </c>
      <c r="O9" s="348">
        <v>5.85</v>
      </c>
      <c r="P9" s="95"/>
      <c r="Q9" s="95"/>
      <c r="R9" s="250"/>
      <c r="S9" s="95"/>
      <c r="T9" s="456"/>
      <c r="U9" s="471">
        <v>-5</v>
      </c>
      <c r="V9" s="95"/>
      <c r="W9" s="95"/>
      <c r="X9" s="95"/>
      <c r="Y9" s="95"/>
      <c r="Z9" s="95"/>
      <c r="AA9" s="95"/>
      <c r="AB9" s="95"/>
      <c r="AC9" s="95"/>
      <c r="AD9" s="95"/>
      <c r="AE9" s="95"/>
      <c r="AF9" s="95">
        <v>-2</v>
      </c>
      <c r="AG9" s="95"/>
      <c r="AH9" s="95"/>
      <c r="AI9" s="250">
        <f>0.5</f>
        <v>0.5</v>
      </c>
      <c r="AJ9" s="95"/>
      <c r="AK9" s="95"/>
      <c r="AL9" s="95"/>
      <c r="AM9" s="95"/>
      <c r="AN9" s="95"/>
      <c r="AO9" s="95"/>
      <c r="AP9" s="95"/>
      <c r="AQ9" s="95"/>
      <c r="AR9" s="95"/>
      <c r="AS9" s="95"/>
      <c r="AT9" s="95"/>
      <c r="AU9" s="95"/>
      <c r="AV9" s="95"/>
      <c r="AW9" s="38"/>
      <c r="AX9" s="31"/>
      <c r="AY9" s="31"/>
      <c r="AZ9" s="31"/>
      <c r="BA9" s="31"/>
    </row>
    <row r="10" spans="1:69" s="31" customFormat="1">
      <c r="A10" s="86" t="s">
        <v>52</v>
      </c>
      <c r="B10" s="293"/>
      <c r="C10" s="685"/>
      <c r="D10" s="88"/>
      <c r="E10" s="114"/>
      <c r="F10" s="115">
        <v>2</v>
      </c>
      <c r="G10" s="114"/>
      <c r="H10" s="114"/>
      <c r="I10" s="114"/>
      <c r="J10" s="114"/>
      <c r="K10" s="114"/>
      <c r="L10" s="114"/>
      <c r="M10" s="114"/>
      <c r="N10" s="114"/>
      <c r="O10" s="114"/>
      <c r="P10" s="114"/>
      <c r="Q10" s="114"/>
      <c r="R10" s="412">
        <v>1.6</v>
      </c>
      <c r="S10" s="114">
        <v>1</v>
      </c>
      <c r="T10" s="114"/>
      <c r="U10" s="114">
        <v>1</v>
      </c>
      <c r="V10" s="412"/>
      <c r="W10" s="412"/>
      <c r="X10" s="412"/>
      <c r="Y10" s="114"/>
      <c r="Z10" s="114"/>
      <c r="AA10" s="114"/>
      <c r="AB10" s="632">
        <v>1.5</v>
      </c>
      <c r="AC10" s="114"/>
      <c r="AD10" s="114"/>
      <c r="AE10" s="114"/>
      <c r="AF10" s="114"/>
      <c r="AG10" s="114"/>
      <c r="AH10" s="689"/>
      <c r="AI10" s="862">
        <v>0.7</v>
      </c>
      <c r="AJ10" s="115">
        <v>0.7</v>
      </c>
      <c r="AK10" s="114"/>
      <c r="AL10" s="114"/>
      <c r="AM10" s="114"/>
      <c r="AN10" s="114"/>
      <c r="AO10" s="114"/>
      <c r="AP10" s="114"/>
      <c r="AQ10" s="114"/>
      <c r="AR10" s="114"/>
      <c r="AS10" s="114"/>
      <c r="AT10" s="114"/>
      <c r="AU10" s="114"/>
      <c r="AV10" s="114"/>
      <c r="AW10" s="38"/>
    </row>
    <row r="11" spans="1:69" s="31" customFormat="1" hidden="1">
      <c r="A11" s="86" t="s">
        <v>145</v>
      </c>
      <c r="B11" s="293"/>
      <c r="C11" s="38"/>
      <c r="D11" s="673"/>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672"/>
      <c r="AF11" s="114"/>
      <c r="AG11" s="689"/>
      <c r="AH11" s="689"/>
      <c r="AI11" s="114"/>
      <c r="AJ11" s="114"/>
      <c r="AK11" s="114"/>
      <c r="AL11" s="114"/>
      <c r="AM11" s="114"/>
      <c r="AN11" s="114"/>
      <c r="AO11" s="114"/>
      <c r="AP11" s="114"/>
      <c r="AQ11" s="114"/>
      <c r="AR11" s="114"/>
      <c r="AS11" s="114"/>
      <c r="AT11" s="114"/>
      <c r="AU11" s="114"/>
      <c r="AV11" s="114"/>
      <c r="AW11" s="38"/>
    </row>
    <row r="12" spans="1:69" ht="15" customHeight="1" thickBot="1">
      <c r="A12" s="39" t="s">
        <v>194</v>
      </c>
      <c r="B12" s="30"/>
      <c r="C12" s="31"/>
      <c r="D12" s="50"/>
      <c r="E12" s="31"/>
      <c r="F12" s="31"/>
      <c r="G12" s="235">
        <v>43678</v>
      </c>
      <c r="H12" s="235">
        <v>43698</v>
      </c>
      <c r="I12" s="31"/>
      <c r="J12" s="31"/>
      <c r="K12" s="31"/>
      <c r="L12" s="296">
        <f t="shared" ref="L12:Q12" si="14">L16/1000</f>
        <v>0</v>
      </c>
      <c r="M12" s="296">
        <f t="shared" si="14"/>
        <v>0</v>
      </c>
      <c r="N12" s="296">
        <f t="shared" si="14"/>
        <v>0</v>
      </c>
      <c r="O12" s="296">
        <f t="shared" si="14"/>
        <v>0</v>
      </c>
      <c r="P12" s="296">
        <f t="shared" si="14"/>
        <v>0</v>
      </c>
      <c r="Q12" s="296">
        <f t="shared" si="14"/>
        <v>8.6043339000000003</v>
      </c>
      <c r="R12" s="296"/>
      <c r="S12" s="296"/>
      <c r="T12" s="296"/>
      <c r="U12" s="296"/>
      <c r="V12" s="296"/>
      <c r="W12" s="296"/>
      <c r="X12" s="296"/>
      <c r="Y12" s="296"/>
      <c r="Z12" s="296"/>
      <c r="AA12" s="296"/>
      <c r="AB12" s="296"/>
      <c r="AC12" s="296"/>
      <c r="AD12" s="296"/>
      <c r="AE12" s="296"/>
      <c r="AF12" s="296"/>
      <c r="AG12" s="296"/>
      <c r="AH12" s="296"/>
      <c r="AI12" s="296"/>
      <c r="AJ12" s="296"/>
      <c r="AK12" s="296"/>
      <c r="AL12" s="296"/>
      <c r="AM12" s="296"/>
      <c r="AN12" s="296"/>
      <c r="AO12" s="296"/>
      <c r="AP12" s="296"/>
      <c r="AQ12" s="296"/>
      <c r="AR12" s="296"/>
      <c r="AS12" s="296"/>
      <c r="AT12" s="296"/>
      <c r="AU12" s="296"/>
      <c r="AV12" s="296"/>
      <c r="AW12" s="38"/>
      <c r="AX12" s="38"/>
      <c r="AY12" s="31"/>
      <c r="AZ12" s="31"/>
      <c r="BA12" s="31"/>
    </row>
    <row r="13" spans="1:69" s="75" customFormat="1" ht="15" thickBot="1">
      <c r="A13" s="950" t="s">
        <v>33</v>
      </c>
      <c r="B13" s="951"/>
      <c r="C13" s="397"/>
      <c r="D13" s="400"/>
      <c r="E13" s="78">
        <v>43587</v>
      </c>
      <c r="F13" s="78">
        <v>43618</v>
      </c>
      <c r="G13" s="78">
        <v>43648</v>
      </c>
      <c r="H13" s="78">
        <v>43679</v>
      </c>
      <c r="I13" s="251">
        <v>43710</v>
      </c>
      <c r="J13" s="251">
        <v>43740</v>
      </c>
      <c r="K13" s="78">
        <v>43771</v>
      </c>
      <c r="L13" s="280">
        <v>43801</v>
      </c>
      <c r="M13" s="251">
        <v>43832</v>
      </c>
      <c r="N13" s="251">
        <v>43863</v>
      </c>
      <c r="O13" s="78">
        <v>43892</v>
      </c>
      <c r="P13" s="78">
        <v>43923</v>
      </c>
      <c r="Q13" s="78">
        <v>43953</v>
      </c>
      <c r="R13" s="251">
        <v>43984</v>
      </c>
      <c r="S13" s="251">
        <v>44014</v>
      </c>
      <c r="T13" s="251">
        <v>44045</v>
      </c>
      <c r="U13" s="251">
        <v>44076</v>
      </c>
      <c r="V13" s="251">
        <v>44106</v>
      </c>
      <c r="W13" s="251">
        <v>44137</v>
      </c>
      <c r="X13" s="251">
        <v>44167</v>
      </c>
      <c r="Y13" s="251">
        <f>Y3</f>
        <v>44198</v>
      </c>
      <c r="Z13" s="251">
        <f t="shared" ref="Z13:AK13" si="15">Z3</f>
        <v>44229</v>
      </c>
      <c r="AA13" s="251">
        <f t="shared" si="15"/>
        <v>44257</v>
      </c>
      <c r="AB13" s="251">
        <f t="shared" si="15"/>
        <v>44288</v>
      </c>
      <c r="AC13" s="251">
        <f t="shared" si="15"/>
        <v>44318</v>
      </c>
      <c r="AD13" s="251">
        <f t="shared" si="15"/>
        <v>44349</v>
      </c>
      <c r="AE13" s="251">
        <f t="shared" si="15"/>
        <v>44379</v>
      </c>
      <c r="AF13" s="251">
        <f t="shared" si="15"/>
        <v>44410</v>
      </c>
      <c r="AG13" s="251">
        <f t="shared" si="15"/>
        <v>44441</v>
      </c>
      <c r="AH13" s="251">
        <f t="shared" si="15"/>
        <v>44471</v>
      </c>
      <c r="AI13" s="251">
        <f t="shared" si="15"/>
        <v>44502</v>
      </c>
      <c r="AJ13" s="251">
        <f t="shared" si="15"/>
        <v>44532</v>
      </c>
      <c r="AK13" s="251">
        <f t="shared" si="15"/>
        <v>44563</v>
      </c>
      <c r="AL13" s="251">
        <f t="shared" ref="AL13:AM13" si="16">AL3</f>
        <v>44594</v>
      </c>
      <c r="AM13" s="251">
        <f t="shared" si="16"/>
        <v>44622</v>
      </c>
      <c r="AN13" s="251">
        <f t="shared" ref="AN13:AO13" si="17">AN3</f>
        <v>44653</v>
      </c>
      <c r="AO13" s="251">
        <f t="shared" si="17"/>
        <v>44683</v>
      </c>
      <c r="AP13" s="251">
        <f t="shared" ref="AP13:AQ13" si="18">AP3</f>
        <v>44714</v>
      </c>
      <c r="AQ13" s="251">
        <f t="shared" si="18"/>
        <v>44744</v>
      </c>
      <c r="AR13" s="251">
        <f t="shared" ref="AR13:AS13" si="19">AR3</f>
        <v>44775</v>
      </c>
      <c r="AS13" s="251">
        <f t="shared" si="19"/>
        <v>44806</v>
      </c>
      <c r="AT13" s="251">
        <f t="shared" ref="AT13:AU13" si="20">AT3</f>
        <v>44836</v>
      </c>
      <c r="AU13" s="251">
        <f t="shared" si="20"/>
        <v>44867</v>
      </c>
      <c r="AV13" s="251">
        <f t="shared" ref="AV13" si="21">AV3</f>
        <v>44897</v>
      </c>
      <c r="AW13" s="73"/>
      <c r="AX13" s="73"/>
      <c r="AY13" s="74"/>
      <c r="AZ13" s="74"/>
      <c r="BA13" s="74"/>
    </row>
    <row r="14" spans="1:69">
      <c r="A14" s="21" t="s">
        <v>3</v>
      </c>
      <c r="B14" s="398"/>
      <c r="C14" s="46"/>
      <c r="D14" s="402"/>
      <c r="E14" s="92"/>
      <c r="F14" s="89"/>
      <c r="G14" s="89"/>
      <c r="H14" s="89"/>
      <c r="I14" s="89"/>
      <c r="J14" s="89"/>
      <c r="K14" s="89"/>
      <c r="L14" s="89"/>
      <c r="M14" s="89"/>
      <c r="N14" s="89"/>
      <c r="O14" s="89"/>
      <c r="P14" s="89"/>
      <c r="Q14" s="89"/>
      <c r="R14" s="405"/>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38"/>
      <c r="AX14" s="38"/>
      <c r="AY14" s="31"/>
      <c r="AZ14" s="31"/>
      <c r="BA14" s="31"/>
    </row>
    <row r="15" spans="1:69">
      <c r="A15" s="86" t="s">
        <v>259</v>
      </c>
      <c r="B15" s="394"/>
      <c r="C15" s="38"/>
      <c r="D15" s="403" t="s">
        <v>45</v>
      </c>
      <c r="E15" s="82"/>
      <c r="F15" s="82"/>
      <c r="G15" s="82"/>
      <c r="H15" s="83"/>
      <c r="I15" s="82"/>
      <c r="J15" s="83"/>
      <c r="K15" s="82"/>
      <c r="L15" s="82"/>
      <c r="M15" s="82"/>
      <c r="N15" s="82"/>
      <c r="O15" s="82"/>
      <c r="P15" s="82"/>
      <c r="Q15" s="387">
        <v>10820</v>
      </c>
      <c r="R15" s="406">
        <v>10820</v>
      </c>
      <c r="S15" s="387">
        <v>10820</v>
      </c>
      <c r="T15" s="387">
        <v>10820</v>
      </c>
      <c r="U15" s="387">
        <v>10820</v>
      </c>
      <c r="V15" s="291">
        <v>7213.6</v>
      </c>
      <c r="W15" s="291">
        <v>7213.6</v>
      </c>
      <c r="X15" s="387">
        <v>10820</v>
      </c>
      <c r="Y15" s="387">
        <v>10820.4</v>
      </c>
      <c r="Z15" s="387">
        <v>10820.4</v>
      </c>
      <c r="AA15" s="387">
        <v>10820.4</v>
      </c>
      <c r="AB15" s="387">
        <v>10820.4</v>
      </c>
      <c r="AC15" s="387">
        <v>10820.4</v>
      </c>
      <c r="AD15" s="387">
        <v>10820.4</v>
      </c>
      <c r="AE15" s="387">
        <v>10820.4</v>
      </c>
      <c r="AF15" s="387">
        <v>10820.4</v>
      </c>
      <c r="AG15" s="387">
        <v>10820.4</v>
      </c>
      <c r="AH15" s="387">
        <v>10820.4</v>
      </c>
      <c r="AI15" s="387">
        <v>10820.4</v>
      </c>
      <c r="AJ15" s="387">
        <v>10820.4</v>
      </c>
      <c r="AK15" s="387">
        <v>10820.4</v>
      </c>
      <c r="AL15" s="387">
        <v>10820.4</v>
      </c>
      <c r="AM15" s="387">
        <v>10820.4</v>
      </c>
      <c r="AN15" s="387">
        <v>10820.4</v>
      </c>
      <c r="AO15" s="387">
        <v>10820.4</v>
      </c>
      <c r="AP15" s="387">
        <v>10820.4</v>
      </c>
      <c r="AQ15" s="387">
        <v>10820.4</v>
      </c>
      <c r="AR15" s="387">
        <v>10820.4</v>
      </c>
      <c r="AS15" s="387">
        <v>10820.4</v>
      </c>
      <c r="AT15" s="387">
        <v>10820.4</v>
      </c>
      <c r="AU15" s="387">
        <v>10820.4</v>
      </c>
      <c r="AV15" s="387">
        <v>10820.4</v>
      </c>
      <c r="AW15" s="38"/>
      <c r="AX15" s="38"/>
      <c r="AY15" s="31"/>
      <c r="AZ15" s="31"/>
      <c r="BA15" s="31"/>
    </row>
    <row r="16" spans="1:69">
      <c r="A16" s="86" t="s">
        <v>197</v>
      </c>
      <c r="B16" s="394"/>
      <c r="C16" s="38"/>
      <c r="D16" s="403" t="s">
        <v>45</v>
      </c>
      <c r="E16" s="90"/>
      <c r="F16" s="90"/>
      <c r="G16" s="90"/>
      <c r="H16" s="90"/>
      <c r="I16" s="90"/>
      <c r="J16" s="90"/>
      <c r="K16" s="90"/>
      <c r="L16" s="90"/>
      <c r="M16" s="90"/>
      <c r="N16" s="90"/>
      <c r="O16" s="90"/>
      <c r="P16" s="90"/>
      <c r="Q16" s="90">
        <v>8604.3338999999996</v>
      </c>
      <c r="R16" s="407">
        <v>4280.92</v>
      </c>
      <c r="S16" s="90">
        <v>4603.84</v>
      </c>
      <c r="T16" s="90">
        <v>5097.9400000000005</v>
      </c>
      <c r="U16" s="90">
        <v>8486.9800000000014</v>
      </c>
      <c r="V16" s="90">
        <v>4215.0621000000001</v>
      </c>
      <c r="W16" s="90">
        <v>5552.8707000000004</v>
      </c>
      <c r="X16" s="90">
        <v>3405.2722000000003</v>
      </c>
      <c r="Y16" s="90">
        <v>8673.82</v>
      </c>
      <c r="Z16" s="90">
        <f>Y16-Z17+((Z55-Z111-Z113-Z114-Z118-Z119-Z120-Z121)*1000)</f>
        <v>4479.3540188754459</v>
      </c>
      <c r="AA16" s="90">
        <v>7425.2542080000003</v>
      </c>
      <c r="AB16" s="90">
        <v>8816.1281999999992</v>
      </c>
      <c r="AC16" s="90">
        <v>6700.0745879999995</v>
      </c>
      <c r="AD16" s="90">
        <v>8681.2604339999998</v>
      </c>
      <c r="AE16" s="90">
        <v>5998.8068999999996</v>
      </c>
      <c r="AF16" s="90">
        <v>8494.6376579999996</v>
      </c>
      <c r="AG16" s="90">
        <v>4459.3620000000001</v>
      </c>
      <c r="AH16" s="90">
        <v>3328.7766000000006</v>
      </c>
      <c r="AI16" s="90">
        <v>6807.8916000000008</v>
      </c>
      <c r="AJ16" s="90">
        <f t="shared" ref="AJ16:AV16" si="22">AI16-AJ17+((AJ55-AJ111-AJ113-AJ114-AJ118-AJ119-AJ120-AJ121)*1000)</f>
        <v>9174.8365476973722</v>
      </c>
      <c r="AK16" s="90">
        <f t="shared" si="22"/>
        <v>5882.8903744425334</v>
      </c>
      <c r="AL16" s="90">
        <f t="shared" si="22"/>
        <v>6989.1443693962838</v>
      </c>
      <c r="AM16" s="90">
        <f t="shared" si="22"/>
        <v>7743.5110640977218</v>
      </c>
      <c r="AN16" s="90">
        <f t="shared" si="22"/>
        <v>7633.0316696486207</v>
      </c>
      <c r="AO16" s="90">
        <f t="shared" si="22"/>
        <v>7018.8368632421825</v>
      </c>
      <c r="AP16" s="90">
        <f t="shared" si="22"/>
        <v>7352.5443862716565</v>
      </c>
      <c r="AQ16" s="90">
        <f t="shared" si="22"/>
        <v>7900.4752433654066</v>
      </c>
      <c r="AR16" s="90">
        <f t="shared" si="22"/>
        <v>7250.3443993669989</v>
      </c>
      <c r="AS16" s="90">
        <f t="shared" si="22"/>
        <v>7395.4831354296475</v>
      </c>
      <c r="AT16" s="90">
        <f t="shared" si="22"/>
        <v>7862.1264960277349</v>
      </c>
      <c r="AU16" s="90">
        <f t="shared" si="22"/>
        <v>8117.6610799546943</v>
      </c>
      <c r="AV16" s="90">
        <f t="shared" si="22"/>
        <v>7979.189477964067</v>
      </c>
      <c r="AW16" s="38"/>
      <c r="AX16" s="38"/>
      <c r="AY16" s="31"/>
      <c r="AZ16" s="31"/>
      <c r="BA16" s="31"/>
    </row>
    <row r="17" spans="1:53">
      <c r="A17" s="86" t="s">
        <v>278</v>
      </c>
      <c r="B17" s="394"/>
      <c r="C17" s="38"/>
      <c r="D17" s="403" t="s">
        <v>45</v>
      </c>
      <c r="E17" s="90"/>
      <c r="F17" s="90"/>
      <c r="G17" s="90"/>
      <c r="H17" s="90"/>
      <c r="I17" s="90"/>
      <c r="J17" s="90"/>
      <c r="K17" s="90"/>
      <c r="L17" s="90"/>
      <c r="M17" s="90"/>
      <c r="N17" s="90"/>
      <c r="O17" s="90"/>
      <c r="P17" s="90"/>
      <c r="Q17" s="90"/>
      <c r="R17" s="407">
        <v>4303.2400800000014</v>
      </c>
      <c r="S17" s="90">
        <v>2500</v>
      </c>
      <c r="T17" s="90">
        <v>8500</v>
      </c>
      <c r="U17" s="90">
        <v>1000</v>
      </c>
      <c r="V17" s="90">
        <v>8000</v>
      </c>
      <c r="W17" s="90">
        <v>5005</v>
      </c>
      <c r="X17" s="90">
        <v>3000</v>
      </c>
      <c r="Y17" s="90">
        <v>7000</v>
      </c>
      <c r="Z17" s="90">
        <v>6000</v>
      </c>
      <c r="AA17" s="90">
        <f>2000</f>
        <v>2000</v>
      </c>
      <c r="AB17" s="90">
        <v>18500</v>
      </c>
      <c r="AC17" s="90">
        <f>6560-300</f>
        <v>6260</v>
      </c>
      <c r="AD17" s="90">
        <v>3900</v>
      </c>
      <c r="AE17" s="90">
        <v>3200</v>
      </c>
      <c r="AF17" s="90">
        <v>14500</v>
      </c>
      <c r="AG17" s="90">
        <v>4500</v>
      </c>
      <c r="AH17" s="819">
        <v>14100</v>
      </c>
      <c r="AI17" s="819">
        <v>17000</v>
      </c>
      <c r="AJ17" s="90">
        <f>3000+9000</f>
        <v>12000</v>
      </c>
      <c r="AK17" s="90">
        <v>3000</v>
      </c>
      <c r="AL17" s="90">
        <v>3000</v>
      </c>
      <c r="AM17" s="90">
        <v>3000</v>
      </c>
      <c r="AN17" s="90">
        <v>3000</v>
      </c>
      <c r="AO17" s="90">
        <v>3000</v>
      </c>
      <c r="AP17" s="90">
        <v>3000</v>
      </c>
      <c r="AQ17" s="90">
        <v>3000</v>
      </c>
      <c r="AR17" s="90">
        <v>3000</v>
      </c>
      <c r="AS17" s="90">
        <v>3000</v>
      </c>
      <c r="AT17" s="90">
        <v>3000</v>
      </c>
      <c r="AU17" s="90">
        <v>3000</v>
      </c>
      <c r="AV17" s="90">
        <v>3000</v>
      </c>
      <c r="AW17" s="38"/>
      <c r="AX17" s="463">
        <f>SUM(Y17:AJ17)</f>
        <v>108960</v>
      </c>
      <c r="AY17" s="31"/>
      <c r="AZ17" s="832">
        <f>SUM(AK17:AV17)</f>
        <v>36000</v>
      </c>
      <c r="BA17" s="31"/>
    </row>
    <row r="18" spans="1:53" ht="15" thickBot="1">
      <c r="A18" s="240" t="s">
        <v>42</v>
      </c>
      <c r="B18" s="396" t="s">
        <v>299</v>
      </c>
      <c r="C18" s="48"/>
      <c r="D18" s="404" t="s">
        <v>46</v>
      </c>
      <c r="E18" s="99" t="e">
        <f>E16/E15</f>
        <v>#DIV/0!</v>
      </c>
      <c r="F18" s="99" t="e">
        <f t="shared" ref="F18:Y18" si="23">F16/F15</f>
        <v>#DIV/0!</v>
      </c>
      <c r="G18" s="99" t="e">
        <f t="shared" si="23"/>
        <v>#DIV/0!</v>
      </c>
      <c r="H18" s="116" t="e">
        <f t="shared" si="23"/>
        <v>#DIV/0!</v>
      </c>
      <c r="I18" s="116" t="e">
        <f t="shared" si="23"/>
        <v>#DIV/0!</v>
      </c>
      <c r="J18" s="116" t="e">
        <f t="shared" si="23"/>
        <v>#DIV/0!</v>
      </c>
      <c r="K18" s="116" t="e">
        <f t="shared" si="23"/>
        <v>#DIV/0!</v>
      </c>
      <c r="L18" s="116" t="e">
        <f t="shared" si="23"/>
        <v>#DIV/0!</v>
      </c>
      <c r="M18" s="116" t="e">
        <f t="shared" si="23"/>
        <v>#DIV/0!</v>
      </c>
      <c r="N18" s="116" t="e">
        <f t="shared" si="23"/>
        <v>#DIV/0!</v>
      </c>
      <c r="O18" s="116" t="e">
        <f t="shared" si="23"/>
        <v>#DIV/0!</v>
      </c>
      <c r="P18" s="116" t="e">
        <f t="shared" si="23"/>
        <v>#DIV/0!</v>
      </c>
      <c r="Q18" s="116">
        <f t="shared" si="23"/>
        <v>0.79522494454713488</v>
      </c>
      <c r="R18" s="430">
        <f t="shared" si="23"/>
        <v>0.39564879852125695</v>
      </c>
      <c r="S18" s="431">
        <f t="shared" si="23"/>
        <v>0.42549353049907579</v>
      </c>
      <c r="T18" s="431">
        <f t="shared" si="23"/>
        <v>0.47115896487985215</v>
      </c>
      <c r="U18" s="431">
        <f t="shared" si="23"/>
        <v>0.7843789279112755</v>
      </c>
      <c r="V18" s="431">
        <f t="shared" si="23"/>
        <v>0.58432157313962518</v>
      </c>
      <c r="W18" s="431">
        <f t="shared" si="23"/>
        <v>0.76977801652434297</v>
      </c>
      <c r="X18" s="431">
        <f t="shared" si="23"/>
        <v>0.31472016635859523</v>
      </c>
      <c r="Y18" s="431">
        <f t="shared" si="23"/>
        <v>0.80161731544120363</v>
      </c>
      <c r="Z18" s="570">
        <f>Z16/Z15</f>
        <v>0.41397305264827972</v>
      </c>
      <c r="AA18" s="570">
        <f t="shared" ref="AA18:AJ18" si="24">AA16/AA15</f>
        <v>0.68622733059775987</v>
      </c>
      <c r="AB18" s="570">
        <f t="shared" si="24"/>
        <v>0.81476915825662632</v>
      </c>
      <c r="AC18" s="570">
        <f t="shared" si="24"/>
        <v>0.61920766219363421</v>
      </c>
      <c r="AD18" s="570">
        <f t="shared" si="24"/>
        <v>0.80230494565820121</v>
      </c>
      <c r="AE18" s="570">
        <f t="shared" si="24"/>
        <v>0.55439788732394368</v>
      </c>
      <c r="AF18" s="570">
        <f>AF16/AF15</f>
        <v>0.78505763724076738</v>
      </c>
      <c r="AG18" s="570">
        <f t="shared" si="24"/>
        <v>0.41212542974381727</v>
      </c>
      <c r="AH18" s="570">
        <f t="shared" si="24"/>
        <v>0.30763895974270827</v>
      </c>
      <c r="AI18" s="570">
        <f>AI16/AI15</f>
        <v>0.62917189752689373</v>
      </c>
      <c r="AJ18" s="570">
        <f t="shared" si="24"/>
        <v>0.84792027537774695</v>
      </c>
      <c r="AK18" s="570">
        <f t="shared" ref="AK18:AP18" si="25">AK16/AK15</f>
        <v>0.54368511094252836</v>
      </c>
      <c r="AL18" s="570">
        <f t="shared" si="25"/>
        <v>0.64592292053863853</v>
      </c>
      <c r="AM18" s="570">
        <f t="shared" si="25"/>
        <v>0.71564000074837553</v>
      </c>
      <c r="AN18" s="570">
        <f t="shared" si="25"/>
        <v>0.70542971328681203</v>
      </c>
      <c r="AO18" s="570">
        <f t="shared" si="25"/>
        <v>0.64866704218348514</v>
      </c>
      <c r="AP18" s="570">
        <f t="shared" si="25"/>
        <v>0.67950763246013612</v>
      </c>
      <c r="AQ18" s="570">
        <f t="shared" ref="AQ18:AR18" si="26">AQ16/AQ15</f>
        <v>0.73014632022526038</v>
      </c>
      <c r="AR18" s="570">
        <f t="shared" si="26"/>
        <v>0.67006251149375251</v>
      </c>
      <c r="AS18" s="570">
        <f t="shared" ref="AS18:AT18" si="27">AS16/AS15</f>
        <v>0.68347594686237545</v>
      </c>
      <c r="AT18" s="570">
        <f t="shared" si="27"/>
        <v>0.72660220472697268</v>
      </c>
      <c r="AU18" s="570">
        <f t="shared" ref="AU18:AV18" si="28">AU16/AU15</f>
        <v>0.7502182063467796</v>
      </c>
      <c r="AV18" s="570">
        <f t="shared" si="28"/>
        <v>0.73742093434291411</v>
      </c>
      <c r="AW18" s="38"/>
      <c r="AX18" s="38"/>
      <c r="AY18" s="31"/>
      <c r="AZ18" s="31"/>
      <c r="BA18" s="31"/>
    </row>
    <row r="19" spans="1:53" s="31" customFormat="1" hidden="1">
      <c r="A19" s="6" t="s">
        <v>204</v>
      </c>
      <c r="B19" s="30"/>
      <c r="R19" s="391">
        <f t="shared" ref="R19:AV19" si="29">R55-R111-R113-R118-R119-R121</f>
        <v>-2.0173819999998344E-2</v>
      </c>
      <c r="S19" s="391">
        <f t="shared" si="29"/>
        <v>5.0584090909090627</v>
      </c>
      <c r="T19" s="391">
        <f t="shared" si="29"/>
        <v>7.5176373626373696</v>
      </c>
      <c r="U19" s="391">
        <f t="shared" si="29"/>
        <v>0.61100000000000709</v>
      </c>
      <c r="V19" s="391">
        <f t="shared" si="29"/>
        <v>4.01</v>
      </c>
      <c r="W19" s="391">
        <f t="shared" si="29"/>
        <v>6.3309999999999977</v>
      </c>
      <c r="X19" s="391">
        <f t="shared" si="29"/>
        <v>1.0260000000000011</v>
      </c>
      <c r="Y19" s="391">
        <f t="shared" si="29"/>
        <v>11.852380729154897</v>
      </c>
      <c r="Z19" s="391">
        <f t="shared" si="29"/>
        <v>6.3055340188754467</v>
      </c>
      <c r="AA19" s="391">
        <f t="shared" si="29"/>
        <v>11.984000000000007</v>
      </c>
      <c r="AB19" s="391">
        <f t="shared" si="29"/>
        <v>19.509000000000011</v>
      </c>
      <c r="AC19" s="391">
        <f t="shared" si="29"/>
        <v>6.1730000000000036</v>
      </c>
      <c r="AD19" s="391">
        <f t="shared" si="29"/>
        <v>12.952</v>
      </c>
      <c r="AE19" s="391">
        <f t="shared" si="29"/>
        <v>-0.19799999999999685</v>
      </c>
      <c r="AF19" s="391">
        <f t="shared" si="29"/>
        <v>25.516651273033133</v>
      </c>
      <c r="AG19" s="391">
        <f t="shared" si="29"/>
        <v>17.629616232137248</v>
      </c>
      <c r="AH19" s="391">
        <f t="shared" si="29"/>
        <v>30.770076812202284</v>
      </c>
      <c r="AI19" s="391">
        <f t="shared" si="29"/>
        <v>24.094000000000008</v>
      </c>
      <c r="AJ19" s="391">
        <f t="shared" si="29"/>
        <v>25.16694494769737</v>
      </c>
      <c r="AK19" s="391">
        <f t="shared" si="29"/>
        <v>12.363122319895847</v>
      </c>
      <c r="AL19" s="391">
        <f t="shared" si="29"/>
        <v>9.9995416661866265</v>
      </c>
      <c r="AM19" s="391">
        <f t="shared" si="29"/>
        <v>8.9294351878521248</v>
      </c>
      <c r="AN19" s="391">
        <f t="shared" si="29"/>
        <v>8.9873288247289835</v>
      </c>
      <c r="AO19" s="391">
        <f t="shared" si="29"/>
        <v>2.385805193593562</v>
      </c>
      <c r="AP19" s="656">
        <f t="shared" si="29"/>
        <v>5.8337075230294744</v>
      </c>
      <c r="AQ19" s="656">
        <f t="shared" si="29"/>
        <v>6.0479308570937498</v>
      </c>
      <c r="AR19" s="656">
        <f t="shared" si="29"/>
        <v>9.3889376491522789</v>
      </c>
      <c r="AS19" s="656">
        <f t="shared" si="29"/>
        <v>9.1451387360626484</v>
      </c>
      <c r="AT19" s="656">
        <f t="shared" si="29"/>
        <v>9.4666433605980878</v>
      </c>
      <c r="AU19" s="656">
        <f t="shared" si="29"/>
        <v>8.7555345839269592</v>
      </c>
      <c r="AV19" s="656">
        <f t="shared" si="29"/>
        <v>8.8615283980093729</v>
      </c>
      <c r="AW19" s="38"/>
      <c r="AX19" s="38"/>
      <c r="AZ19" s="462"/>
    </row>
    <row r="20" spans="1:53" ht="24" outlineLevel="1" thickBot="1">
      <c r="A20" s="39" t="s">
        <v>195</v>
      </c>
      <c r="B20" s="30"/>
      <c r="C20" s="31"/>
      <c r="D20" s="50"/>
      <c r="E20" s="31"/>
      <c r="F20" s="31"/>
      <c r="G20" s="235">
        <v>43678</v>
      </c>
      <c r="H20" s="235">
        <v>43698</v>
      </c>
      <c r="I20" s="31"/>
      <c r="J20" s="31"/>
      <c r="K20" s="31"/>
      <c r="L20" s="296">
        <f t="shared" ref="L20:Q20" si="30">L24/1000</f>
        <v>0</v>
      </c>
      <c r="M20" s="296">
        <f t="shared" si="30"/>
        <v>0</v>
      </c>
      <c r="N20" s="296">
        <f t="shared" si="30"/>
        <v>0</v>
      </c>
      <c r="O20" s="296">
        <f t="shared" si="30"/>
        <v>0</v>
      </c>
      <c r="P20" s="296">
        <f t="shared" si="30"/>
        <v>0</v>
      </c>
      <c r="Q20" s="296">
        <f t="shared" si="30"/>
        <v>20.938500000000001</v>
      </c>
      <c r="R20" s="296"/>
      <c r="S20" s="296"/>
      <c r="T20" s="296"/>
      <c r="U20" s="296"/>
      <c r="V20" s="296"/>
      <c r="W20" s="296"/>
      <c r="X20" s="296"/>
      <c r="Y20" s="296"/>
      <c r="Z20" s="296"/>
      <c r="AA20" s="296"/>
      <c r="AB20" s="296"/>
      <c r="AC20" s="296"/>
      <c r="AD20" s="296"/>
      <c r="AE20" s="296"/>
      <c r="AF20" s="296"/>
      <c r="AG20" s="296"/>
      <c r="AH20" s="296"/>
      <c r="AI20" s="296"/>
      <c r="AJ20" s="296"/>
      <c r="AK20" s="296"/>
      <c r="AL20" s="296"/>
      <c r="AM20" s="296"/>
      <c r="AN20" s="296"/>
      <c r="AO20" s="296"/>
      <c r="AP20" s="296"/>
      <c r="AQ20" s="296"/>
      <c r="AR20" s="296"/>
      <c r="AS20" s="296"/>
      <c r="AT20" s="296"/>
      <c r="AU20" s="296"/>
      <c r="AV20" s="296"/>
      <c r="AW20" s="38"/>
      <c r="AX20" s="38"/>
      <c r="AY20" s="31"/>
      <c r="AZ20" s="31"/>
      <c r="BA20" s="31"/>
    </row>
    <row r="21" spans="1:53" s="75" customFormat="1" ht="15" outlineLevel="1" thickBot="1">
      <c r="A21" s="950" t="s">
        <v>33</v>
      </c>
      <c r="B21" s="951"/>
      <c r="C21" s="385"/>
      <c r="D21" s="386"/>
      <c r="E21" s="77">
        <v>43587</v>
      </c>
      <c r="F21" s="78">
        <v>43618</v>
      </c>
      <c r="G21" s="78">
        <v>43648</v>
      </c>
      <c r="H21" s="78">
        <v>43679</v>
      </c>
      <c r="I21" s="251">
        <v>43710</v>
      </c>
      <c r="J21" s="251">
        <v>43740</v>
      </c>
      <c r="K21" s="78">
        <v>43771</v>
      </c>
      <c r="L21" s="280">
        <v>43801</v>
      </c>
      <c r="M21" s="251">
        <v>43832</v>
      </c>
      <c r="N21" s="251">
        <v>43863</v>
      </c>
      <c r="O21" s="78">
        <v>43892</v>
      </c>
      <c r="P21" s="78">
        <v>43923</v>
      </c>
      <c r="Q21" s="78">
        <v>43953</v>
      </c>
      <c r="R21" s="251">
        <v>43984</v>
      </c>
      <c r="S21" s="251">
        <v>44014</v>
      </c>
      <c r="T21" s="251">
        <v>44045</v>
      </c>
      <c r="U21" s="251">
        <v>44076</v>
      </c>
      <c r="V21" s="251">
        <v>44106</v>
      </c>
      <c r="W21" s="251">
        <v>44137</v>
      </c>
      <c r="X21" s="251">
        <v>44167</v>
      </c>
      <c r="Y21" s="251">
        <f>Y3</f>
        <v>44198</v>
      </c>
      <c r="Z21" s="251">
        <f t="shared" ref="Z21:AK21" si="31">Z3</f>
        <v>44229</v>
      </c>
      <c r="AA21" s="251">
        <f t="shared" si="31"/>
        <v>44257</v>
      </c>
      <c r="AB21" s="251">
        <f t="shared" si="31"/>
        <v>44288</v>
      </c>
      <c r="AC21" s="251">
        <f t="shared" si="31"/>
        <v>44318</v>
      </c>
      <c r="AD21" s="251">
        <f t="shared" si="31"/>
        <v>44349</v>
      </c>
      <c r="AE21" s="251">
        <f t="shared" si="31"/>
        <v>44379</v>
      </c>
      <c r="AF21" s="251">
        <f t="shared" si="31"/>
        <v>44410</v>
      </c>
      <c r="AG21" s="251">
        <f t="shared" si="31"/>
        <v>44441</v>
      </c>
      <c r="AH21" s="251">
        <f t="shared" si="31"/>
        <v>44471</v>
      </c>
      <c r="AI21" s="251">
        <f t="shared" si="31"/>
        <v>44502</v>
      </c>
      <c r="AJ21" s="251">
        <f t="shared" si="31"/>
        <v>44532</v>
      </c>
      <c r="AK21" s="251">
        <f t="shared" si="31"/>
        <v>44563</v>
      </c>
      <c r="AL21" s="251">
        <f t="shared" ref="AL21:AM21" si="32">AL3</f>
        <v>44594</v>
      </c>
      <c r="AM21" s="251">
        <f t="shared" si="32"/>
        <v>44622</v>
      </c>
      <c r="AN21" s="251">
        <f t="shared" ref="AN21:AO21" si="33">AN3</f>
        <v>44653</v>
      </c>
      <c r="AO21" s="251">
        <f t="shared" si="33"/>
        <v>44683</v>
      </c>
      <c r="AP21" s="251">
        <f t="shared" ref="AP21:AQ21" si="34">AP3</f>
        <v>44714</v>
      </c>
      <c r="AQ21" s="251">
        <f t="shared" si="34"/>
        <v>44744</v>
      </c>
      <c r="AR21" s="251">
        <f t="shared" ref="AR21:AS21" si="35">AR3</f>
        <v>44775</v>
      </c>
      <c r="AS21" s="251">
        <f t="shared" si="35"/>
        <v>44806</v>
      </c>
      <c r="AT21" s="251">
        <f t="shared" ref="AT21:AU21" si="36">AT3</f>
        <v>44836</v>
      </c>
      <c r="AU21" s="251">
        <f t="shared" si="36"/>
        <v>44867</v>
      </c>
      <c r="AV21" s="251">
        <f t="shared" ref="AV21" si="37">AV3</f>
        <v>44897</v>
      </c>
      <c r="AW21" s="31"/>
      <c r="AX21" s="73"/>
      <c r="AY21" s="74"/>
      <c r="AZ21" s="74"/>
      <c r="BA21" s="74"/>
    </row>
    <row r="22" spans="1:53" outlineLevel="1">
      <c r="A22" s="21" t="s">
        <v>3</v>
      </c>
      <c r="B22" s="398"/>
      <c r="C22" s="46"/>
      <c r="D22" s="402"/>
      <c r="E22" s="92"/>
      <c r="F22" s="89"/>
      <c r="G22" s="89"/>
      <c r="H22" s="89"/>
      <c r="I22" s="89"/>
      <c r="J22" s="89"/>
      <c r="K22" s="89"/>
      <c r="L22" s="89"/>
      <c r="M22" s="89"/>
      <c r="N22" s="89"/>
      <c r="O22" s="89"/>
      <c r="P22" s="89"/>
      <c r="Q22" s="89"/>
      <c r="R22" s="405"/>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38"/>
      <c r="AX22" s="38"/>
      <c r="AY22" s="31"/>
      <c r="AZ22" s="31"/>
      <c r="BA22" s="31"/>
    </row>
    <row r="23" spans="1:53" outlineLevel="1">
      <c r="A23" s="86" t="s">
        <v>258</v>
      </c>
      <c r="B23" s="394"/>
      <c r="C23" s="38"/>
      <c r="D23" s="403" t="s">
        <v>45</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87">
        <v>38804.400000000001</v>
      </c>
      <c r="W23" s="387">
        <v>38804.400000000001</v>
      </c>
      <c r="X23" s="387">
        <v>38804.800000000003</v>
      </c>
      <c r="Y23" s="387">
        <v>38804.400000000009</v>
      </c>
      <c r="Z23" s="291">
        <v>34970.400000000001</v>
      </c>
      <c r="AA23" s="291">
        <v>32821.200000000004</v>
      </c>
      <c r="AB23" s="387">
        <v>36655.22</v>
      </c>
      <c r="AC23" s="291">
        <v>36655.22</v>
      </c>
      <c r="AD23" s="291">
        <v>32821.200000000004</v>
      </c>
      <c r="AE23" s="291">
        <v>32821.200000000004</v>
      </c>
      <c r="AF23" s="387">
        <v>36655.200000000004</v>
      </c>
      <c r="AG23" s="387">
        <v>36655.200000000004</v>
      </c>
      <c r="AH23" s="291">
        <v>32821.200000000004</v>
      </c>
      <c r="AI23" s="291">
        <v>32821.200000000004</v>
      </c>
      <c r="AJ23" s="387">
        <v>36655.200000000004</v>
      </c>
      <c r="AK23" s="387">
        <v>36655.22</v>
      </c>
      <c r="AL23" s="291">
        <v>32821.200000000004</v>
      </c>
      <c r="AM23" s="291">
        <v>32821.200000000004</v>
      </c>
      <c r="AN23" s="387">
        <v>36655.22</v>
      </c>
      <c r="AO23" s="387">
        <v>36655.22</v>
      </c>
      <c r="AP23" s="291">
        <v>32821.200000000004</v>
      </c>
      <c r="AQ23" s="291">
        <v>32821.200000000004</v>
      </c>
      <c r="AR23" s="387">
        <v>36655.200000000004</v>
      </c>
      <c r="AS23" s="291">
        <v>32821.200000000004</v>
      </c>
      <c r="AT23" s="291">
        <v>32821.200000000004</v>
      </c>
      <c r="AU23" s="387">
        <v>36655.200000000004</v>
      </c>
      <c r="AV23" s="387">
        <v>36655.200000000004</v>
      </c>
      <c r="AW23" s="38"/>
      <c r="AX23" s="38"/>
      <c r="AY23" s="31"/>
      <c r="AZ23" s="31"/>
      <c r="BA23" s="31"/>
    </row>
    <row r="24" spans="1:53" outlineLevel="1">
      <c r="A24" s="87" t="s">
        <v>198</v>
      </c>
      <c r="B24" s="394"/>
      <c r="C24" s="38"/>
      <c r="D24" s="403" t="s">
        <v>45</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Y24+Z17+((Z56+Z61+Z8-Z9+Z10-Z112-Z115-Z122-Z123-Z124-Z125-Z126-Z127-Z128-Z129-Z130-Z131-Z132-Z133-Z134-Z135-Z136-Z137-Z138-Z139-Z140-Z141-Z142-Z143-Z144-Z145-Z146-Z147-Z151-Z152-Z153-Z154-Z155-Z156-Z157-Z158-Z159-Z160-Z161-Z162-Z163-Z164-Z165-Z166-Z167)*1000)</f>
        <v>25479.838805474872</v>
      </c>
      <c r="AA24" s="90">
        <v>15617.668320000001</v>
      </c>
      <c r="AB24" s="90">
        <v>25090.560000000001</v>
      </c>
      <c r="AC24" s="90">
        <v>27014.839200000002</v>
      </c>
      <c r="AD24" s="90">
        <f>AC24+AD17+((AD56+AD61+AD8-AD9+AD10-AD112-AD115-AD122-AD123-AD124-AD125-AD126-AD127-AD128-AD129-AD130-AD131-AD132-AD133-AD134-AD135-AD136-AD137-AD138-AD139-AD140-AD141-AD142-AD143-AD144-AD145-AD146-AD147-AD151-AD152-AD153-AD154-AD155-AD156-AD157-AD158-AD159-AD160-AD161-AD162-AD163-AD164-AD165-AD166-AD167)*1000)</f>
        <v>12951.692701773027</v>
      </c>
      <c r="AE24" s="90">
        <f>AD24+AE17+((AE56+AE61+AE8-AE9+AE10-AE112-AE115-AE122-AE123-AE124-AE125-AE126-AE127-AE128-AE129-AE130-AE131-AE132-AE133-AE134-AE135-AE136-AE137-AE138-AE139-AE140-AE141-AE142-AE143-AE144-AE145-AE146-AE147-AE151-AE152-AE153-AE154-AE155-AE156-AE157-AE158-AE159-AE160-AE161-AE162-AE163-AE164-AE165-AE166-AE167)*1000)</f>
        <v>14310.692701773016</v>
      </c>
      <c r="AF24" s="90">
        <v>19415.000700000001</v>
      </c>
      <c r="AG24" s="90">
        <v>9421.9200000000019</v>
      </c>
      <c r="AH24" s="90">
        <v>10121.220000000001</v>
      </c>
      <c r="AI24" s="90">
        <v>10643.32</v>
      </c>
      <c r="AJ24" s="90">
        <f>AI24+AJ17+((AJ56+AJ61+AJ8-AJ9+AJ10-AJ112-AJ115-AJ116-AJ117-AJ122-AJ123-AJ124-AJ125-AJ126-AJ127-AJ128-AJ129-AJ130-AJ131-AJ132-AJ133-AJ134-AJ135-AJ136-AJ137-AJ138-AJ139-AJ140-AJ141-AJ142-AJ143-AJ144-AJ145-AJ146-AJ147-AJ151-AJ152-AJ153-AJ154-AJ155-AJ156-AJ157-AJ158-AJ159-AJ160-AJ161-AJ162-AJ163-AJ164-AJ165-AJ166-AJ167)*1000)</f>
        <v>14967.694965484894</v>
      </c>
      <c r="AK24" s="90">
        <f t="shared" ref="AK24:AV24" si="38">AJ24+AK17+((AK56+AK61+AK8-AK9+AK10-AK112-AK115-AK116-AK117-AK122-AK123-AK124-AK125-AK126-AK127-AK128-AK129-AK130-AK131-AK132-AK133-AK134-AK135-AK136-AK137-AK138-AK139-AK140-AK141-AK142-AK143-AK144-AK145-AK146-AK147-AK151-AK152-AK153-AK154-AK155-AK156-AK157-AK158-AK159-AK160-AK161-AK162-AK163-AK164-AK165-AK166-AK167)*1000)</f>
        <v>18313.37556496698</v>
      </c>
      <c r="AL24" s="90">
        <f t="shared" si="38"/>
        <v>15459.695660924015</v>
      </c>
      <c r="AM24" s="90">
        <f t="shared" si="38"/>
        <v>14521.527597257029</v>
      </c>
      <c r="AN24" s="90">
        <f t="shared" si="38"/>
        <v>16720.32353205093</v>
      </c>
      <c r="AO24" s="90">
        <f t="shared" si="38"/>
        <v>17462.147311972141</v>
      </c>
      <c r="AP24" s="90">
        <f t="shared" si="38"/>
        <v>14729.233181120853</v>
      </c>
      <c r="AQ24" s="90">
        <f t="shared" si="38"/>
        <v>14599.878931852862</v>
      </c>
      <c r="AR24" s="90">
        <f t="shared" si="38"/>
        <v>17564.516966629573</v>
      </c>
      <c r="AS24" s="90">
        <f t="shared" si="38"/>
        <v>15063.786002191478</v>
      </c>
      <c r="AT24" s="90">
        <f t="shared" si="38"/>
        <v>14997.103145283161</v>
      </c>
      <c r="AU24" s="90">
        <f t="shared" si="38"/>
        <v>16110.172651002678</v>
      </c>
      <c r="AV24" s="90">
        <f t="shared" si="38"/>
        <v>16553.196649369798</v>
      </c>
      <c r="AW24" s="38"/>
      <c r="AX24" s="38"/>
      <c r="AY24" s="31"/>
      <c r="AZ24" s="31"/>
      <c r="BA24" s="31"/>
    </row>
    <row r="25" spans="1:53" ht="15" outlineLevel="1" thickBot="1">
      <c r="A25" s="240" t="s">
        <v>223</v>
      </c>
      <c r="B25" s="396"/>
      <c r="C25" s="48"/>
      <c r="D25" s="404" t="s">
        <v>46</v>
      </c>
      <c r="E25" s="99" t="e">
        <f>E24/E23</f>
        <v>#DIV/0!</v>
      </c>
      <c r="F25" s="99" t="e">
        <f t="shared" ref="F25:AJ25" si="39">F24/F23</f>
        <v>#DIV/0!</v>
      </c>
      <c r="G25" s="99" t="e">
        <f t="shared" si="39"/>
        <v>#DIV/0!</v>
      </c>
      <c r="H25" s="116" t="e">
        <f t="shared" si="39"/>
        <v>#DIV/0!</v>
      </c>
      <c r="I25" s="116" t="e">
        <f t="shared" si="39"/>
        <v>#DIV/0!</v>
      </c>
      <c r="J25" s="116" t="e">
        <f t="shared" si="39"/>
        <v>#DIV/0!</v>
      </c>
      <c r="K25" s="116" t="e">
        <f t="shared" si="39"/>
        <v>#DIV/0!</v>
      </c>
      <c r="L25" s="116" t="e">
        <f t="shared" si="39"/>
        <v>#DIV/0!</v>
      </c>
      <c r="M25" s="116" t="e">
        <f t="shared" si="39"/>
        <v>#DIV/0!</v>
      </c>
      <c r="N25" s="116" t="e">
        <f t="shared" si="39"/>
        <v>#DIV/0!</v>
      </c>
      <c r="O25" s="116" t="e">
        <f t="shared" si="39"/>
        <v>#DIV/0!</v>
      </c>
      <c r="P25" s="116" t="e">
        <f t="shared" si="39"/>
        <v>#DIV/0!</v>
      </c>
      <c r="Q25" s="116">
        <f t="shared" si="39"/>
        <v>0.59874237935649166</v>
      </c>
      <c r="R25" s="430">
        <f t="shared" si="39"/>
        <v>0.29104052523819868</v>
      </c>
      <c r="S25" s="431">
        <f t="shared" si="39"/>
        <v>0.38328777151223303</v>
      </c>
      <c r="T25" s="431">
        <f t="shared" si="39"/>
        <v>0.28671691811454131</v>
      </c>
      <c r="U25" s="431">
        <f t="shared" si="39"/>
        <v>0.5207167122284877</v>
      </c>
      <c r="V25" s="431">
        <f t="shared" si="39"/>
        <v>0.26310882271082664</v>
      </c>
      <c r="W25" s="431">
        <f t="shared" si="39"/>
        <v>0.43469245755635955</v>
      </c>
      <c r="X25" s="431">
        <f t="shared" si="39"/>
        <v>0.3775246917907063</v>
      </c>
      <c r="Y25" s="431">
        <f t="shared" si="39"/>
        <v>0.40532980795992202</v>
      </c>
      <c r="Z25" s="431">
        <f t="shared" si="39"/>
        <v>0.72861159167395484</v>
      </c>
      <c r="AA25" s="431">
        <f t="shared" si="39"/>
        <v>0.47584086870681142</v>
      </c>
      <c r="AB25" s="431">
        <f t="shared" si="39"/>
        <v>0.68450168898181485</v>
      </c>
      <c r="AC25" s="431">
        <f t="shared" si="39"/>
        <v>0.73699841932472376</v>
      </c>
      <c r="AD25" s="431">
        <f t="shared" si="39"/>
        <v>0.39461362478437795</v>
      </c>
      <c r="AE25" s="431">
        <f t="shared" si="39"/>
        <v>0.43601978909281242</v>
      </c>
      <c r="AF25" s="431">
        <f t="shared" si="39"/>
        <v>0.52966565998821447</v>
      </c>
      <c r="AG25" s="431">
        <f t="shared" si="39"/>
        <v>0.25704183853859752</v>
      </c>
      <c r="AH25" s="431">
        <f t="shared" si="39"/>
        <v>0.30837446528463308</v>
      </c>
      <c r="AI25" s="431">
        <f t="shared" si="39"/>
        <v>0.32428186659841807</v>
      </c>
      <c r="AJ25" s="431">
        <f t="shared" si="39"/>
        <v>0.40833756098684204</v>
      </c>
      <c r="AK25" s="431">
        <f t="shared" ref="AK25:AP25" si="40">AK24/AK23</f>
        <v>0.49961166690493142</v>
      </c>
      <c r="AL25" s="431">
        <f t="shared" si="40"/>
        <v>0.47102774002547176</v>
      </c>
      <c r="AM25" s="431">
        <f t="shared" si="40"/>
        <v>0.44244353031750899</v>
      </c>
      <c r="AN25" s="431">
        <f t="shared" si="40"/>
        <v>0.45615122572040023</v>
      </c>
      <c r="AO25" s="431">
        <f t="shared" si="40"/>
        <v>0.4763891012513945</v>
      </c>
      <c r="AP25" s="431">
        <f t="shared" si="40"/>
        <v>0.44877192732504756</v>
      </c>
      <c r="AQ25" s="431">
        <f t="shared" ref="AQ25:AR25" si="41">AQ24/AQ23</f>
        <v>0.44483074756111474</v>
      </c>
      <c r="AR25" s="431">
        <f t="shared" si="41"/>
        <v>0.47918213423005662</v>
      </c>
      <c r="AS25" s="431">
        <f t="shared" ref="AS25:AT25" si="42">AS24/AS23</f>
        <v>0.45896512017206792</v>
      </c>
      <c r="AT25" s="431">
        <f t="shared" si="42"/>
        <v>0.45693341941437726</v>
      </c>
      <c r="AU25" s="431">
        <f t="shared" ref="AU25:AV25" si="43">AU24/AU23</f>
        <v>0.43950579047454869</v>
      </c>
      <c r="AV25" s="431">
        <f t="shared" si="43"/>
        <v>0.45159204285803367</v>
      </c>
      <c r="AW25" s="38"/>
      <c r="AX25" s="38"/>
      <c r="AY25" s="31"/>
      <c r="AZ25" s="31"/>
      <c r="BA25" s="31"/>
    </row>
    <row r="26" spans="1:53" ht="16" outlineLevel="1" thickBot="1">
      <c r="A26" s="573" t="s">
        <v>276</v>
      </c>
      <c r="B26" s="574"/>
      <c r="C26" s="575"/>
      <c r="D26" s="576"/>
      <c r="E26" s="31"/>
      <c r="F26" s="31"/>
      <c r="G26" s="235">
        <v>43678</v>
      </c>
      <c r="H26" s="235">
        <v>43698</v>
      </c>
      <c r="I26" s="31"/>
      <c r="J26" s="31"/>
      <c r="K26" s="31"/>
      <c r="L26" s="296">
        <f t="shared" ref="L26:Q26" si="44">L30/1000</f>
        <v>0</v>
      </c>
      <c r="M26" s="296">
        <f t="shared" si="44"/>
        <v>0</v>
      </c>
      <c r="N26" s="296">
        <f t="shared" si="44"/>
        <v>0</v>
      </c>
      <c r="O26" s="296">
        <f t="shared" si="44"/>
        <v>0</v>
      </c>
      <c r="P26" s="296">
        <f t="shared" si="44"/>
        <v>0</v>
      </c>
      <c r="Q26" s="296">
        <f t="shared" si="44"/>
        <v>0</v>
      </c>
      <c r="R26" s="296"/>
      <c r="S26" s="296"/>
      <c r="T26" s="296"/>
      <c r="U26" s="296"/>
      <c r="V26" s="296"/>
      <c r="W26" s="296"/>
      <c r="X26" s="296"/>
      <c r="Y26" s="296"/>
      <c r="Z26" s="296"/>
      <c r="AA26" s="296"/>
      <c r="AB26" s="296"/>
      <c r="AC26" s="296"/>
      <c r="AD26" s="296"/>
      <c r="AE26" s="296"/>
      <c r="AF26" s="296"/>
      <c r="AG26" s="296"/>
      <c r="AH26" s="296"/>
      <c r="AI26" s="296"/>
      <c r="AJ26" s="296"/>
      <c r="AK26" s="296"/>
      <c r="AL26" s="296"/>
      <c r="AM26" s="296"/>
      <c r="AN26" s="296"/>
      <c r="AO26" s="296"/>
      <c r="AP26" s="296"/>
      <c r="AQ26" s="296"/>
      <c r="AR26" s="296"/>
      <c r="AS26" s="296"/>
      <c r="AT26" s="296"/>
      <c r="AU26" s="296"/>
      <c r="AV26" s="296"/>
      <c r="AW26" s="38"/>
      <c r="AX26" s="38"/>
      <c r="AY26" s="31"/>
      <c r="AZ26" s="31"/>
      <c r="BA26" s="31"/>
    </row>
    <row r="27" spans="1:53" s="75" customFormat="1" ht="15" outlineLevel="1" thickBot="1">
      <c r="A27" s="953" t="s">
        <v>33</v>
      </c>
      <c r="B27" s="954"/>
      <c r="C27" s="577"/>
      <c r="D27" s="578"/>
      <c r="E27" s="77">
        <v>43587</v>
      </c>
      <c r="F27" s="78">
        <v>43618</v>
      </c>
      <c r="G27" s="78">
        <v>43648</v>
      </c>
      <c r="H27" s="78">
        <v>43679</v>
      </c>
      <c r="I27" s="251">
        <v>43710</v>
      </c>
      <c r="J27" s="251">
        <v>43740</v>
      </c>
      <c r="K27" s="78">
        <v>43771</v>
      </c>
      <c r="L27" s="280">
        <v>43801</v>
      </c>
      <c r="M27" s="251">
        <v>43832</v>
      </c>
      <c r="N27" s="251">
        <v>43863</v>
      </c>
      <c r="O27" s="78">
        <v>43892</v>
      </c>
      <c r="P27" s="78">
        <v>43923</v>
      </c>
      <c r="Q27" s="78">
        <v>43953</v>
      </c>
      <c r="R27" s="251">
        <v>43984</v>
      </c>
      <c r="S27" s="251">
        <v>44014</v>
      </c>
      <c r="T27" s="251">
        <v>44045</v>
      </c>
      <c r="U27" s="251">
        <v>44076</v>
      </c>
      <c r="V27" s="251">
        <v>44106</v>
      </c>
      <c r="W27" s="251">
        <v>44137</v>
      </c>
      <c r="X27" s="251">
        <v>44167</v>
      </c>
      <c r="Y27" s="251">
        <v>44198</v>
      </c>
      <c r="Z27" s="251">
        <f t="shared" ref="Z27:AL27" si="45">Z3</f>
        <v>44229</v>
      </c>
      <c r="AA27" s="251">
        <f t="shared" si="45"/>
        <v>44257</v>
      </c>
      <c r="AB27" s="251">
        <f t="shared" si="45"/>
        <v>44288</v>
      </c>
      <c r="AC27" s="251">
        <f t="shared" si="45"/>
        <v>44318</v>
      </c>
      <c r="AD27" s="251">
        <f t="shared" si="45"/>
        <v>44349</v>
      </c>
      <c r="AE27" s="251">
        <f t="shared" si="45"/>
        <v>44379</v>
      </c>
      <c r="AF27" s="251">
        <f t="shared" si="45"/>
        <v>44410</v>
      </c>
      <c r="AG27" s="251">
        <f t="shared" si="45"/>
        <v>44441</v>
      </c>
      <c r="AH27" s="251">
        <f t="shared" si="45"/>
        <v>44471</v>
      </c>
      <c r="AI27" s="251">
        <f t="shared" si="45"/>
        <v>44502</v>
      </c>
      <c r="AJ27" s="251">
        <f t="shared" si="45"/>
        <v>44532</v>
      </c>
      <c r="AK27" s="251">
        <f t="shared" si="45"/>
        <v>44563</v>
      </c>
      <c r="AL27" s="251">
        <f t="shared" si="45"/>
        <v>44594</v>
      </c>
      <c r="AM27" s="251">
        <f t="shared" ref="AM27:AN27" si="46">AM3</f>
        <v>44622</v>
      </c>
      <c r="AN27" s="251">
        <f t="shared" si="46"/>
        <v>44653</v>
      </c>
      <c r="AO27" s="251">
        <f t="shared" ref="AO27:AP27" si="47">AO3</f>
        <v>44683</v>
      </c>
      <c r="AP27" s="251">
        <f t="shared" si="47"/>
        <v>44714</v>
      </c>
      <c r="AQ27" s="251">
        <f t="shared" ref="AQ27:AR27" si="48">AQ3</f>
        <v>44744</v>
      </c>
      <c r="AR27" s="251">
        <f t="shared" si="48"/>
        <v>44775</v>
      </c>
      <c r="AS27" s="251">
        <f t="shared" ref="AS27:AT27" si="49">AS3</f>
        <v>44806</v>
      </c>
      <c r="AT27" s="251">
        <f t="shared" si="49"/>
        <v>44836</v>
      </c>
      <c r="AU27" s="251">
        <f t="shared" ref="AU27:AV27" si="50">AU3</f>
        <v>44867</v>
      </c>
      <c r="AV27" s="251">
        <f t="shared" si="50"/>
        <v>44897</v>
      </c>
      <c r="AW27" s="31"/>
      <c r="AX27" s="73"/>
      <c r="AY27" s="74"/>
      <c r="AZ27" s="74"/>
      <c r="BA27" s="74"/>
    </row>
    <row r="28" spans="1:53" outlineLevel="1">
      <c r="A28" s="579" t="s">
        <v>3</v>
      </c>
      <c r="B28" s="580"/>
      <c r="C28" s="581"/>
      <c r="D28" s="582"/>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38"/>
      <c r="AX28" s="38"/>
      <c r="AY28" s="31"/>
      <c r="AZ28" s="31"/>
      <c r="BA28" s="31"/>
    </row>
    <row r="29" spans="1:53" outlineLevel="1">
      <c r="A29" s="583" t="s">
        <v>252</v>
      </c>
      <c r="B29" s="584"/>
      <c r="C29" s="585"/>
      <c r="D29" s="586" t="s">
        <v>45</v>
      </c>
      <c r="E29" s="82"/>
      <c r="F29" s="82"/>
      <c r="G29" s="82"/>
      <c r="H29" s="83"/>
      <c r="I29" s="82"/>
      <c r="J29" s="83"/>
      <c r="K29" s="82"/>
      <c r="L29" s="82"/>
      <c r="M29" s="82"/>
      <c r="N29" s="82"/>
      <c r="O29" s="82"/>
      <c r="P29" s="82"/>
      <c r="Q29" s="82"/>
      <c r="R29" s="82"/>
      <c r="S29" s="82"/>
      <c r="T29" s="82"/>
      <c r="U29" s="82"/>
      <c r="V29" s="82"/>
      <c r="W29" s="82"/>
      <c r="X29" s="82"/>
      <c r="Y29" s="387">
        <v>11502</v>
      </c>
      <c r="Z29" s="387">
        <v>11502.000000000002</v>
      </c>
      <c r="AA29" s="387">
        <v>11502.000000000002</v>
      </c>
      <c r="AB29" s="387">
        <v>11502.000000000002</v>
      </c>
      <c r="AC29" s="387">
        <v>11502.000000000002</v>
      </c>
      <c r="AD29" s="387">
        <v>11502.000000000002</v>
      </c>
      <c r="AE29" s="387">
        <v>11502.000000000002</v>
      </c>
      <c r="AF29" s="387">
        <v>11502.000000000002</v>
      </c>
      <c r="AG29" s="387">
        <v>11502.000000000002</v>
      </c>
      <c r="AH29" s="387">
        <v>11502.000000000002</v>
      </c>
      <c r="AI29" s="387">
        <v>11502.000000000002</v>
      </c>
      <c r="AJ29" s="387">
        <v>11502.000000000002</v>
      </c>
      <c r="AK29" s="387">
        <v>11502.000000000002</v>
      </c>
      <c r="AL29" s="387">
        <v>11502.000000000002</v>
      </c>
      <c r="AM29" s="387">
        <v>11502.000000000002</v>
      </c>
      <c r="AN29" s="387">
        <v>11502.000000000002</v>
      </c>
      <c r="AO29" s="387">
        <v>11502.000000000002</v>
      </c>
      <c r="AP29" s="387">
        <v>11502.000000000002</v>
      </c>
      <c r="AQ29" s="387">
        <v>11502.000000000002</v>
      </c>
      <c r="AR29" s="387">
        <v>11502.000000000002</v>
      </c>
      <c r="AS29" s="387">
        <v>11502.000000000002</v>
      </c>
      <c r="AT29" s="387">
        <v>11502.000000000002</v>
      </c>
      <c r="AU29" s="387">
        <v>11502.000000000002</v>
      </c>
      <c r="AV29" s="387">
        <v>11502.000000000002</v>
      </c>
      <c r="AW29" s="38"/>
      <c r="AX29" s="38"/>
      <c r="AY29" s="31"/>
      <c r="AZ29" s="31"/>
      <c r="BA29" s="31"/>
    </row>
    <row r="30" spans="1:53" outlineLevel="1">
      <c r="A30" s="583" t="s">
        <v>253</v>
      </c>
      <c r="B30" s="584"/>
      <c r="C30" s="585"/>
      <c r="D30" s="586" t="s">
        <v>45</v>
      </c>
      <c r="E30" s="90"/>
      <c r="F30" s="90"/>
      <c r="G30" s="90"/>
      <c r="H30" s="90"/>
      <c r="I30" s="90"/>
      <c r="J30" s="90"/>
      <c r="K30" s="90"/>
      <c r="L30" s="90"/>
      <c r="M30" s="90"/>
      <c r="N30" s="90"/>
      <c r="O30" s="90"/>
      <c r="P30" s="90"/>
      <c r="Q30" s="90"/>
      <c r="R30" s="90"/>
      <c r="S30" s="90"/>
      <c r="T30" s="90"/>
      <c r="U30" s="90"/>
      <c r="V30" s="90"/>
      <c r="W30" s="90"/>
      <c r="X30" s="90"/>
      <c r="Y30" s="90">
        <v>3245.94</v>
      </c>
      <c r="Z30" s="90">
        <f>Y30-Z31+(Z57-Z112-Z115)*1000</f>
        <v>3358.3049839286928</v>
      </c>
      <c r="AA30" s="90">
        <v>4658.3424000000005</v>
      </c>
      <c r="AB30" s="90">
        <v>9310.68</v>
      </c>
      <c r="AC30" s="90">
        <v>8355.8142000000007</v>
      </c>
      <c r="AD30" s="90">
        <f>AC30-AD31+(AD57-AD112-AD115)*1000</f>
        <v>5189.8141999999971</v>
      </c>
      <c r="AE30" s="90">
        <f>AD30-AE31+(AE57-AE112-AE115)*1000</f>
        <v>3397.6429183697655</v>
      </c>
      <c r="AF30" s="90">
        <f>AE30-AF31+(AF57-AF112-AF115)*1000</f>
        <v>5601.1601597491044</v>
      </c>
      <c r="AG30" s="90">
        <v>3600.1800000000003</v>
      </c>
      <c r="AH30" s="90">
        <v>2623.86</v>
      </c>
      <c r="AI30" s="90">
        <v>3327.4800000000005</v>
      </c>
      <c r="AJ30" s="90">
        <f>AI30-AJ31+(AJ57-AJ112-AJ115-AJ116-AJ117)*1000</f>
        <v>10185.189457551456</v>
      </c>
      <c r="AK30" s="90">
        <f t="shared" ref="AK30:AV30" si="51">AJ30-AK31+(AK57-AK112-AK115-AK116-AK117)*1000</f>
        <v>10243.271879755004</v>
      </c>
      <c r="AL30" s="90">
        <f t="shared" si="51"/>
        <v>6083.6167073412262</v>
      </c>
      <c r="AM30" s="90">
        <f t="shared" si="51"/>
        <v>9927.2659924547261</v>
      </c>
      <c r="AN30" s="90">
        <f t="shared" si="51"/>
        <v>4214.4661606633254</v>
      </c>
      <c r="AO30" s="90">
        <f t="shared" si="51"/>
        <v>-10496.593553382101</v>
      </c>
      <c r="AP30" s="90">
        <f t="shared" si="51"/>
        <v>-24047.952717269513</v>
      </c>
      <c r="AQ30" s="90">
        <f t="shared" si="51"/>
        <v>-37129.070866453396</v>
      </c>
      <c r="AR30" s="90">
        <f t="shared" si="51"/>
        <v>-63827.476081670327</v>
      </c>
      <c r="AS30" s="90">
        <f t="shared" si="51"/>
        <v>-90067.63513694107</v>
      </c>
      <c r="AT30" s="90">
        <f t="shared" si="51"/>
        <v>-117533.53769104314</v>
      </c>
      <c r="AU30" s="90">
        <f t="shared" si="51"/>
        <v>-144940.84130908316</v>
      </c>
      <c r="AV30" s="90">
        <f t="shared" si="51"/>
        <v>-168715.31844097836</v>
      </c>
      <c r="AW30" s="38"/>
      <c r="AX30" s="38"/>
      <c r="AY30" s="31"/>
      <c r="AZ30" s="31"/>
      <c r="BA30" s="31"/>
    </row>
    <row r="31" spans="1:53" outlineLevel="1">
      <c r="A31" s="583" t="s">
        <v>264</v>
      </c>
      <c r="B31" s="584"/>
      <c r="C31" s="585"/>
      <c r="D31" s="586"/>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f>1000+2000</f>
        <v>3000</v>
      </c>
      <c r="AD31" s="90">
        <v>1000</v>
      </c>
      <c r="AE31" s="90">
        <v>1000</v>
      </c>
      <c r="AF31" s="90">
        <v>1000</v>
      </c>
      <c r="AG31" s="90">
        <v>15000</v>
      </c>
      <c r="AH31" s="90">
        <v>15000</v>
      </c>
      <c r="AI31" s="90">
        <v>15000</v>
      </c>
      <c r="AJ31" s="90">
        <v>6000</v>
      </c>
      <c r="AK31" s="90">
        <v>3000</v>
      </c>
      <c r="AL31" s="90">
        <v>9000</v>
      </c>
      <c r="AM31" s="90">
        <v>1000</v>
      </c>
      <c r="AN31" s="90">
        <v>6000</v>
      </c>
      <c r="AO31" s="90">
        <v>15000</v>
      </c>
      <c r="AP31" s="90">
        <v>15000</v>
      </c>
      <c r="AQ31" s="90">
        <v>15000</v>
      </c>
      <c r="AR31" s="90">
        <v>15000</v>
      </c>
      <c r="AS31" s="90">
        <v>15000</v>
      </c>
      <c r="AT31" s="90">
        <v>15000</v>
      </c>
      <c r="AU31" s="90">
        <v>15000</v>
      </c>
      <c r="AV31" s="90">
        <v>15000</v>
      </c>
      <c r="AW31" s="38"/>
      <c r="AX31" s="38"/>
      <c r="AY31" s="31"/>
      <c r="AZ31" s="31"/>
      <c r="BA31" s="31"/>
    </row>
    <row r="32" spans="1:53" ht="15" outlineLevel="1" thickBot="1">
      <c r="A32" s="587" t="s">
        <v>254</v>
      </c>
      <c r="B32" s="588"/>
      <c r="C32" s="589"/>
      <c r="D32" s="590" t="s">
        <v>46</v>
      </c>
      <c r="E32" s="99"/>
      <c r="F32" s="99"/>
      <c r="G32" s="99"/>
      <c r="H32" s="116"/>
      <c r="I32" s="116"/>
      <c r="J32" s="116"/>
      <c r="K32" s="116"/>
      <c r="L32" s="116"/>
      <c r="M32" s="116"/>
      <c r="N32" s="116"/>
      <c r="O32" s="116"/>
      <c r="P32" s="116"/>
      <c r="Q32" s="116"/>
      <c r="R32" s="116"/>
      <c r="S32" s="116"/>
      <c r="T32" s="116"/>
      <c r="U32" s="116"/>
      <c r="V32" s="116"/>
      <c r="W32" s="116"/>
      <c r="X32" s="116"/>
      <c r="Y32" s="116"/>
      <c r="Z32" s="570">
        <f t="shared" ref="Z32:AJ32" si="52">Z30/Z29</f>
        <v>0.29197574195172077</v>
      </c>
      <c r="AA32" s="570">
        <f t="shared" si="52"/>
        <v>0.40500281690140844</v>
      </c>
      <c r="AB32" s="570">
        <f t="shared" si="52"/>
        <v>0.80948356807511723</v>
      </c>
      <c r="AC32" s="570">
        <f t="shared" si="52"/>
        <v>0.72646619718309857</v>
      </c>
      <c r="AD32" s="570">
        <f t="shared" si="52"/>
        <v>0.45120972004868687</v>
      </c>
      <c r="AE32" s="570">
        <f t="shared" si="52"/>
        <v>0.2953958371039615</v>
      </c>
      <c r="AF32" s="570">
        <f t="shared" si="52"/>
        <v>0.48697271428874139</v>
      </c>
      <c r="AG32" s="570">
        <f t="shared" si="52"/>
        <v>0.31300469483568072</v>
      </c>
      <c r="AH32" s="570">
        <f t="shared" si="52"/>
        <v>0.2281220657276995</v>
      </c>
      <c r="AI32" s="570">
        <f t="shared" si="52"/>
        <v>0.2892957746478873</v>
      </c>
      <c r="AJ32" s="570">
        <f t="shared" si="52"/>
        <v>0.88551464593561591</v>
      </c>
      <c r="AK32" s="570">
        <f t="shared" ref="AK32:AP32" si="53">AK30/AK29</f>
        <v>0.89056441312423951</v>
      </c>
      <c r="AL32" s="570">
        <f t="shared" si="53"/>
        <v>0.52891816269702885</v>
      </c>
      <c r="AM32" s="570">
        <f t="shared" si="53"/>
        <v>0.86309041840155842</v>
      </c>
      <c r="AN32" s="570">
        <f t="shared" si="53"/>
        <v>0.36641159456297379</v>
      </c>
      <c r="AO32" s="570">
        <f t="shared" si="53"/>
        <v>-0.91258855445853759</v>
      </c>
      <c r="AP32" s="570">
        <f t="shared" si="53"/>
        <v>-2.090762712334334</v>
      </c>
      <c r="AQ32" s="570">
        <f t="shared" ref="AQ32:AR32" si="54">AQ30/AQ29</f>
        <v>-3.2280534573511903</v>
      </c>
      <c r="AR32" s="570">
        <f t="shared" si="54"/>
        <v>-5.5492502244540356</v>
      </c>
      <c r="AS32" s="570">
        <f t="shared" ref="AS32:AT32" si="55">AS30/AS29</f>
        <v>-7.8306064281812775</v>
      </c>
      <c r="AT32" s="570">
        <f t="shared" si="55"/>
        <v>-10.21853048957078</v>
      </c>
      <c r="AU32" s="570">
        <f t="shared" ref="AU32:AV32" si="56">AU30/AU29</f>
        <v>-12.601359877332911</v>
      </c>
      <c r="AV32" s="570">
        <f t="shared" si="56"/>
        <v>-14.668346239000028</v>
      </c>
      <c r="AW32" s="38"/>
      <c r="AX32" s="38"/>
      <c r="AY32" s="31"/>
      <c r="AZ32" s="31"/>
      <c r="BA32" s="31"/>
    </row>
    <row r="33" spans="1:53" ht="16" outlineLevel="1" thickBot="1">
      <c r="A33" s="573" t="s">
        <v>255</v>
      </c>
      <c r="B33" s="574"/>
      <c r="C33" s="575"/>
      <c r="D33" s="576"/>
      <c r="E33" s="31"/>
      <c r="F33" s="31"/>
      <c r="G33" s="235">
        <v>43678</v>
      </c>
      <c r="H33" s="235">
        <v>43698</v>
      </c>
      <c r="I33" s="31"/>
      <c r="J33" s="31"/>
      <c r="K33" s="31"/>
      <c r="L33" s="296">
        <f t="shared" ref="L33:Q33" si="57">L37/1000</f>
        <v>0</v>
      </c>
      <c r="M33" s="296">
        <f t="shared" si="57"/>
        <v>0</v>
      </c>
      <c r="N33" s="296">
        <f t="shared" si="57"/>
        <v>0</v>
      </c>
      <c r="O33" s="296">
        <f t="shared" si="57"/>
        <v>0</v>
      </c>
      <c r="P33" s="296">
        <f t="shared" si="57"/>
        <v>0</v>
      </c>
      <c r="Q33" s="296">
        <f t="shared" si="57"/>
        <v>0</v>
      </c>
      <c r="R33" s="296"/>
      <c r="S33" s="296"/>
      <c r="T33" s="296"/>
      <c r="U33" s="296"/>
      <c r="V33" s="296"/>
      <c r="W33" s="296"/>
      <c r="X33" s="296"/>
      <c r="Y33" s="296"/>
      <c r="Z33" s="296"/>
      <c r="AA33" s="296"/>
      <c r="AB33" s="296"/>
      <c r="AC33" s="296"/>
      <c r="AD33" s="296"/>
      <c r="AE33" s="296"/>
      <c r="AF33" s="296"/>
      <c r="AG33" s="296"/>
      <c r="AH33" s="296"/>
      <c r="AI33" s="296"/>
      <c r="AJ33" s="296"/>
      <c r="AK33" s="296"/>
      <c r="AL33" s="296"/>
      <c r="AM33" s="296"/>
      <c r="AN33" s="296"/>
      <c r="AO33" s="296"/>
      <c r="AP33" s="296"/>
      <c r="AQ33" s="296"/>
      <c r="AR33" s="296"/>
      <c r="AS33" s="296"/>
      <c r="AT33" s="296"/>
      <c r="AU33" s="296"/>
      <c r="AV33" s="296"/>
      <c r="AW33" s="38"/>
      <c r="AX33" s="38"/>
      <c r="AY33" s="31"/>
      <c r="AZ33" s="31"/>
      <c r="BA33" s="31"/>
    </row>
    <row r="34" spans="1:53" s="75" customFormat="1" ht="15" outlineLevel="1" thickBot="1">
      <c r="A34" s="953" t="s">
        <v>33</v>
      </c>
      <c r="B34" s="954"/>
      <c r="C34" s="577"/>
      <c r="D34" s="578"/>
      <c r="E34" s="77">
        <v>43587</v>
      </c>
      <c r="F34" s="78">
        <v>43618</v>
      </c>
      <c r="G34" s="78">
        <v>43648</v>
      </c>
      <c r="H34" s="78">
        <v>43679</v>
      </c>
      <c r="I34" s="251">
        <v>43710</v>
      </c>
      <c r="J34" s="251">
        <v>43740</v>
      </c>
      <c r="K34" s="78">
        <v>43771</v>
      </c>
      <c r="L34" s="280">
        <v>43801</v>
      </c>
      <c r="M34" s="251">
        <v>43832</v>
      </c>
      <c r="N34" s="251">
        <v>43863</v>
      </c>
      <c r="O34" s="78">
        <v>43892</v>
      </c>
      <c r="P34" s="78">
        <v>43923</v>
      </c>
      <c r="Q34" s="78">
        <v>43953</v>
      </c>
      <c r="R34" s="251">
        <v>43984</v>
      </c>
      <c r="S34" s="251">
        <v>44014</v>
      </c>
      <c r="T34" s="251">
        <v>44045</v>
      </c>
      <c r="U34" s="251">
        <v>44076</v>
      </c>
      <c r="V34" s="251">
        <v>44106</v>
      </c>
      <c r="W34" s="251">
        <v>44137</v>
      </c>
      <c r="X34" s="251">
        <v>44167</v>
      </c>
      <c r="Y34" s="251">
        <v>44198</v>
      </c>
      <c r="Z34" s="251">
        <f t="shared" ref="Z34:AL34" si="58">Z3</f>
        <v>44229</v>
      </c>
      <c r="AA34" s="251">
        <f t="shared" si="58"/>
        <v>44257</v>
      </c>
      <c r="AB34" s="251">
        <f t="shared" si="58"/>
        <v>44288</v>
      </c>
      <c r="AC34" s="251">
        <f t="shared" si="58"/>
        <v>44318</v>
      </c>
      <c r="AD34" s="251">
        <f t="shared" si="58"/>
        <v>44349</v>
      </c>
      <c r="AE34" s="251">
        <f t="shared" si="58"/>
        <v>44379</v>
      </c>
      <c r="AF34" s="251">
        <f t="shared" si="58"/>
        <v>44410</v>
      </c>
      <c r="AG34" s="251">
        <f t="shared" si="58"/>
        <v>44441</v>
      </c>
      <c r="AH34" s="251">
        <f t="shared" si="58"/>
        <v>44471</v>
      </c>
      <c r="AI34" s="251">
        <f t="shared" si="58"/>
        <v>44502</v>
      </c>
      <c r="AJ34" s="251">
        <f t="shared" si="58"/>
        <v>44532</v>
      </c>
      <c r="AK34" s="251">
        <f t="shared" si="58"/>
        <v>44563</v>
      </c>
      <c r="AL34" s="251">
        <f t="shared" si="58"/>
        <v>44594</v>
      </c>
      <c r="AM34" s="251">
        <f t="shared" ref="AM34:AN34" si="59">AM3</f>
        <v>44622</v>
      </c>
      <c r="AN34" s="251">
        <f t="shared" si="59"/>
        <v>44653</v>
      </c>
      <c r="AO34" s="251">
        <f t="shared" ref="AO34:AP34" si="60">AO3</f>
        <v>44683</v>
      </c>
      <c r="AP34" s="251">
        <f t="shared" si="60"/>
        <v>44714</v>
      </c>
      <c r="AQ34" s="251">
        <f t="shared" ref="AQ34:AR34" si="61">AQ3</f>
        <v>44744</v>
      </c>
      <c r="AR34" s="251">
        <f t="shared" si="61"/>
        <v>44775</v>
      </c>
      <c r="AS34" s="251">
        <f t="shared" ref="AS34:AT34" si="62">AS3</f>
        <v>44806</v>
      </c>
      <c r="AT34" s="251">
        <f t="shared" si="62"/>
        <v>44836</v>
      </c>
      <c r="AU34" s="251">
        <f t="shared" ref="AU34:AV34" si="63">AU3</f>
        <v>44867</v>
      </c>
      <c r="AV34" s="251">
        <f t="shared" si="63"/>
        <v>44897</v>
      </c>
      <c r="AW34" s="31"/>
      <c r="AX34" s="73"/>
      <c r="AY34" s="74"/>
      <c r="AZ34" s="74"/>
      <c r="BA34" s="74"/>
    </row>
    <row r="35" spans="1:53" outlineLevel="1">
      <c r="A35" s="579" t="s">
        <v>3</v>
      </c>
      <c r="B35" s="580"/>
      <c r="C35" s="581"/>
      <c r="D35" s="582"/>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38"/>
      <c r="AX35" s="38"/>
      <c r="AY35" s="31"/>
      <c r="AZ35" s="31"/>
      <c r="BA35" s="31"/>
    </row>
    <row r="36" spans="1:53" outlineLevel="1">
      <c r="A36" s="583" t="s">
        <v>260</v>
      </c>
      <c r="B36" s="584"/>
      <c r="C36" s="585"/>
      <c r="D36" s="586" t="s">
        <v>45</v>
      </c>
      <c r="E36" s="82"/>
      <c r="F36" s="82"/>
      <c r="G36" s="82"/>
      <c r="H36" s="83"/>
      <c r="I36" s="82"/>
      <c r="J36" s="83"/>
      <c r="K36" s="82"/>
      <c r="L36" s="82"/>
      <c r="M36" s="82"/>
      <c r="N36" s="82"/>
      <c r="O36" s="82"/>
      <c r="P36" s="82"/>
      <c r="Q36" s="82"/>
      <c r="R36" s="82"/>
      <c r="S36" s="82"/>
      <c r="T36" s="82"/>
      <c r="U36" s="82"/>
      <c r="V36" s="82"/>
      <c r="W36" s="82"/>
      <c r="X36" s="82"/>
      <c r="Y36" s="82">
        <v>27302.400000000005</v>
      </c>
      <c r="Z36" s="291">
        <v>23468.400000000001</v>
      </c>
      <c r="AA36" s="291">
        <v>21319.200000000004</v>
      </c>
      <c r="AB36" s="387">
        <v>25153.22</v>
      </c>
      <c r="AC36" s="291">
        <v>25153.22</v>
      </c>
      <c r="AD36" s="291">
        <v>21319.200000000004</v>
      </c>
      <c r="AE36" s="291">
        <v>21319.200000000004</v>
      </c>
      <c r="AF36" s="387">
        <v>25153.200000000004</v>
      </c>
      <c r="AG36" s="387">
        <v>25153.200000000004</v>
      </c>
      <c r="AH36" s="291">
        <v>21319.200000000004</v>
      </c>
      <c r="AI36" s="291">
        <v>21319.200000000004</v>
      </c>
      <c r="AJ36" s="387">
        <v>25153.200000000004</v>
      </c>
      <c r="AK36" s="387">
        <v>25153.22</v>
      </c>
      <c r="AL36" s="291">
        <v>21319.200000000004</v>
      </c>
      <c r="AM36" s="291">
        <v>21319.200000000004</v>
      </c>
      <c r="AN36" s="387">
        <v>25153.22</v>
      </c>
      <c r="AO36" s="387">
        <v>25153.22</v>
      </c>
      <c r="AP36" s="291">
        <v>21319.200000000004</v>
      </c>
      <c r="AQ36" s="291">
        <v>21319.200000000004</v>
      </c>
      <c r="AR36" s="387">
        <v>25153.200000000004</v>
      </c>
      <c r="AS36" s="291">
        <v>21319.200000000004</v>
      </c>
      <c r="AT36" s="291">
        <v>21319.200000000004</v>
      </c>
      <c r="AU36" s="387">
        <v>25153.200000000004</v>
      </c>
      <c r="AV36" s="387">
        <v>25153.200000000004</v>
      </c>
      <c r="AW36" s="38"/>
      <c r="AX36" s="38"/>
      <c r="AY36" s="31"/>
      <c r="AZ36" s="31"/>
      <c r="BA36" s="31"/>
    </row>
    <row r="37" spans="1:53" outlineLevel="1">
      <c r="A37" s="583" t="s">
        <v>256</v>
      </c>
      <c r="B37" s="584"/>
      <c r="C37" s="585"/>
      <c r="D37" s="586" t="s">
        <v>45</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Y37+Z17+Z31+((Z58+Z61+Z8-Z9+Z10-Z122-Z123-Z124-Z125-Z126-Z127-Z128-Z129-Z130-Z131-Z132-Z133-Z134-Z135-Z136-Z137-Z138-Z139-Z140-Z141-Z142-Z143-Z144-Z145-Z146-Z147-Z151-Z152-Z153-Z154-Z155-Z156-Z157-Z158-Z159-Z160-Z161-Z162-Z163-Z164-Z165-Z166-Z167)*1000)</f>
        <v>22121.533821546196</v>
      </c>
      <c r="AA37" s="90">
        <v>10959.325920000001</v>
      </c>
      <c r="AB37" s="90">
        <v>15779.880000000001</v>
      </c>
      <c r="AC37" s="90">
        <v>18659.025000000001</v>
      </c>
      <c r="AD37" s="90">
        <f>AC37+AD17+AD31+((AD58+AD61+AD8-AD9+AD10-AD122-AD123-AD124-AD125-AD126-AD127-AD128-AD129-AD130-AD131-AD132-AD133-AD134-AD135-AD136-AD137-AD138-AD139-AD140-AD141-AD142-AD143-AD144-AD145-AD146-AD147-AD151-AD152-AD153-AD154-AD155-AD156-AD157-AD158-AD159-AD160-AD161-AD162-AD163-AD164-AD165-AD166-AD167)*1000)</f>
        <v>10674.878501773006</v>
      </c>
      <c r="AE37" s="90">
        <f>AD37+AE17+AE31+((AE58+AE61+AE8-AE9+AE10-AE122-AE123-AE124-AE125-AE126-AE127-AE128-AE129-AE130-AE131-AE132-AE133-AE134-AE135-AE136-AE137-AE138-AE139-AE140-AE141-AE142-AE143-AE144-AE145-AE146-AE147-AE151-AE152-AE153-AE154-AE155-AE156-AE157-AE158-AE159-AE160-AE161-AE162-AE163-AE164-AE165-AE166-AE167)*1000)</f>
        <v>11331.257228328275</v>
      </c>
      <c r="AF37" s="90">
        <f>AE37+AF17+AF31+((AF58+AF61+AF8-AF9+AF10-AF122-AF123-AF124-AF125-AF126-AF127-AF128-AF129-AF130-AF131-AF132-AF133-AF134-AF135-AF136-AF137-AF138-AF139-AF140-AF141-AF142-AF143-AF144-AF145-AF146-AF147-AF151-AF152-AF153-AF154-AF155-AF156-AF157-AF158-AF159-AF160-AF161-AF162-AF163-AF164-AF165-AF166-AF167)*1000)</f>
        <v>22330.548539272866</v>
      </c>
      <c r="AG37" s="90">
        <v>5821.7400000000007</v>
      </c>
      <c r="AH37" s="90">
        <v>7497.3600000000006</v>
      </c>
      <c r="AI37" s="90">
        <v>7315.84</v>
      </c>
      <c r="AJ37" s="90">
        <f t="shared" ref="AJ37:AV37" si="64">AI37+AJ17+AJ31+((AJ58+AJ61+AJ8-AJ9+AJ10-AJ122-AJ123-AJ124-AJ125-AJ126-AJ127-AJ128-AJ129-AJ130-AJ131-AJ132-AJ133-AJ134-AJ135-AJ136-AJ137-AJ138-AJ139-AJ140-AJ141-AJ142-AJ143-AJ144-AJ145-AJ146-AJ147-AJ151-AJ152-AJ153-AJ154-AJ155-AJ156-AJ157-AJ158-AJ159-AJ160-AJ161-AJ162-AJ163-AJ164-AJ165-AJ166-AJ167)*1000)</f>
        <v>4782.5055079336344</v>
      </c>
      <c r="AK37" s="90">
        <f t="shared" si="64"/>
        <v>8070.1036852121233</v>
      </c>
      <c r="AL37" s="90">
        <f t="shared" si="64"/>
        <v>9376.0789535829008</v>
      </c>
      <c r="AM37" s="90">
        <f t="shared" si="64"/>
        <v>4594.2616048024011</v>
      </c>
      <c r="AN37" s="90">
        <f t="shared" si="64"/>
        <v>12505.857371387685</v>
      </c>
      <c r="AO37" s="90">
        <f t="shared" si="64"/>
        <v>27958.740865354357</v>
      </c>
      <c r="AP37" s="90">
        <f t="shared" si="64"/>
        <v>38777.185898390504</v>
      </c>
      <c r="AQ37" s="90">
        <f t="shared" si="64"/>
        <v>51728.949798306421</v>
      </c>
      <c r="AR37" s="90">
        <f t="shared" si="64"/>
        <v>81391.993048300035</v>
      </c>
      <c r="AS37" s="90">
        <f t="shared" si="64"/>
        <v>105131.42113913271</v>
      </c>
      <c r="AT37" s="90">
        <f t="shared" si="64"/>
        <v>132530.64083632649</v>
      </c>
      <c r="AU37" s="90">
        <f t="shared" si="64"/>
        <v>161051.01396008598</v>
      </c>
      <c r="AV37" s="90">
        <f t="shared" si="64"/>
        <v>185268.51509034832</v>
      </c>
      <c r="AW37" s="38"/>
      <c r="AX37" s="38"/>
      <c r="AY37" s="31"/>
      <c r="AZ37" s="31"/>
      <c r="BA37" s="31"/>
    </row>
    <row r="38" spans="1:53" ht="15" outlineLevel="1" thickBot="1">
      <c r="A38" s="587" t="s">
        <v>257</v>
      </c>
      <c r="B38" s="588"/>
      <c r="C38" s="589"/>
      <c r="D38" s="590" t="s">
        <v>46</v>
      </c>
      <c r="E38" s="99"/>
      <c r="F38" s="99"/>
      <c r="G38" s="99"/>
      <c r="H38" s="116"/>
      <c r="I38" s="116"/>
      <c r="J38" s="116"/>
      <c r="K38" s="116"/>
      <c r="L38" s="116"/>
      <c r="M38" s="116"/>
      <c r="N38" s="116"/>
      <c r="O38" s="116"/>
      <c r="P38" s="116"/>
      <c r="Q38" s="116"/>
      <c r="R38" s="116"/>
      <c r="S38" s="116"/>
      <c r="T38" s="116"/>
      <c r="U38" s="116"/>
      <c r="V38" s="116"/>
      <c r="W38" s="116"/>
      <c r="X38" s="116"/>
      <c r="Y38" s="116"/>
      <c r="Z38" s="431">
        <f t="shared" ref="Z38:AJ38" si="65">Z37/Z36</f>
        <v>0.94260937352125385</v>
      </c>
      <c r="AA38" s="431">
        <f t="shared" si="65"/>
        <v>0.51405896656534944</v>
      </c>
      <c r="AB38" s="431">
        <f t="shared" si="65"/>
        <v>0.6273502955088851</v>
      </c>
      <c r="AC38" s="431">
        <f t="shared" si="65"/>
        <v>0.74181456688249059</v>
      </c>
      <c r="AD38" s="431">
        <f t="shared" si="65"/>
        <v>0.50071665455425174</v>
      </c>
      <c r="AE38" s="431">
        <f t="shared" si="65"/>
        <v>0.53150480451087623</v>
      </c>
      <c r="AF38" s="431">
        <f t="shared" si="65"/>
        <v>0.88778161582911364</v>
      </c>
      <c r="AG38" s="431">
        <f t="shared" si="65"/>
        <v>0.23145126663804205</v>
      </c>
      <c r="AH38" s="431">
        <f t="shared" si="65"/>
        <v>0.35167173252279632</v>
      </c>
      <c r="AI38" s="431">
        <f t="shared" si="65"/>
        <v>0.34315734173890194</v>
      </c>
      <c r="AJ38" s="431">
        <f t="shared" si="65"/>
        <v>0.19013507259249851</v>
      </c>
      <c r="AK38" s="431">
        <f t="shared" ref="AK38:AP38" si="66">AK37/AK36</f>
        <v>0.32083779671994772</v>
      </c>
      <c r="AL38" s="431">
        <f t="shared" si="66"/>
        <v>0.43979506517988004</v>
      </c>
      <c r="AM38" s="431">
        <f t="shared" si="66"/>
        <v>0.2154987806673046</v>
      </c>
      <c r="AN38" s="431">
        <f t="shared" si="66"/>
        <v>0.4971871343465244</v>
      </c>
      <c r="AO38" s="431">
        <f t="shared" si="66"/>
        <v>1.1115372451461227</v>
      </c>
      <c r="AP38" s="431">
        <f t="shared" si="66"/>
        <v>1.8188856006975167</v>
      </c>
      <c r="AQ38" s="431">
        <f t="shared" ref="AQ38:AR38" si="67">AQ37/AQ36</f>
        <v>2.4264020131293114</v>
      </c>
      <c r="AR38" s="431">
        <f t="shared" si="67"/>
        <v>3.2358504304939339</v>
      </c>
      <c r="AS38" s="431">
        <f t="shared" ref="AS38:AT38" si="68">AS37/AS36</f>
        <v>4.9313023537061751</v>
      </c>
      <c r="AT38" s="431">
        <f t="shared" si="68"/>
        <v>6.2164922152954363</v>
      </c>
      <c r="AU38" s="431">
        <f t="shared" ref="AU38:AV38" si="69">AU37/AU36</f>
        <v>6.4028041744225765</v>
      </c>
      <c r="AV38" s="431">
        <f t="shared" si="69"/>
        <v>7.3656041811915891</v>
      </c>
      <c r="AW38" s="38"/>
      <c r="AX38" s="38"/>
      <c r="AY38" s="31"/>
      <c r="AZ38" s="31"/>
      <c r="BA38" s="31"/>
    </row>
    <row r="39" spans="1:53" s="31" customFormat="1" ht="23.5" outlineLevel="1">
      <c r="A39" s="39" t="s">
        <v>4</v>
      </c>
      <c r="B39" s="30"/>
    </row>
    <row r="40" spans="1:53" s="31" customFormat="1" ht="15" outlineLevel="1" thickBot="1">
      <c r="A40" s="40" t="s">
        <v>35</v>
      </c>
      <c r="B40" s="30"/>
    </row>
    <row r="41" spans="1:53" s="75" customFormat="1" ht="15" outlineLevel="1" thickBot="1">
      <c r="A41" s="946" t="s">
        <v>33</v>
      </c>
      <c r="B41" s="947"/>
      <c r="C41" s="947" t="s">
        <v>34</v>
      </c>
      <c r="D41" s="952"/>
      <c r="E41" s="78">
        <f t="shared" ref="E41:AL41" si="70">E3</f>
        <v>43587</v>
      </c>
      <c r="F41" s="78">
        <f t="shared" si="70"/>
        <v>43618</v>
      </c>
      <c r="G41" s="78">
        <f t="shared" si="70"/>
        <v>43648</v>
      </c>
      <c r="H41" s="78">
        <f t="shared" si="70"/>
        <v>43679</v>
      </c>
      <c r="I41" s="78">
        <f t="shared" si="70"/>
        <v>43710</v>
      </c>
      <c r="J41" s="78">
        <f t="shared" si="70"/>
        <v>43740</v>
      </c>
      <c r="K41" s="78">
        <f t="shared" si="70"/>
        <v>43771</v>
      </c>
      <c r="L41" s="78">
        <f t="shared" si="70"/>
        <v>43801</v>
      </c>
      <c r="M41" s="78">
        <f t="shared" si="70"/>
        <v>43832</v>
      </c>
      <c r="N41" s="78">
        <f t="shared" si="70"/>
        <v>43863</v>
      </c>
      <c r="O41" s="78">
        <f t="shared" si="70"/>
        <v>43892</v>
      </c>
      <c r="P41" s="78">
        <f t="shared" si="70"/>
        <v>43923</v>
      </c>
      <c r="Q41" s="78">
        <f t="shared" si="70"/>
        <v>43953</v>
      </c>
      <c r="R41" s="78">
        <f t="shared" si="70"/>
        <v>43984</v>
      </c>
      <c r="S41" s="78">
        <f t="shared" si="70"/>
        <v>44014</v>
      </c>
      <c r="T41" s="78">
        <f t="shared" si="70"/>
        <v>44045</v>
      </c>
      <c r="U41" s="78">
        <f t="shared" si="70"/>
        <v>44076</v>
      </c>
      <c r="V41" s="78">
        <f t="shared" si="70"/>
        <v>44106</v>
      </c>
      <c r="W41" s="78">
        <f t="shared" si="70"/>
        <v>44137</v>
      </c>
      <c r="X41" s="78">
        <f t="shared" si="70"/>
        <v>44167</v>
      </c>
      <c r="Y41" s="78">
        <f t="shared" si="70"/>
        <v>44198</v>
      </c>
      <c r="Z41" s="78">
        <f t="shared" si="70"/>
        <v>44229</v>
      </c>
      <c r="AA41" s="78">
        <f t="shared" si="70"/>
        <v>44257</v>
      </c>
      <c r="AB41" s="78">
        <f t="shared" si="70"/>
        <v>44288</v>
      </c>
      <c r="AC41" s="78">
        <f t="shared" si="70"/>
        <v>44318</v>
      </c>
      <c r="AD41" s="78">
        <f t="shared" si="70"/>
        <v>44349</v>
      </c>
      <c r="AE41" s="78">
        <f t="shared" si="70"/>
        <v>44379</v>
      </c>
      <c r="AF41" s="78">
        <f t="shared" si="70"/>
        <v>44410</v>
      </c>
      <c r="AG41" s="78">
        <f t="shared" si="70"/>
        <v>44441</v>
      </c>
      <c r="AH41" s="78">
        <f t="shared" si="70"/>
        <v>44471</v>
      </c>
      <c r="AI41" s="78">
        <f t="shared" si="70"/>
        <v>44502</v>
      </c>
      <c r="AJ41" s="78">
        <f t="shared" si="70"/>
        <v>44532</v>
      </c>
      <c r="AK41" s="78">
        <f t="shared" si="70"/>
        <v>44563</v>
      </c>
      <c r="AL41" s="78">
        <f t="shared" si="70"/>
        <v>44594</v>
      </c>
      <c r="AM41" s="78">
        <f t="shared" ref="AM41:AN41" si="71">AM3</f>
        <v>44622</v>
      </c>
      <c r="AN41" s="618">
        <f t="shared" si="71"/>
        <v>44653</v>
      </c>
      <c r="AO41" s="618">
        <f t="shared" ref="AO41:AP41" si="72">AO3</f>
        <v>44683</v>
      </c>
      <c r="AP41" s="618">
        <f t="shared" si="72"/>
        <v>44714</v>
      </c>
      <c r="AQ41" s="618">
        <f t="shared" ref="AQ41:AR41" si="73">AQ3</f>
        <v>44744</v>
      </c>
      <c r="AR41" s="618">
        <f t="shared" si="73"/>
        <v>44775</v>
      </c>
      <c r="AS41" s="618">
        <f t="shared" ref="AS41:AT41" si="74">AS3</f>
        <v>44806</v>
      </c>
      <c r="AT41" s="618">
        <f t="shared" si="74"/>
        <v>44836</v>
      </c>
      <c r="AU41" s="618">
        <f t="shared" ref="AU41:AV41" si="75">AU3</f>
        <v>44867</v>
      </c>
      <c r="AV41" s="618">
        <f t="shared" si="75"/>
        <v>44897</v>
      </c>
      <c r="AW41" s="73"/>
      <c r="AX41" s="74"/>
      <c r="AY41" s="74"/>
      <c r="AZ41" s="74"/>
      <c r="BA41" s="74"/>
    </row>
    <row r="42" spans="1:53" s="75" customFormat="1" outlineLevel="1">
      <c r="A42" s="41" t="s">
        <v>201</v>
      </c>
      <c r="B42" s="42"/>
      <c r="C42" s="948" t="s">
        <v>389</v>
      </c>
      <c r="D42" s="949"/>
      <c r="E42" s="388"/>
      <c r="F42" s="388"/>
      <c r="G42" s="388"/>
      <c r="H42" s="388"/>
      <c r="I42" s="388"/>
      <c r="J42" s="388"/>
      <c r="K42" s="388"/>
      <c r="L42" s="388"/>
      <c r="M42" s="388"/>
      <c r="N42" s="388"/>
      <c r="O42" s="388"/>
      <c r="P42" s="388"/>
      <c r="Q42" s="113"/>
      <c r="R42" s="401">
        <v>70.534090909090878</v>
      </c>
      <c r="S42" s="401">
        <v>73.725999999999999</v>
      </c>
      <c r="T42" s="401">
        <v>79.739999999999995</v>
      </c>
      <c r="U42" s="401">
        <v>75.221000000000004</v>
      </c>
      <c r="V42" s="401">
        <v>84.823999999999998</v>
      </c>
      <c r="W42" s="401">
        <v>81.861999999999995</v>
      </c>
      <c r="X42" s="401">
        <v>79.42</v>
      </c>
      <c r="Y42" s="401">
        <v>93.733999999999995</v>
      </c>
      <c r="Z42" s="401">
        <v>82.968179950302002</v>
      </c>
      <c r="AA42" s="401">
        <v>96.633323189846323</v>
      </c>
      <c r="AB42" s="633">
        <v>92.405205902591902</v>
      </c>
      <c r="AC42" s="401">
        <v>95</v>
      </c>
      <c r="AD42" s="401">
        <v>94.028999999999996</v>
      </c>
      <c r="AE42" s="401">
        <v>52.897885383437597</v>
      </c>
      <c r="AF42" s="401">
        <v>89.537325857396524</v>
      </c>
      <c r="AG42" s="401">
        <v>86.212173303868781</v>
      </c>
      <c r="AH42" s="401">
        <v>76.073794967644289</v>
      </c>
      <c r="AI42" s="401">
        <v>86.221255408778603</v>
      </c>
      <c r="AJ42" s="401">
        <v>84.198794785534062</v>
      </c>
      <c r="AK42" s="401">
        <v>86.1753871600785</v>
      </c>
      <c r="AL42" s="401">
        <v>75.676666105971407</v>
      </c>
      <c r="AM42" s="401">
        <v>82.984366694701436</v>
      </c>
      <c r="AN42" s="401">
        <v>80.6695206055509</v>
      </c>
      <c r="AO42" s="401">
        <v>71.369269911802917</v>
      </c>
      <c r="AP42" s="401">
        <v>77.410899915895726</v>
      </c>
      <c r="AQ42" s="401">
        <v>79.991263246425575</v>
      </c>
      <c r="AR42" s="401">
        <v>74.432270038484106</v>
      </c>
      <c r="AS42" s="401">
        <v>80.719331370899923</v>
      </c>
      <c r="AT42" s="401">
        <v>83.409975749929913</v>
      </c>
      <c r="AU42" s="401">
        <v>80.33152649285114</v>
      </c>
      <c r="AV42" s="401">
        <v>82.805147462853938</v>
      </c>
      <c r="AW42" s="73"/>
      <c r="AX42" s="74"/>
      <c r="AY42" s="74"/>
      <c r="AZ42" s="74"/>
      <c r="BA42" s="74"/>
    </row>
    <row r="43" spans="1:53" s="75" customFormat="1" outlineLevel="1">
      <c r="A43" s="43" t="s">
        <v>202</v>
      </c>
      <c r="B43" s="44"/>
      <c r="C43" s="941" t="s">
        <v>389</v>
      </c>
      <c r="D43" s="944"/>
      <c r="E43" s="388"/>
      <c r="F43" s="388"/>
      <c r="G43" s="388"/>
      <c r="H43" s="388"/>
      <c r="I43" s="388"/>
      <c r="J43" s="388"/>
      <c r="K43" s="388"/>
      <c r="L43" s="388"/>
      <c r="M43" s="388"/>
      <c r="N43" s="388"/>
      <c r="O43" s="388"/>
      <c r="P43" s="388"/>
      <c r="Q43" s="113"/>
      <c r="R43" s="401">
        <v>169.55890909090911</v>
      </c>
      <c r="S43" s="401">
        <f>S46-S42</f>
        <v>177.61747858181801</v>
      </c>
      <c r="T43" s="401">
        <v>191.2</v>
      </c>
      <c r="U43" s="401">
        <v>200.779</v>
      </c>
      <c r="V43" s="401">
        <v>203.572</v>
      </c>
      <c r="W43" s="401">
        <v>170.31</v>
      </c>
      <c r="X43" s="401">
        <v>158.72500000000002</v>
      </c>
      <c r="Y43" s="401">
        <v>183.55100000000004</v>
      </c>
      <c r="Z43" s="401">
        <v>163.03182004969801</v>
      </c>
      <c r="AA43" s="401">
        <v>188.8815558949461</v>
      </c>
      <c r="AB43" s="401">
        <v>183.15295573005574</v>
      </c>
      <c r="AC43" s="401">
        <v>192.15300000000002</v>
      </c>
      <c r="AD43" s="401">
        <v>189.44711646719878</v>
      </c>
      <c r="AE43" s="401">
        <v>164.5133346546294</v>
      </c>
      <c r="AF43" s="401">
        <v>192.82979725396467</v>
      </c>
      <c r="AG43" s="401">
        <v>171.81050839573982</v>
      </c>
      <c r="AH43" s="401">
        <v>166.4756239709136</v>
      </c>
      <c r="AI43" s="401">
        <v>167.26431040191056</v>
      </c>
      <c r="AJ43" s="401">
        <v>174.80120521446594</v>
      </c>
      <c r="AK43" s="401">
        <v>180.7127568561487</v>
      </c>
      <c r="AL43" s="401">
        <v>163.11951588493935</v>
      </c>
      <c r="AM43" s="401">
        <v>172.36477123633304</v>
      </c>
      <c r="AN43" s="401">
        <v>165.8218587047939</v>
      </c>
      <c r="AO43" s="401">
        <v>154.71262663992121</v>
      </c>
      <c r="AP43" s="401">
        <v>152.16668629100079</v>
      </c>
      <c r="AQ43" s="401">
        <v>157.2389091673675</v>
      </c>
      <c r="AR43" s="401">
        <v>153.43109203048141</v>
      </c>
      <c r="AS43" s="401">
        <v>165.96601345668631</v>
      </c>
      <c r="AT43" s="401">
        <v>171.49821390524252</v>
      </c>
      <c r="AU43" s="401">
        <v>166.35381833473511</v>
      </c>
      <c r="AV43" s="401">
        <v>153.75485572688518</v>
      </c>
      <c r="AW43" s="73"/>
      <c r="AX43" s="74"/>
      <c r="AY43" s="74"/>
      <c r="AZ43" s="74"/>
      <c r="BA43" s="74"/>
    </row>
    <row r="44" spans="1:53" s="75" customFormat="1" outlineLevel="1">
      <c r="A44" s="569" t="s">
        <v>262</v>
      </c>
      <c r="B44" s="44"/>
      <c r="C44" s="941" t="s">
        <v>389</v>
      </c>
      <c r="D44" s="944"/>
      <c r="E44" s="388"/>
      <c r="F44" s="388"/>
      <c r="G44" s="388"/>
      <c r="H44" s="388"/>
      <c r="I44" s="388"/>
      <c r="J44" s="388"/>
      <c r="K44" s="388"/>
      <c r="L44" s="388"/>
      <c r="M44" s="388"/>
      <c r="N44" s="388"/>
      <c r="O44" s="388"/>
      <c r="P44" s="388"/>
      <c r="Q44" s="113"/>
      <c r="R44" s="401"/>
      <c r="S44" s="401"/>
      <c r="T44" s="401"/>
      <c r="U44" s="401"/>
      <c r="V44" s="401"/>
      <c r="W44" s="401"/>
      <c r="X44" s="401"/>
      <c r="Y44" s="401"/>
      <c r="Z44" s="401"/>
      <c r="AA44" s="401">
        <v>46.344512195121951</v>
      </c>
      <c r="AB44" s="401">
        <v>56.996333333333332</v>
      </c>
      <c r="AC44" s="401">
        <v>40.486000000000004</v>
      </c>
      <c r="AD44" s="401">
        <v>58.341000000000001</v>
      </c>
      <c r="AE44" s="401">
        <v>83.738934087429527</v>
      </c>
      <c r="AF44" s="401">
        <v>54.088965517241398</v>
      </c>
      <c r="AG44" s="401">
        <v>65.633567571036011</v>
      </c>
      <c r="AH44" s="401">
        <v>54.257631351709321</v>
      </c>
      <c r="AI44" s="401">
        <v>52.61569289845491</v>
      </c>
      <c r="AJ44" s="401">
        <v>43.604709840201878</v>
      </c>
      <c r="AK44" s="401">
        <v>45.901068124474364</v>
      </c>
      <c r="AL44" s="401">
        <v>53.33684843129528</v>
      </c>
      <c r="AM44" s="401">
        <v>42.228048780487804</v>
      </c>
      <c r="AN44" s="401">
        <v>57.518566021867137</v>
      </c>
      <c r="AO44" s="401">
        <v>47.837216148023536</v>
      </c>
      <c r="AP44" s="401">
        <v>40.865853658536587</v>
      </c>
      <c r="AQ44" s="401">
        <v>42.228048780487804</v>
      </c>
      <c r="AR44" s="401">
        <v>42.228048780487804</v>
      </c>
      <c r="AS44" s="401">
        <v>40.536585365853675</v>
      </c>
      <c r="AT44" s="401">
        <v>41.887804878048797</v>
      </c>
      <c r="AU44" s="401">
        <v>40.756097560975604</v>
      </c>
      <c r="AV44" s="401">
        <v>42.467354596622876</v>
      </c>
      <c r="AW44" s="73"/>
      <c r="AX44" s="74"/>
      <c r="AY44" s="74"/>
      <c r="AZ44" s="74"/>
      <c r="BA44" s="74"/>
    </row>
    <row r="45" spans="1:53" s="75" customFormat="1" outlineLevel="1">
      <c r="A45" s="569" t="s">
        <v>263</v>
      </c>
      <c r="B45" s="44"/>
      <c r="C45" s="941" t="s">
        <v>389</v>
      </c>
      <c r="D45" s="944"/>
      <c r="E45" s="388"/>
      <c r="F45" s="388"/>
      <c r="G45" s="388"/>
      <c r="H45" s="388"/>
      <c r="I45" s="388"/>
      <c r="J45" s="388"/>
      <c r="K45" s="388"/>
      <c r="L45" s="388"/>
      <c r="M45" s="388"/>
      <c r="N45" s="388"/>
      <c r="O45" s="388"/>
      <c r="P45" s="388"/>
      <c r="Q45" s="113"/>
      <c r="R45" s="401"/>
      <c r="S45" s="401"/>
      <c r="T45" s="401"/>
      <c r="U45" s="401"/>
      <c r="V45" s="401"/>
      <c r="W45" s="401"/>
      <c r="X45" s="401"/>
      <c r="Y45" s="401"/>
      <c r="Z45" s="401"/>
      <c r="AA45" s="401">
        <v>142.53704369982415</v>
      </c>
      <c r="AB45" s="401">
        <v>125.18600000000001</v>
      </c>
      <c r="AC45" s="401">
        <v>150.679</v>
      </c>
      <c r="AD45" s="401">
        <v>134.01911646719898</v>
      </c>
      <c r="AE45" s="401">
        <v>80.774400567199308</v>
      </c>
      <c r="AF45" s="401">
        <v>138.74083173672318</v>
      </c>
      <c r="AG45" s="401">
        <v>106.17694082470389</v>
      </c>
      <c r="AH45" s="401">
        <v>112.21799261920437</v>
      </c>
      <c r="AI45" s="401">
        <v>114.64861750345568</v>
      </c>
      <c r="AJ45" s="401">
        <v>132.2880673823777</v>
      </c>
      <c r="AK45" s="401">
        <v>134.81168873167434</v>
      </c>
      <c r="AL45" s="401">
        <v>109.78266745364407</v>
      </c>
      <c r="AM45" s="401">
        <v>130.13672245584522</v>
      </c>
      <c r="AN45" s="401">
        <v>108.30329268292675</v>
      </c>
      <c r="AO45" s="401">
        <v>106.87541049189767</v>
      </c>
      <c r="AP45" s="401">
        <v>111.30083263246422</v>
      </c>
      <c r="AQ45" s="401">
        <v>115.01086038687973</v>
      </c>
      <c r="AR45" s="401">
        <v>111.20304324999361</v>
      </c>
      <c r="AS45" s="401">
        <v>125.42942809083266</v>
      </c>
      <c r="AT45" s="401">
        <v>129.61040902719375</v>
      </c>
      <c r="AU45" s="401">
        <v>125.59772077375951</v>
      </c>
      <c r="AV45" s="401">
        <v>111.28750113026231</v>
      </c>
      <c r="AW45" s="73"/>
      <c r="AX45" s="74"/>
      <c r="AY45" s="74"/>
      <c r="AZ45" s="74"/>
      <c r="BA45" s="74"/>
    </row>
    <row r="46" spans="1:53" s="3" customFormat="1" outlineLevel="1">
      <c r="A46" s="43" t="s">
        <v>200</v>
      </c>
      <c r="B46" s="35"/>
      <c r="C46" s="941" t="s">
        <v>389</v>
      </c>
      <c r="D46" s="944"/>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401">
        <v>239.1825882138433</v>
      </c>
      <c r="S46" s="401">
        <v>251.343478581818</v>
      </c>
      <c r="T46" s="401">
        <v>270.94</v>
      </c>
      <c r="U46" s="401">
        <v>276</v>
      </c>
      <c r="V46" s="401">
        <v>288.39600000000002</v>
      </c>
      <c r="W46" s="401">
        <v>252.172</v>
      </c>
      <c r="X46" s="401">
        <v>238.14500000000001</v>
      </c>
      <c r="Y46" s="401">
        <v>277.28500000000003</v>
      </c>
      <c r="Z46" s="401">
        <v>246</v>
      </c>
      <c r="AA46" s="401">
        <v>285.51487908479243</v>
      </c>
      <c r="AB46" s="633">
        <v>272.33308494533202</v>
      </c>
      <c r="AC46" s="401">
        <v>287.15300000000002</v>
      </c>
      <c r="AD46" s="401">
        <v>283.47611646719878</v>
      </c>
      <c r="AE46" s="401">
        <v>217.411220038067</v>
      </c>
      <c r="AF46" s="401">
        <v>282.3671231113612</v>
      </c>
      <c r="AG46" s="401">
        <v>258.0226816996086</v>
      </c>
      <c r="AH46" s="401">
        <v>242.54941893855789</v>
      </c>
      <c r="AI46" s="401">
        <v>253.48556581068917</v>
      </c>
      <c r="AJ46" s="401">
        <v>259</v>
      </c>
      <c r="AK46" s="401">
        <v>266.88814401622722</v>
      </c>
      <c r="AL46" s="401">
        <v>238.79618199091075</v>
      </c>
      <c r="AM46" s="401">
        <v>255.34913793103448</v>
      </c>
      <c r="AN46" s="401">
        <v>246.4913793103448</v>
      </c>
      <c r="AO46" s="401">
        <v>226.08189655172413</v>
      </c>
      <c r="AP46" s="401">
        <v>229.57758620689651</v>
      </c>
      <c r="AQ46" s="401">
        <v>237.23017241379307</v>
      </c>
      <c r="AR46" s="401">
        <v>227.86336206896553</v>
      </c>
      <c r="AS46" s="401">
        <v>246.68534482758625</v>
      </c>
      <c r="AT46" s="401">
        <v>254.90818965517244</v>
      </c>
      <c r="AU46" s="401">
        <v>246.68534482758625</v>
      </c>
      <c r="AV46" s="401">
        <v>236.56000318973912</v>
      </c>
      <c r="AW46" s="38"/>
      <c r="AX46" s="31"/>
      <c r="AY46" s="31"/>
      <c r="AZ46" s="31"/>
      <c r="BA46" s="31"/>
    </row>
    <row r="47" spans="1:53" s="3" customFormat="1" outlineLevel="1">
      <c r="A47" s="43" t="s">
        <v>29</v>
      </c>
      <c r="B47" s="35"/>
      <c r="C47" s="940">
        <v>44480</v>
      </c>
      <c r="D47" s="945"/>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0</v>
      </c>
      <c r="AF47" s="113">
        <v>0.6</v>
      </c>
      <c r="AG47" s="113">
        <v>0.6</v>
      </c>
      <c r="AH47" s="113">
        <v>1.8</v>
      </c>
      <c r="AI47" s="113">
        <v>1.2</v>
      </c>
      <c r="AJ47" s="113">
        <v>1.2</v>
      </c>
      <c r="AK47" s="113">
        <v>0</v>
      </c>
      <c r="AL47" s="113">
        <v>0</v>
      </c>
      <c r="AM47" s="113">
        <v>0</v>
      </c>
      <c r="AN47" s="113">
        <v>0</v>
      </c>
      <c r="AO47" s="113">
        <v>0</v>
      </c>
      <c r="AP47" s="113">
        <v>0</v>
      </c>
      <c r="AQ47" s="113">
        <v>0</v>
      </c>
      <c r="AR47" s="113">
        <v>0</v>
      </c>
      <c r="AS47" s="113">
        <v>0</v>
      </c>
      <c r="AT47" s="113">
        <v>0</v>
      </c>
      <c r="AU47" s="113">
        <v>0</v>
      </c>
      <c r="AV47" s="113">
        <v>0</v>
      </c>
      <c r="AW47" s="38"/>
      <c r="AX47" s="31"/>
      <c r="AY47" s="31"/>
      <c r="AZ47" s="31"/>
      <c r="BA47" s="31"/>
    </row>
    <row r="48" spans="1:53" outlineLevel="1">
      <c r="A48" s="43" t="s">
        <v>0</v>
      </c>
      <c r="B48" s="35"/>
      <c r="C48" s="940">
        <v>44501</v>
      </c>
      <c r="D48" s="945"/>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58">
        <v>0</v>
      </c>
      <c r="AU48" s="58">
        <v>0</v>
      </c>
      <c r="AV48" s="58">
        <v>0</v>
      </c>
      <c r="AW48" s="38"/>
      <c r="AX48" s="31"/>
      <c r="AY48" s="31"/>
      <c r="AZ48" s="31"/>
      <c r="BA48" s="31"/>
    </row>
    <row r="49" spans="1:54" outlineLevel="1">
      <c r="A49" s="43" t="s">
        <v>1</v>
      </c>
      <c r="B49" s="35"/>
      <c r="C49" s="940">
        <v>44495</v>
      </c>
      <c r="D49" s="945"/>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5.78</v>
      </c>
      <c r="AE49" s="58">
        <v>6.12</v>
      </c>
      <c r="AF49" s="58">
        <v>6.12</v>
      </c>
      <c r="AG49" s="58">
        <v>5.4</v>
      </c>
      <c r="AH49" s="58">
        <v>5.4</v>
      </c>
      <c r="AI49" s="58">
        <v>5.4</v>
      </c>
      <c r="AJ49" s="58">
        <v>5.4</v>
      </c>
      <c r="AK49" s="58">
        <v>6.12</v>
      </c>
      <c r="AL49" s="58">
        <v>6.12</v>
      </c>
      <c r="AM49" s="58">
        <v>6.12</v>
      </c>
      <c r="AN49" s="58">
        <v>6.12</v>
      </c>
      <c r="AO49" s="58">
        <v>6.12</v>
      </c>
      <c r="AP49" s="58">
        <v>6.12</v>
      </c>
      <c r="AQ49" s="58">
        <v>6.12</v>
      </c>
      <c r="AR49" s="58">
        <v>6.12</v>
      </c>
      <c r="AS49" s="58">
        <v>6.12</v>
      </c>
      <c r="AT49" s="58">
        <v>6.12</v>
      </c>
      <c r="AU49" s="58">
        <v>6.12</v>
      </c>
      <c r="AV49" s="58">
        <v>6.12</v>
      </c>
      <c r="AW49" s="38"/>
      <c r="AX49" s="31"/>
      <c r="AY49" s="31"/>
      <c r="AZ49" s="31"/>
      <c r="BA49" s="31"/>
    </row>
    <row r="50" spans="1:54" outlineLevel="1">
      <c r="A50" s="43" t="s">
        <v>28</v>
      </c>
      <c r="B50" s="35"/>
      <c r="C50" s="940">
        <v>44480</v>
      </c>
      <c r="D50" s="945"/>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5.55</v>
      </c>
      <c r="AJ50" s="58">
        <v>5.7350000000000003</v>
      </c>
      <c r="AK50" s="58">
        <v>5.7350000000000003</v>
      </c>
      <c r="AL50" s="58">
        <v>5.7350000000000003</v>
      </c>
      <c r="AM50" s="58">
        <v>5.7350000000000003</v>
      </c>
      <c r="AN50" s="58">
        <v>5.7350000000000003</v>
      </c>
      <c r="AO50" s="58">
        <v>5.7350000000000003</v>
      </c>
      <c r="AP50" s="58">
        <v>5.7350000000000003</v>
      </c>
      <c r="AQ50" s="58">
        <v>5.7350000000000003</v>
      </c>
      <c r="AR50" s="58">
        <v>5.7350000000000003</v>
      </c>
      <c r="AS50" s="58">
        <v>5.7350000000000003</v>
      </c>
      <c r="AT50" s="58">
        <v>5.7350000000000003</v>
      </c>
      <c r="AU50" s="58">
        <v>5.7350000000000003</v>
      </c>
      <c r="AV50" s="58">
        <v>5.7350000000000003</v>
      </c>
      <c r="AW50" s="38"/>
      <c r="AX50" s="31"/>
      <c r="AY50" s="31"/>
      <c r="AZ50" s="31"/>
      <c r="BA50" s="31"/>
    </row>
    <row r="51" spans="1:54" ht="15" outlineLevel="1" thickBot="1">
      <c r="A51" s="51" t="s">
        <v>5</v>
      </c>
      <c r="B51" s="389"/>
      <c r="C51" s="942">
        <v>44502</v>
      </c>
      <c r="D51" s="961"/>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657">
        <v>8.3699999999999992</v>
      </c>
      <c r="AF51" s="657">
        <v>14.6</v>
      </c>
      <c r="AG51" s="657">
        <v>15</v>
      </c>
      <c r="AH51" s="657">
        <v>18.445</v>
      </c>
      <c r="AI51" s="657">
        <v>15.75</v>
      </c>
      <c r="AJ51" s="657">
        <v>13.779299999999996</v>
      </c>
      <c r="AK51" s="657">
        <v>13.055</v>
      </c>
      <c r="AL51" s="657">
        <v>12.88</v>
      </c>
      <c r="AM51" s="657">
        <v>16.43</v>
      </c>
      <c r="AN51" s="657">
        <v>9.3000000000000007</v>
      </c>
      <c r="AO51" s="657">
        <v>17.36</v>
      </c>
      <c r="AP51" s="657">
        <v>13.65</v>
      </c>
      <c r="AQ51" s="657">
        <v>4.9349999999999996</v>
      </c>
      <c r="AR51" s="657">
        <v>6.2</v>
      </c>
      <c r="AS51" s="657">
        <v>1.2949999999999999</v>
      </c>
      <c r="AT51" s="657">
        <v>0.33</v>
      </c>
      <c r="AU51" s="657">
        <v>3.3229219999999993</v>
      </c>
      <c r="AV51" s="657">
        <v>1.2949999999999999</v>
      </c>
      <c r="AW51" s="38"/>
      <c r="AX51" s="31"/>
      <c r="AY51" s="31"/>
      <c r="AZ51" s="31"/>
      <c r="BA51" s="31"/>
    </row>
    <row r="52" spans="1:54" ht="15" outlineLevel="1" thickBot="1">
      <c r="A52" s="957" t="s">
        <v>32</v>
      </c>
      <c r="B52" s="958"/>
      <c r="C52" s="958"/>
      <c r="D52" s="962"/>
      <c r="E52" s="59">
        <f>SUM(E46:E51)</f>
        <v>336.07599999999996</v>
      </c>
      <c r="F52" s="60">
        <f t="shared" ref="F52:Y52" si="76">SUM(F46:F51)</f>
        <v>348.84800000000001</v>
      </c>
      <c r="G52" s="60">
        <f t="shared" si="76"/>
        <v>377.517</v>
      </c>
      <c r="H52" s="60">
        <f t="shared" si="76"/>
        <v>371.96999999999997</v>
      </c>
      <c r="I52" s="60">
        <f t="shared" si="76"/>
        <v>372.5</v>
      </c>
      <c r="J52" s="60">
        <f t="shared" si="76"/>
        <v>362.6</v>
      </c>
      <c r="K52" s="60">
        <f t="shared" si="76"/>
        <v>352.35</v>
      </c>
      <c r="L52" s="60">
        <f t="shared" si="76"/>
        <v>358.21</v>
      </c>
      <c r="M52" s="60">
        <f t="shared" si="76"/>
        <v>338.53100000000001</v>
      </c>
      <c r="N52" s="60">
        <f t="shared" si="76"/>
        <v>314.61</v>
      </c>
      <c r="O52" s="60">
        <f t="shared" si="76"/>
        <v>350.30500000000006</v>
      </c>
      <c r="P52" s="60">
        <f t="shared" si="76"/>
        <v>333.35000000000008</v>
      </c>
      <c r="Q52" s="60">
        <f t="shared" si="76"/>
        <v>261.2</v>
      </c>
      <c r="R52" s="60">
        <f t="shared" si="76"/>
        <v>263.78258821384333</v>
      </c>
      <c r="S52" s="60">
        <f>SUM(S46:S51)</f>
        <v>284.84347858181803</v>
      </c>
      <c r="T52" s="60">
        <f>SUM(T46:T51)</f>
        <v>297.27999999999997</v>
      </c>
      <c r="U52" s="60">
        <f>SUM(U46:U51)</f>
        <v>306.62</v>
      </c>
      <c r="V52" s="60">
        <f t="shared" si="76"/>
        <v>318.67600000000004</v>
      </c>
      <c r="W52" s="60">
        <f t="shared" si="76"/>
        <v>290.13200000000001</v>
      </c>
      <c r="X52" s="60">
        <f t="shared" si="76"/>
        <v>279.91500000000002</v>
      </c>
      <c r="Y52" s="60">
        <f t="shared" si="76"/>
        <v>306.19499999999999</v>
      </c>
      <c r="Z52" s="60">
        <f t="shared" ref="Z52:AE52" si="77">SUM(Z46:Z51)</f>
        <v>272.63</v>
      </c>
      <c r="AA52" s="60">
        <f t="shared" si="77"/>
        <v>315.2348790847924</v>
      </c>
      <c r="AB52" s="60">
        <f t="shared" si="77"/>
        <v>300.71308494533201</v>
      </c>
      <c r="AC52" s="60">
        <f t="shared" si="77"/>
        <v>315.36799999999999</v>
      </c>
      <c r="AD52" s="60">
        <f t="shared" si="77"/>
        <v>309.95611646719874</v>
      </c>
      <c r="AE52" s="60">
        <f t="shared" si="77"/>
        <v>237.63622003806702</v>
      </c>
      <c r="AF52" s="60">
        <f t="shared" ref="AF52:AK52" si="78">SUM(AF46:AF51)</f>
        <v>309.42212311136126</v>
      </c>
      <c r="AG52" s="60">
        <f t="shared" si="78"/>
        <v>284.57268169960861</v>
      </c>
      <c r="AH52" s="60">
        <f t="shared" si="78"/>
        <v>273.92941893855794</v>
      </c>
      <c r="AI52" s="60">
        <f t="shared" si="78"/>
        <v>281.38556581068917</v>
      </c>
      <c r="AJ52" s="60">
        <f t="shared" si="78"/>
        <v>285.11429999999996</v>
      </c>
      <c r="AK52" s="60">
        <f t="shared" si="78"/>
        <v>291.79814401622724</v>
      </c>
      <c r="AL52" s="60">
        <f t="shared" ref="AL52:AM52" si="79">SUM(AL46:AL51)</f>
        <v>263.5311819909108</v>
      </c>
      <c r="AM52" s="60">
        <f t="shared" si="79"/>
        <v>283.6341379310345</v>
      </c>
      <c r="AN52" s="60">
        <f t="shared" ref="AN52:AO52" si="80">SUM(AN46:AN51)</f>
        <v>267.6463793103448</v>
      </c>
      <c r="AO52" s="60">
        <f t="shared" si="80"/>
        <v>255.29689655172416</v>
      </c>
      <c r="AP52" s="60">
        <f t="shared" ref="AP52:AQ52" si="81">SUM(AP46:AP51)</f>
        <v>255.08258620689654</v>
      </c>
      <c r="AQ52" s="60">
        <f t="shared" si="81"/>
        <v>254.02017241379309</v>
      </c>
      <c r="AR52" s="60">
        <f t="shared" ref="AR52:AS52" si="82">SUM(AR46:AR51)</f>
        <v>245.91836206896554</v>
      </c>
      <c r="AS52" s="60">
        <f t="shared" si="82"/>
        <v>259.83534482758625</v>
      </c>
      <c r="AT52" s="60">
        <f t="shared" ref="AT52:AU52" si="83">SUM(AT46:AT51)</f>
        <v>267.09318965517241</v>
      </c>
      <c r="AU52" s="60">
        <f t="shared" si="83"/>
        <v>261.86326682758624</v>
      </c>
      <c r="AV52" s="60">
        <f t="shared" ref="AV52" si="84">SUM(AV46:AV51)</f>
        <v>249.71000318973913</v>
      </c>
      <c r="AW52" s="38"/>
      <c r="AX52" s="31"/>
      <c r="AY52" s="31"/>
      <c r="AZ52" s="31"/>
      <c r="BA52" s="31"/>
    </row>
    <row r="53" spans="1:54" ht="15" outlineLevel="1" thickBot="1">
      <c r="A53" s="40" t="s">
        <v>36</v>
      </c>
      <c r="B53" s="30"/>
      <c r="C53" s="31"/>
      <c r="D53" s="31"/>
      <c r="E53" s="31"/>
      <c r="F53" s="31"/>
      <c r="G53" s="31"/>
      <c r="H53" s="31"/>
      <c r="I53" s="31"/>
      <c r="J53" s="31"/>
      <c r="K53" s="31"/>
      <c r="L53" s="31"/>
      <c r="M53" s="294">
        <f>M59-M109-M115-M118-M119-M127-M128-M129-M130-M131-M132-M133-M134-M136-M137-M139-M140-M141-M142-M143-M144-M145-M146-M147</f>
        <v>118.10699999999997</v>
      </c>
      <c r="N53" s="294">
        <f>N59-N109-N115-N118-N119-N127-N128-N129-N130-N131-N132-N133-N134-N136-N137-N139-N140-N141-N142-N143-N144-N145-N146-N147</f>
        <v>139.47399999999999</v>
      </c>
      <c r="O53" s="294">
        <f>O59-O109-O115-O118-O119-O127-O128-O129-O130-O131-O132-O133-O134-O136-O137-O139-O140-O141-O142-O143-O144-O145-O146-O147</f>
        <v>140.74199999999999</v>
      </c>
      <c r="P53" s="294">
        <f>P59-P109-P115-P118-P119-P127-P128-P129-P130-P131-P132-P133-P134-P136-P137-P139-P140-P141-P142-P143-P144-P145-P146-P147</f>
        <v>89.700999999999979</v>
      </c>
      <c r="Q53" s="294">
        <f>Q59-Q109-Q115-Q118-Q119-Q127-Q128-Q129-Q130-Q131-Q132-Q133-Q134-Q136-Q137-Q139-Q140-Q141-Q142-Q143-Q144-Q145-Q146-Q147</f>
        <v>115.392</v>
      </c>
      <c r="R53" s="294">
        <f t="shared" ref="R53:AV53" si="85">R59-R109-R113-R115-R118-R119-R127-R128-R129-R130-R131-R132-R133-R134-R136-R137-R139-R140-R141-R142-R143-R144-R145-R146-R147</f>
        <v>90.575999999999993</v>
      </c>
      <c r="S53" s="391">
        <f t="shared" si="85"/>
        <v>104.07799999999997</v>
      </c>
      <c r="T53" s="391">
        <f t="shared" si="85"/>
        <v>105.9876373626374</v>
      </c>
      <c r="U53" s="391">
        <f t="shared" si="85"/>
        <v>124.39</v>
      </c>
      <c r="V53" s="391">
        <f t="shared" si="85"/>
        <v>118.44200000000002</v>
      </c>
      <c r="W53" s="391">
        <f t="shared" si="85"/>
        <v>108.9</v>
      </c>
      <c r="X53" s="391">
        <f t="shared" si="85"/>
        <v>106.32599999999999</v>
      </c>
      <c r="Y53" s="391">
        <f t="shared" si="85"/>
        <v>119.73485793868549</v>
      </c>
      <c r="Z53" s="391">
        <f t="shared" si="85"/>
        <v>88.984232274350305</v>
      </c>
      <c r="AA53" s="391">
        <f t="shared" si="85"/>
        <v>107.17399999999996</v>
      </c>
      <c r="AB53" s="391">
        <f t="shared" si="85"/>
        <v>102.68900000000004</v>
      </c>
      <c r="AC53" s="391">
        <f t="shared" si="85"/>
        <v>92.214000000000013</v>
      </c>
      <c r="AD53" s="391">
        <f t="shared" si="85"/>
        <v>91.528853501773014</v>
      </c>
      <c r="AE53" s="391">
        <f t="shared" si="85"/>
        <v>30.741</v>
      </c>
      <c r="AF53" s="391">
        <f t="shared" si="85"/>
        <v>116.96299999999999</v>
      </c>
      <c r="AG53" s="391">
        <f t="shared" si="85"/>
        <v>75.481328758432213</v>
      </c>
      <c r="AH53" s="391">
        <f t="shared" si="85"/>
        <v>102.14227184122046</v>
      </c>
      <c r="AI53" s="391">
        <f t="shared" si="85"/>
        <v>98.994</v>
      </c>
      <c r="AJ53" s="391">
        <f t="shared" si="85"/>
        <v>110.8814342231823</v>
      </c>
      <c r="AK53" s="391">
        <f t="shared" si="85"/>
        <v>91.119212509377888</v>
      </c>
      <c r="AL53" s="391">
        <f t="shared" si="85"/>
        <v>71.139469662143625</v>
      </c>
      <c r="AM53" s="391">
        <f t="shared" si="85"/>
        <v>60.751206424185128</v>
      </c>
      <c r="AN53" s="391">
        <f t="shared" si="85"/>
        <v>54.803187529522887</v>
      </c>
      <c r="AO53" s="391">
        <f t="shared" si="85"/>
        <v>38.008431833514777</v>
      </c>
      <c r="AP53" s="656">
        <f t="shared" si="85"/>
        <v>39.379858872178168</v>
      </c>
      <c r="AQ53" s="656">
        <f t="shared" si="85"/>
        <v>44.360183607825753</v>
      </c>
      <c r="AR53" s="656">
        <f t="shared" si="85"/>
        <v>43.26357568392897</v>
      </c>
      <c r="AS53" s="656">
        <f t="shared" si="85"/>
        <v>57.984407771624575</v>
      </c>
      <c r="AT53" s="656">
        <f t="shared" si="85"/>
        <v>60.981149833689742</v>
      </c>
      <c r="AU53" s="656">
        <f t="shared" si="85"/>
        <v>56.595951739646438</v>
      </c>
      <c r="AV53" s="656">
        <f t="shared" si="85"/>
        <v>46.024552396376471</v>
      </c>
      <c r="AW53" s="31"/>
      <c r="AX53" s="31"/>
      <c r="AY53" s="31"/>
      <c r="AZ53" s="31"/>
      <c r="BA53" s="31"/>
    </row>
    <row r="54" spans="1:54" s="75" customFormat="1" ht="15" outlineLevel="1" thickBot="1">
      <c r="A54" s="946" t="s">
        <v>33</v>
      </c>
      <c r="B54" s="947"/>
      <c r="C54" s="947" t="s">
        <v>34</v>
      </c>
      <c r="D54" s="947"/>
      <c r="E54" s="77">
        <f t="shared" ref="E54:AL54" si="86">E3</f>
        <v>43587</v>
      </c>
      <c r="F54" s="78">
        <f t="shared" si="86"/>
        <v>43618</v>
      </c>
      <c r="G54" s="78">
        <f t="shared" si="86"/>
        <v>43648</v>
      </c>
      <c r="H54" s="78">
        <f t="shared" si="86"/>
        <v>43679</v>
      </c>
      <c r="I54" s="78">
        <f t="shared" si="86"/>
        <v>43710</v>
      </c>
      <c r="J54" s="78">
        <f t="shared" si="86"/>
        <v>43740</v>
      </c>
      <c r="K54" s="78">
        <f t="shared" si="86"/>
        <v>43771</v>
      </c>
      <c r="L54" s="78">
        <f t="shared" si="86"/>
        <v>43801</v>
      </c>
      <c r="M54" s="78">
        <f t="shared" si="86"/>
        <v>43832</v>
      </c>
      <c r="N54" s="78">
        <f t="shared" si="86"/>
        <v>43863</v>
      </c>
      <c r="O54" s="78">
        <f t="shared" si="86"/>
        <v>43892</v>
      </c>
      <c r="P54" s="78">
        <f t="shared" si="86"/>
        <v>43923</v>
      </c>
      <c r="Q54" s="78">
        <f t="shared" si="86"/>
        <v>43953</v>
      </c>
      <c r="R54" s="78">
        <f t="shared" si="86"/>
        <v>43984</v>
      </c>
      <c r="S54" s="78">
        <f t="shared" si="86"/>
        <v>44014</v>
      </c>
      <c r="T54" s="78">
        <f t="shared" si="86"/>
        <v>44045</v>
      </c>
      <c r="U54" s="78">
        <f t="shared" si="86"/>
        <v>44076</v>
      </c>
      <c r="V54" s="78">
        <f t="shared" si="86"/>
        <v>44106</v>
      </c>
      <c r="W54" s="78">
        <f t="shared" si="86"/>
        <v>44137</v>
      </c>
      <c r="X54" s="78">
        <f t="shared" si="86"/>
        <v>44167</v>
      </c>
      <c r="Y54" s="78">
        <f t="shared" si="86"/>
        <v>44198</v>
      </c>
      <c r="Z54" s="78">
        <f t="shared" si="86"/>
        <v>44229</v>
      </c>
      <c r="AA54" s="78">
        <f t="shared" si="86"/>
        <v>44257</v>
      </c>
      <c r="AB54" s="78">
        <f t="shared" si="86"/>
        <v>44288</v>
      </c>
      <c r="AC54" s="78">
        <f t="shared" si="86"/>
        <v>44318</v>
      </c>
      <c r="AD54" s="78">
        <f t="shared" si="86"/>
        <v>44349</v>
      </c>
      <c r="AE54" s="78">
        <f t="shared" si="86"/>
        <v>44379</v>
      </c>
      <c r="AF54" s="78">
        <f t="shared" si="86"/>
        <v>44410</v>
      </c>
      <c r="AG54" s="78">
        <f t="shared" si="86"/>
        <v>44441</v>
      </c>
      <c r="AH54" s="78">
        <f t="shared" si="86"/>
        <v>44471</v>
      </c>
      <c r="AI54" s="78">
        <f t="shared" si="86"/>
        <v>44502</v>
      </c>
      <c r="AJ54" s="78">
        <f t="shared" si="86"/>
        <v>44532</v>
      </c>
      <c r="AK54" s="78">
        <f t="shared" si="86"/>
        <v>44563</v>
      </c>
      <c r="AL54" s="78">
        <f t="shared" si="86"/>
        <v>44594</v>
      </c>
      <c r="AM54" s="78">
        <f t="shared" ref="AM54:AP54" si="87">AM3</f>
        <v>44622</v>
      </c>
      <c r="AN54" s="618">
        <f t="shared" si="87"/>
        <v>44653</v>
      </c>
      <c r="AO54" s="831">
        <f t="shared" ref="AO54" si="88">AO3</f>
        <v>44683</v>
      </c>
      <c r="AP54" s="618">
        <f t="shared" si="87"/>
        <v>44714</v>
      </c>
      <c r="AQ54" s="618">
        <f t="shared" ref="AQ54:AR54" si="89">AQ3</f>
        <v>44744</v>
      </c>
      <c r="AR54" s="618">
        <f t="shared" si="89"/>
        <v>44775</v>
      </c>
      <c r="AS54" s="618">
        <f t="shared" ref="AS54:AT54" si="90">AS3</f>
        <v>44806</v>
      </c>
      <c r="AT54" s="618">
        <f t="shared" si="90"/>
        <v>44836</v>
      </c>
      <c r="AU54" s="618">
        <f t="shared" ref="AU54:AV54" si="91">AU3</f>
        <v>44867</v>
      </c>
      <c r="AV54" s="831">
        <f t="shared" si="91"/>
        <v>44897</v>
      </c>
      <c r="AW54" s="73"/>
      <c r="AX54" s="74"/>
      <c r="AY54" s="74"/>
      <c r="AZ54" s="74"/>
      <c r="BA54" s="74"/>
    </row>
    <row r="55" spans="1:54" s="75" customFormat="1" outlineLevel="1">
      <c r="A55" s="41" t="s">
        <v>201</v>
      </c>
      <c r="B55" s="42"/>
      <c r="C55" s="948" t="s">
        <v>394</v>
      </c>
      <c r="D55" s="949"/>
      <c r="E55" s="388"/>
      <c r="F55" s="388"/>
      <c r="G55" s="388"/>
      <c r="H55" s="388"/>
      <c r="I55" s="388"/>
      <c r="J55" s="388"/>
      <c r="K55" s="388"/>
      <c r="L55" s="388"/>
      <c r="M55" s="388"/>
      <c r="N55" s="388"/>
      <c r="O55" s="388"/>
      <c r="P55" s="388"/>
      <c r="Q55" s="236"/>
      <c r="R55" s="236">
        <v>70</v>
      </c>
      <c r="S55" s="236">
        <v>74.078409090909062</v>
      </c>
      <c r="T55" s="236">
        <v>80.5</v>
      </c>
      <c r="U55" s="236">
        <v>75.221000000000004</v>
      </c>
      <c r="V55" s="236">
        <v>85.72</v>
      </c>
      <c r="W55" s="236">
        <v>83.730999999999995</v>
      </c>
      <c r="X55" s="236">
        <v>85</v>
      </c>
      <c r="Y55" s="236">
        <v>93.219380729154906</v>
      </c>
      <c r="Z55" s="236">
        <v>85.441534018875444</v>
      </c>
      <c r="AA55" s="236">
        <v>98</v>
      </c>
      <c r="AB55" s="236">
        <v>86.9</v>
      </c>
      <c r="AC55" s="236">
        <v>89</v>
      </c>
      <c r="AD55" s="236">
        <v>94.238</v>
      </c>
      <c r="AE55" s="683">
        <v>47.682000000000002</v>
      </c>
      <c r="AF55" s="675">
        <v>89.749651273033137</v>
      </c>
      <c r="AG55" s="675">
        <v>86.534616232137253</v>
      </c>
      <c r="AH55" s="675">
        <v>76.468076812202298</v>
      </c>
      <c r="AI55" s="292">
        <v>89</v>
      </c>
      <c r="AJ55" s="236">
        <v>84.010944947697368</v>
      </c>
      <c r="AK55" s="236">
        <v>86.04205382674516</v>
      </c>
      <c r="AL55" s="236">
        <v>76.936253994953745</v>
      </c>
      <c r="AM55" s="236">
        <v>82.984366694701436</v>
      </c>
      <c r="AN55" s="236">
        <v>80.6695206055509</v>
      </c>
      <c r="AO55" s="236">
        <v>71.369269911802917</v>
      </c>
      <c r="AP55" s="236">
        <v>77.410899915895726</v>
      </c>
      <c r="AQ55" s="236">
        <v>79.991263246425575</v>
      </c>
      <c r="AR55" s="236">
        <v>74.432270038484106</v>
      </c>
      <c r="AS55" s="236">
        <v>80.719331370899923</v>
      </c>
      <c r="AT55" s="236">
        <v>83.409975749929913</v>
      </c>
      <c r="AU55" s="236">
        <v>80.33152649285114</v>
      </c>
      <c r="AV55" s="236">
        <v>82.805147462853938</v>
      </c>
      <c r="AW55" s="73"/>
      <c r="AX55" s="463">
        <f>SUM(Y55:AJ55)</f>
        <v>1020.2442040131003</v>
      </c>
      <c r="AY55" s="74"/>
      <c r="AZ55" s="832">
        <f>SUM(AK55:AV55)</f>
        <v>957.10187931109442</v>
      </c>
      <c r="BA55" s="74"/>
    </row>
    <row r="56" spans="1:54" s="75" customFormat="1" outlineLevel="1">
      <c r="A56" s="43" t="s">
        <v>202</v>
      </c>
      <c r="B56" s="44"/>
      <c r="C56" s="941" t="str">
        <f>C55</f>
        <v>Ability 1rev0_2Dec'21</v>
      </c>
      <c r="D56" s="944"/>
      <c r="E56" s="388"/>
      <c r="F56" s="388"/>
      <c r="G56" s="388"/>
      <c r="H56" s="388"/>
      <c r="I56" s="388"/>
      <c r="J56" s="388"/>
      <c r="K56" s="388"/>
      <c r="L56" s="388"/>
      <c r="M56" s="388"/>
      <c r="N56" s="388"/>
      <c r="O56" s="388"/>
      <c r="P56" s="388"/>
      <c r="Q56" s="236"/>
      <c r="R56" s="236">
        <f t="shared" ref="R56:W56" si="92">R59-R55</f>
        <v>168.5</v>
      </c>
      <c r="S56" s="236">
        <f t="shared" si="92"/>
        <v>176.52959090909093</v>
      </c>
      <c r="T56" s="236">
        <f t="shared" si="92"/>
        <v>189.8</v>
      </c>
      <c r="U56" s="236">
        <f t="shared" si="92"/>
        <v>200.779</v>
      </c>
      <c r="V56" s="236">
        <f t="shared" si="92"/>
        <v>194.08200000000002</v>
      </c>
      <c r="W56" s="236">
        <f t="shared" si="92"/>
        <v>171.96899999999999</v>
      </c>
      <c r="X56" s="236">
        <f t="shared" ref="X56:AL56" si="93">X59-X55</f>
        <v>182.7</v>
      </c>
      <c r="Y56" s="236">
        <f t="shared" si="93"/>
        <v>184.18247720953059</v>
      </c>
      <c r="Z56" s="572">
        <f t="shared" si="93"/>
        <v>168.89869825547487</v>
      </c>
      <c r="AA56" s="572">
        <f t="shared" si="93"/>
        <v>187</v>
      </c>
      <c r="AB56" s="572">
        <f t="shared" si="93"/>
        <v>177.6</v>
      </c>
      <c r="AC56" s="572">
        <f t="shared" si="93"/>
        <v>201.161</v>
      </c>
      <c r="AD56" s="572">
        <f>AD59-AD55</f>
        <v>189.04585350177302</v>
      </c>
      <c r="AE56" s="572">
        <f t="shared" si="93"/>
        <v>166.31799999999998</v>
      </c>
      <c r="AF56" s="572">
        <f>AF59-AF55</f>
        <v>189.25034872696688</v>
      </c>
      <c r="AG56" s="572">
        <f t="shared" si="93"/>
        <v>170.22171252629494</v>
      </c>
      <c r="AH56" s="572">
        <f t="shared" si="93"/>
        <v>165.77219502901818</v>
      </c>
      <c r="AI56" s="572">
        <f t="shared" si="93"/>
        <v>161</v>
      </c>
      <c r="AJ56" s="572">
        <f t="shared" si="93"/>
        <v>172.8444892754849</v>
      </c>
      <c r="AK56" s="572">
        <f t="shared" si="93"/>
        <v>180.09609018948206</v>
      </c>
      <c r="AL56" s="572">
        <f t="shared" si="93"/>
        <v>160.37992799595702</v>
      </c>
      <c r="AM56" s="572">
        <f t="shared" ref="AM56:AN56" si="94">AM59-AM55</f>
        <v>172.37077123633301</v>
      </c>
      <c r="AN56" s="572">
        <f t="shared" si="94"/>
        <v>165.8218587047939</v>
      </c>
      <c r="AO56" s="572">
        <f t="shared" ref="AO56:AP56" si="95">AO59-AO55</f>
        <v>154.71262663992121</v>
      </c>
      <c r="AP56" s="572">
        <f t="shared" si="95"/>
        <v>152.16668629100079</v>
      </c>
      <c r="AQ56" s="572">
        <f t="shared" ref="AQ56:AR56" si="96">AQ59-AQ55</f>
        <v>157.2389091673675</v>
      </c>
      <c r="AR56" s="572">
        <f t="shared" si="96"/>
        <v>153.43109203048141</v>
      </c>
      <c r="AS56" s="572">
        <f t="shared" ref="AS56:AT56" si="97">AS59-AS55</f>
        <v>165.96601345668631</v>
      </c>
      <c r="AT56" s="572">
        <f t="shared" si="97"/>
        <v>171.49821390524252</v>
      </c>
      <c r="AU56" s="572">
        <f t="shared" ref="AU56:AV56" si="98">AU59-AU55</f>
        <v>166.35381833473511</v>
      </c>
      <c r="AV56" s="572">
        <f t="shared" si="98"/>
        <v>153.75485572688518</v>
      </c>
      <c r="AW56" s="73"/>
      <c r="AX56" s="463">
        <f t="shared" ref="AX56:AX64" si="99">SUM(Y56:AJ56)</f>
        <v>2133.2947745245433</v>
      </c>
      <c r="AY56" s="74"/>
      <c r="AZ56" s="832">
        <f t="shared" ref="AZ56:AZ64" si="100">SUM(AK56:AV56)</f>
        <v>1953.7908636788857</v>
      </c>
      <c r="BA56" s="74"/>
    </row>
    <row r="57" spans="1:54" s="75" customFormat="1" outlineLevel="1">
      <c r="A57" s="569" t="s">
        <v>262</v>
      </c>
      <c r="B57" s="44"/>
      <c r="C57" s="959" t="str">
        <f>C55</f>
        <v>Ability 1rev0_2Dec'21</v>
      </c>
      <c r="D57" s="960"/>
      <c r="E57" s="388"/>
      <c r="F57" s="388"/>
      <c r="G57" s="388"/>
      <c r="H57" s="388"/>
      <c r="I57" s="388"/>
      <c r="J57" s="388"/>
      <c r="K57" s="388"/>
      <c r="L57" s="388"/>
      <c r="M57" s="388"/>
      <c r="N57" s="388"/>
      <c r="O57" s="388"/>
      <c r="P57" s="388"/>
      <c r="Q57" s="236"/>
      <c r="R57" s="236"/>
      <c r="S57" s="236"/>
      <c r="T57" s="236"/>
      <c r="U57" s="236"/>
      <c r="V57" s="236"/>
      <c r="W57" s="236"/>
      <c r="X57" s="236"/>
      <c r="Y57" s="236"/>
      <c r="Z57" s="571">
        <v>38.612364983928693</v>
      </c>
      <c r="AA57" s="571">
        <v>43.169512195121946</v>
      </c>
      <c r="AB57" s="571">
        <v>56.726731707317072</v>
      </c>
      <c r="AC57" s="571">
        <v>71.565375161550747</v>
      </c>
      <c r="AD57" s="571">
        <v>58.113</v>
      </c>
      <c r="AE57" s="571">
        <v>82.88682871836977</v>
      </c>
      <c r="AF57" s="571">
        <v>54.557517241379337</v>
      </c>
      <c r="AG57" s="571">
        <v>64.153119295173951</v>
      </c>
      <c r="AH57" s="571">
        <v>54.917734799985176</v>
      </c>
      <c r="AI57" s="571">
        <v>52.66437993273901</v>
      </c>
      <c r="AJ57" s="571">
        <v>46.157709457551455</v>
      </c>
      <c r="AK57" s="571">
        <v>48.058082422203547</v>
      </c>
      <c r="AL57" s="571">
        <v>46.840344827586222</v>
      </c>
      <c r="AM57" s="571">
        <v>60.302649285113503</v>
      </c>
      <c r="AN57" s="571">
        <v>55.483200168208597</v>
      </c>
      <c r="AO57" s="571">
        <v>54.288940285954574</v>
      </c>
      <c r="AP57" s="571">
        <v>54.719175777964665</v>
      </c>
      <c r="AQ57" s="571">
        <v>55.215538267451628</v>
      </c>
      <c r="AR57" s="571">
        <v>42.228048780487804</v>
      </c>
      <c r="AS57" s="571">
        <v>40.536585365853675</v>
      </c>
      <c r="AT57" s="571">
        <v>41.887804878048797</v>
      </c>
      <c r="AU57" s="571">
        <v>40.756097560975604</v>
      </c>
      <c r="AV57" s="571">
        <v>42.467354596622876</v>
      </c>
      <c r="AW57" s="73"/>
      <c r="AX57" s="463"/>
      <c r="AY57" s="74"/>
      <c r="AZ57" s="832"/>
      <c r="BA57" s="74"/>
    </row>
    <row r="58" spans="1:54" s="75" customFormat="1" outlineLevel="1">
      <c r="A58" s="569" t="s">
        <v>263</v>
      </c>
      <c r="B58" s="44"/>
      <c r="C58" s="959" t="str">
        <f>C55</f>
        <v>Ability 1rev0_2Dec'21</v>
      </c>
      <c r="D58" s="960"/>
      <c r="E58" s="388"/>
      <c r="F58" s="388"/>
      <c r="G58" s="388"/>
      <c r="H58" s="388"/>
      <c r="I58" s="388"/>
      <c r="J58" s="388"/>
      <c r="K58" s="388"/>
      <c r="L58" s="388"/>
      <c r="M58" s="388"/>
      <c r="N58" s="388"/>
      <c r="O58" s="388"/>
      <c r="P58" s="388"/>
      <c r="Q58" s="236"/>
      <c r="R58" s="236"/>
      <c r="S58" s="236"/>
      <c r="T58" s="236"/>
      <c r="U58" s="236"/>
      <c r="V58" s="236"/>
      <c r="W58" s="236"/>
      <c r="X58" s="236"/>
      <c r="Y58" s="236"/>
      <c r="Z58" s="571">
        <v>130.2863332715462</v>
      </c>
      <c r="AA58" s="571">
        <v>148.70393375022635</v>
      </c>
      <c r="AB58" s="571">
        <v>123.2011473354232</v>
      </c>
      <c r="AC58" s="571">
        <v>122.08791091068261</v>
      </c>
      <c r="AD58" s="571">
        <v>133.84585350177301</v>
      </c>
      <c r="AE58" s="571">
        <v>80.936378726555262</v>
      </c>
      <c r="AF58" s="571">
        <v>138.80929131094459</v>
      </c>
      <c r="AG58" s="571">
        <v>106.06859323112101</v>
      </c>
      <c r="AH58" s="571">
        <v>110.85446022903311</v>
      </c>
      <c r="AI58" s="571">
        <v>114.01676499858367</v>
      </c>
      <c r="AJ58" s="571">
        <v>126.68677981793365</v>
      </c>
      <c r="AK58" s="571">
        <v>132.03800776727849</v>
      </c>
      <c r="AL58" s="571">
        <v>113.53958316837077</v>
      </c>
      <c r="AM58" s="571">
        <v>112.06812195121951</v>
      </c>
      <c r="AN58" s="571">
        <v>110.3386585365853</v>
      </c>
      <c r="AO58" s="571">
        <v>100.42368635396664</v>
      </c>
      <c r="AP58" s="571">
        <v>97.44751051303615</v>
      </c>
      <c r="AQ58" s="571">
        <v>102.0233708999159</v>
      </c>
      <c r="AR58" s="571">
        <v>111.20304324999361</v>
      </c>
      <c r="AS58" s="571">
        <v>125.42942809083266</v>
      </c>
      <c r="AT58" s="571">
        <v>129.61040902719375</v>
      </c>
      <c r="AU58" s="571">
        <v>125.59772077375951</v>
      </c>
      <c r="AV58" s="571">
        <v>111.28750113026231</v>
      </c>
      <c r="AW58" s="73"/>
      <c r="AX58" s="463"/>
      <c r="AY58" s="74"/>
      <c r="AZ58" s="832"/>
      <c r="BA58" s="74"/>
      <c r="BB58" s="74"/>
    </row>
    <row r="59" spans="1:54" s="3" customFormat="1" outlineLevel="1">
      <c r="A59" s="43" t="s">
        <v>200</v>
      </c>
      <c r="B59" s="44"/>
      <c r="C59" s="941" t="str">
        <f>C55</f>
        <v>Ability 1rev0_2Dec'21</v>
      </c>
      <c r="D59" s="944"/>
      <c r="E59" s="390">
        <v>290.613</v>
      </c>
      <c r="F59" s="117">
        <v>302.52800000000002</v>
      </c>
      <c r="G59" s="117">
        <v>320.20999999999998</v>
      </c>
      <c r="H59" s="69">
        <v>318.428</v>
      </c>
      <c r="I59" s="69">
        <v>304.23599999999999</v>
      </c>
      <c r="J59" s="236">
        <v>311</v>
      </c>
      <c r="K59" s="236">
        <v>316.3</v>
      </c>
      <c r="L59" s="281">
        <v>308.76</v>
      </c>
      <c r="M59" s="236">
        <v>274.16699999999997</v>
      </c>
      <c r="N59" s="236">
        <v>269</v>
      </c>
      <c r="O59" s="236">
        <v>299.5</v>
      </c>
      <c r="P59" s="367">
        <v>248.80099999999999</v>
      </c>
      <c r="Q59" s="236">
        <v>225</v>
      </c>
      <c r="R59" s="236">
        <v>238.5</v>
      </c>
      <c r="S59" s="236">
        <f>251.608-1</f>
        <v>250.608</v>
      </c>
      <c r="T59" s="236">
        <v>270.3</v>
      </c>
      <c r="U59" s="236">
        <v>276</v>
      </c>
      <c r="V59" s="236">
        <v>279.80200000000002</v>
      </c>
      <c r="W59" s="236">
        <v>255.7</v>
      </c>
      <c r="X59" s="281">
        <v>267.7</v>
      </c>
      <c r="Y59" s="236">
        <v>277.40185793868551</v>
      </c>
      <c r="Z59" s="236">
        <v>254.34023227435031</v>
      </c>
      <c r="AA59" s="236">
        <f>286-1</f>
        <v>285</v>
      </c>
      <c r="AB59" s="236">
        <v>264.5</v>
      </c>
      <c r="AC59" s="236">
        <v>290.161</v>
      </c>
      <c r="AD59" s="236">
        <v>283.28385350177302</v>
      </c>
      <c r="AE59" s="683">
        <v>214</v>
      </c>
      <c r="AF59" s="683">
        <v>279</v>
      </c>
      <c r="AG59" s="675">
        <v>256.75632875843218</v>
      </c>
      <c r="AH59" s="675">
        <v>242.24027184122048</v>
      </c>
      <c r="AI59" s="236">
        <v>250</v>
      </c>
      <c r="AJ59" s="236">
        <v>256.85543422318227</v>
      </c>
      <c r="AK59" s="236">
        <v>266.13814401622722</v>
      </c>
      <c r="AL59" s="236">
        <v>237.31618199091076</v>
      </c>
      <c r="AM59" s="236">
        <v>255.35513793103445</v>
      </c>
      <c r="AN59" s="236">
        <v>246.4913793103448</v>
      </c>
      <c r="AO59" s="236">
        <v>226.08189655172413</v>
      </c>
      <c r="AP59" s="236">
        <v>229.57758620689651</v>
      </c>
      <c r="AQ59" s="236">
        <v>237.23017241379307</v>
      </c>
      <c r="AR59" s="236">
        <v>227.86336206896553</v>
      </c>
      <c r="AS59" s="236">
        <v>246.68534482758625</v>
      </c>
      <c r="AT59" s="236">
        <v>254.90818965517244</v>
      </c>
      <c r="AU59" s="236">
        <v>246.68534482758625</v>
      </c>
      <c r="AV59" s="236">
        <v>236.56000318973912</v>
      </c>
      <c r="AW59" s="38"/>
      <c r="AX59" s="463">
        <f t="shared" si="99"/>
        <v>3153.5389785376437</v>
      </c>
      <c r="AY59" s="791"/>
      <c r="AZ59" s="832">
        <f t="shared" si="100"/>
        <v>2910.8927429899804</v>
      </c>
      <c r="BA59" s="791"/>
      <c r="BB59" s="376"/>
    </row>
    <row r="60" spans="1:54" s="3" customFormat="1" outlineLevel="1">
      <c r="A60" s="43" t="s">
        <v>29</v>
      </c>
      <c r="B60" s="44"/>
      <c r="C60" s="940">
        <v>44511</v>
      </c>
      <c r="D60" s="945"/>
      <c r="E60" s="390"/>
      <c r="F60" s="117"/>
      <c r="G60" s="117"/>
      <c r="H60" s="69"/>
      <c r="I60" s="69"/>
      <c r="J60" s="236"/>
      <c r="K60" s="236"/>
      <c r="L60" s="281"/>
      <c r="M60" s="236"/>
      <c r="N60" s="236"/>
      <c r="O60" s="346">
        <v>0.68</v>
      </c>
      <c r="P60" s="343">
        <v>0.7</v>
      </c>
      <c r="Q60" s="343">
        <v>0.6</v>
      </c>
      <c r="R60" s="343">
        <v>0</v>
      </c>
      <c r="S60" s="343">
        <v>0.6</v>
      </c>
      <c r="T60" s="346">
        <v>0.6</v>
      </c>
      <c r="U60" s="346">
        <v>1.2</v>
      </c>
      <c r="V60" s="480">
        <v>0</v>
      </c>
      <c r="W60" s="480">
        <v>0.6</v>
      </c>
      <c r="X60" s="343">
        <v>1.88</v>
      </c>
      <c r="Y60" s="488">
        <v>0</v>
      </c>
      <c r="Z60" s="552">
        <v>2.4</v>
      </c>
      <c r="AA60" s="537">
        <v>1.2</v>
      </c>
      <c r="AB60" s="537">
        <v>1.2</v>
      </c>
      <c r="AC60" s="537">
        <v>1.2</v>
      </c>
      <c r="AD60" s="661">
        <v>0</v>
      </c>
      <c r="AE60" s="663">
        <v>0</v>
      </c>
      <c r="AF60" s="663">
        <v>0.6</v>
      </c>
      <c r="AG60" s="663">
        <v>0.6</v>
      </c>
      <c r="AH60" s="663">
        <v>1.8</v>
      </c>
      <c r="AI60" s="663">
        <v>1.2</v>
      </c>
      <c r="AJ60" s="680">
        <v>1.8</v>
      </c>
      <c r="AK60" s="662">
        <v>0</v>
      </c>
      <c r="AL60" s="662">
        <v>0</v>
      </c>
      <c r="AM60" s="662">
        <v>0</v>
      </c>
      <c r="AN60" s="662">
        <v>0</v>
      </c>
      <c r="AO60" s="662">
        <v>0</v>
      </c>
      <c r="AP60" s="662">
        <v>0</v>
      </c>
      <c r="AQ60" s="662">
        <v>0</v>
      </c>
      <c r="AR60" s="662">
        <v>0</v>
      </c>
      <c r="AS60" s="662">
        <v>0</v>
      </c>
      <c r="AT60" s="662">
        <v>0</v>
      </c>
      <c r="AU60" s="662">
        <v>0</v>
      </c>
      <c r="AV60" s="662">
        <v>0</v>
      </c>
      <c r="AW60" s="38"/>
      <c r="AX60" s="463">
        <f t="shared" si="99"/>
        <v>12</v>
      </c>
      <c r="AY60" s="698"/>
      <c r="AZ60" s="832">
        <f t="shared" si="100"/>
        <v>0</v>
      </c>
      <c r="BA60" s="698"/>
      <c r="BB60" s="698"/>
    </row>
    <row r="61" spans="1:54" outlineLevel="1">
      <c r="A61" s="43" t="s">
        <v>0</v>
      </c>
      <c r="B61" s="44"/>
      <c r="C61" s="940">
        <v>44511</v>
      </c>
      <c r="D61" s="945"/>
      <c r="E61" s="70">
        <v>15.573</v>
      </c>
      <c r="F61" s="93">
        <v>16</v>
      </c>
      <c r="G61" s="70">
        <v>21</v>
      </c>
      <c r="H61" s="93">
        <v>25</v>
      </c>
      <c r="I61" s="93">
        <v>25</v>
      </c>
      <c r="J61" s="93">
        <v>22</v>
      </c>
      <c r="K61" s="237">
        <v>23</v>
      </c>
      <c r="L61" s="237">
        <v>25</v>
      </c>
      <c r="M61" s="236">
        <f>23-3</f>
        <v>20</v>
      </c>
      <c r="N61" s="292">
        <v>18</v>
      </c>
      <c r="O61" s="281">
        <v>7</v>
      </c>
      <c r="P61" s="281">
        <v>2</v>
      </c>
      <c r="Q61" s="238">
        <v>6</v>
      </c>
      <c r="R61" s="238">
        <v>0</v>
      </c>
      <c r="S61" s="279">
        <v>4</v>
      </c>
      <c r="T61" s="279">
        <v>1.2</v>
      </c>
      <c r="U61" s="279">
        <v>0</v>
      </c>
      <c r="V61" s="279">
        <v>0</v>
      </c>
      <c r="W61" s="278">
        <v>13</v>
      </c>
      <c r="X61" s="278">
        <v>11.6</v>
      </c>
      <c r="Y61" s="278">
        <v>19</v>
      </c>
      <c r="Z61" s="278">
        <f>3+12</f>
        <v>15</v>
      </c>
      <c r="AA61" s="279">
        <v>0</v>
      </c>
      <c r="AB61" s="279">
        <v>2</v>
      </c>
      <c r="AC61" s="279">
        <v>0</v>
      </c>
      <c r="AD61" s="663">
        <v>0</v>
      </c>
      <c r="AE61" s="663">
        <v>0</v>
      </c>
      <c r="AF61" s="663">
        <v>0</v>
      </c>
      <c r="AG61" s="663">
        <v>0</v>
      </c>
      <c r="AH61" s="663">
        <v>1</v>
      </c>
      <c r="AI61" s="680">
        <v>4</v>
      </c>
      <c r="AJ61" s="663">
        <v>0</v>
      </c>
      <c r="AK61" s="663">
        <v>0</v>
      </c>
      <c r="AL61" s="663">
        <v>0</v>
      </c>
      <c r="AM61" s="663">
        <v>0</v>
      </c>
      <c r="AN61" s="663">
        <v>0</v>
      </c>
      <c r="AO61" s="663">
        <v>0</v>
      </c>
      <c r="AP61" s="663">
        <v>0</v>
      </c>
      <c r="AQ61" s="663">
        <v>0</v>
      </c>
      <c r="AR61" s="663">
        <v>0</v>
      </c>
      <c r="AS61" s="663">
        <v>0</v>
      </c>
      <c r="AT61" s="663">
        <v>0</v>
      </c>
      <c r="AU61" s="663">
        <v>0</v>
      </c>
      <c r="AV61" s="663">
        <v>0</v>
      </c>
      <c r="AW61" s="38"/>
      <c r="AX61" s="463">
        <f t="shared" si="99"/>
        <v>41</v>
      </c>
      <c r="AY61" s="31"/>
      <c r="AZ61" s="832">
        <f t="shared" si="100"/>
        <v>0</v>
      </c>
      <c r="BA61" s="31"/>
    </row>
    <row r="62" spans="1:54" outlineLevel="1">
      <c r="A62" s="43" t="s">
        <v>1</v>
      </c>
      <c r="B62" s="44"/>
      <c r="C62" s="940">
        <v>44522</v>
      </c>
      <c r="D62" s="945"/>
      <c r="E62" s="70">
        <v>8.4</v>
      </c>
      <c r="F62" s="70">
        <v>6.2</v>
      </c>
      <c r="G62" s="93">
        <v>7.2</v>
      </c>
      <c r="H62" s="246">
        <v>7.2</v>
      </c>
      <c r="I62" s="93">
        <v>7.4</v>
      </c>
      <c r="J62" s="93">
        <v>6.7</v>
      </c>
      <c r="K62" s="279">
        <v>0</v>
      </c>
      <c r="L62" s="282">
        <v>3.96</v>
      </c>
      <c r="M62" s="279">
        <v>6.37</v>
      </c>
      <c r="N62" s="279">
        <v>6.1</v>
      </c>
      <c r="O62" s="279">
        <v>6.4799999999999995</v>
      </c>
      <c r="P62" s="279">
        <v>4.3</v>
      </c>
      <c r="Q62" s="279">
        <v>3</v>
      </c>
      <c r="R62" s="279">
        <v>3</v>
      </c>
      <c r="S62" s="279">
        <v>3.5</v>
      </c>
      <c r="T62" s="279">
        <v>3</v>
      </c>
      <c r="U62" s="278">
        <v>3.6</v>
      </c>
      <c r="V62" s="278">
        <f>8.06-2+0.7</f>
        <v>6.7600000000000007</v>
      </c>
      <c r="W62" s="278">
        <v>6.06</v>
      </c>
      <c r="X62" s="282">
        <v>6.67</v>
      </c>
      <c r="Y62" s="282">
        <v>8.3699999999999992</v>
      </c>
      <c r="Z62" s="282">
        <f>6.48+0.6+0.6</f>
        <v>7.68</v>
      </c>
      <c r="AA62" s="282">
        <v>6.63</v>
      </c>
      <c r="AB62" s="279">
        <v>5.73</v>
      </c>
      <c r="AC62" s="278">
        <v>5.76</v>
      </c>
      <c r="AD62" s="663">
        <f>5.78-0.81-0.11</f>
        <v>4.8600000000000003</v>
      </c>
      <c r="AE62" s="680">
        <f>6.12-0.72</f>
        <v>5.4</v>
      </c>
      <c r="AF62" s="663">
        <v>6.12</v>
      </c>
      <c r="AG62" s="663">
        <v>5.4</v>
      </c>
      <c r="AH62" s="680">
        <f>5.4-0.9</f>
        <v>4.5</v>
      </c>
      <c r="AI62" s="680">
        <v>5.4</v>
      </c>
      <c r="AJ62" s="663">
        <v>6.12</v>
      </c>
      <c r="AK62" s="663">
        <v>6.66</v>
      </c>
      <c r="AL62" s="663">
        <v>6.66</v>
      </c>
      <c r="AM62" s="663">
        <v>6.66</v>
      </c>
      <c r="AN62" s="663">
        <v>6.66</v>
      </c>
      <c r="AO62" s="663">
        <v>6.66</v>
      </c>
      <c r="AP62" s="663">
        <v>6.12</v>
      </c>
      <c r="AQ62" s="663">
        <v>6.12</v>
      </c>
      <c r="AR62" s="663">
        <v>6.12</v>
      </c>
      <c r="AS62" s="663">
        <v>6.12</v>
      </c>
      <c r="AT62" s="663">
        <v>6.12</v>
      </c>
      <c r="AU62" s="663">
        <v>6.12</v>
      </c>
      <c r="AV62" s="663">
        <v>6.12</v>
      </c>
      <c r="AW62" s="38"/>
      <c r="AX62" s="463">
        <f t="shared" si="99"/>
        <v>71.97</v>
      </c>
      <c r="AY62" s="74"/>
      <c r="AZ62" s="832">
        <f t="shared" si="100"/>
        <v>76.139999999999986</v>
      </c>
      <c r="BA62" s="74"/>
    </row>
    <row r="63" spans="1:54" outlineLevel="1">
      <c r="A63" s="43" t="s">
        <v>28</v>
      </c>
      <c r="B63" s="44"/>
      <c r="C63" s="940">
        <v>44511</v>
      </c>
      <c r="D63" s="945"/>
      <c r="E63" s="70">
        <v>5.89</v>
      </c>
      <c r="F63" s="70">
        <v>6.22</v>
      </c>
      <c r="G63" s="70">
        <v>5.89</v>
      </c>
      <c r="H63" s="70">
        <v>6.05</v>
      </c>
      <c r="I63" s="70">
        <v>5.85</v>
      </c>
      <c r="J63" s="70">
        <v>6.05</v>
      </c>
      <c r="K63" s="278">
        <v>6.7</v>
      </c>
      <c r="L63" s="279">
        <v>6.05</v>
      </c>
      <c r="M63" s="279">
        <v>6.2</v>
      </c>
      <c r="N63" s="279">
        <v>5.66</v>
      </c>
      <c r="O63" s="279">
        <v>6.0449999999999999</v>
      </c>
      <c r="P63" s="279">
        <v>5.85</v>
      </c>
      <c r="Q63" s="279">
        <v>4.5999999999999996</v>
      </c>
      <c r="R63" s="279">
        <v>5.7</v>
      </c>
      <c r="S63" s="279">
        <v>5.7</v>
      </c>
      <c r="T63" s="279">
        <v>5.68</v>
      </c>
      <c r="U63" s="279">
        <v>5.4</v>
      </c>
      <c r="V63" s="282">
        <v>5.8</v>
      </c>
      <c r="W63" s="282">
        <v>5.4</v>
      </c>
      <c r="X63" s="282">
        <v>5.58</v>
      </c>
      <c r="Y63" s="282">
        <v>5.4870000000000001</v>
      </c>
      <c r="Z63" s="282">
        <v>5.32</v>
      </c>
      <c r="AA63" s="282">
        <v>5.74</v>
      </c>
      <c r="AB63" s="279">
        <v>5.8220000000000001</v>
      </c>
      <c r="AC63" s="279">
        <v>5.7350000000000003</v>
      </c>
      <c r="AD63" s="663">
        <v>5.99</v>
      </c>
      <c r="AE63" s="663">
        <v>5.7350000000000003</v>
      </c>
      <c r="AF63" s="663">
        <v>5.7350000000000003</v>
      </c>
      <c r="AG63" s="663">
        <v>5.55</v>
      </c>
      <c r="AH63" s="680">
        <f>5.735-0.279</f>
        <v>5.4560000000000004</v>
      </c>
      <c r="AI63" s="663">
        <v>5.55</v>
      </c>
      <c r="AJ63" s="663">
        <v>5.4249999999999998</v>
      </c>
      <c r="AK63" s="663">
        <v>5.7350000000000003</v>
      </c>
      <c r="AL63" s="663">
        <v>5.18</v>
      </c>
      <c r="AM63" s="663">
        <v>5.7350000000000003</v>
      </c>
      <c r="AN63" s="663">
        <v>5.7350000000000003</v>
      </c>
      <c r="AO63" s="663">
        <v>5.7350000000000003</v>
      </c>
      <c r="AP63" s="663">
        <v>5.7350000000000003</v>
      </c>
      <c r="AQ63" s="663">
        <v>5.7350000000000003</v>
      </c>
      <c r="AR63" s="663">
        <v>5.7350000000000003</v>
      </c>
      <c r="AS63" s="663">
        <v>5.7350000000000003</v>
      </c>
      <c r="AT63" s="663">
        <v>5.7350000000000003</v>
      </c>
      <c r="AU63" s="663">
        <v>5.7350000000000003</v>
      </c>
      <c r="AV63" s="663">
        <v>5.7350000000000003</v>
      </c>
      <c r="AW63" s="38"/>
      <c r="AX63" s="463">
        <f t="shared" si="99"/>
        <v>67.545000000000002</v>
      </c>
      <c r="AY63" s="31"/>
      <c r="AZ63" s="832">
        <f t="shared" si="100"/>
        <v>68.265000000000001</v>
      </c>
      <c r="BA63" s="31"/>
    </row>
    <row r="64" spans="1:54" ht="15" outlineLevel="1" thickBot="1">
      <c r="A64" s="51" t="s">
        <v>5</v>
      </c>
      <c r="B64" s="52"/>
      <c r="C64" s="942">
        <v>44533</v>
      </c>
      <c r="D64" s="956"/>
      <c r="E64" s="70">
        <v>15.6</v>
      </c>
      <c r="F64" s="70">
        <v>16.100000000000001</v>
      </c>
      <c r="G64" s="70">
        <v>16.027000000000001</v>
      </c>
      <c r="H64" s="70">
        <v>14</v>
      </c>
      <c r="I64" s="70">
        <v>15.45</v>
      </c>
      <c r="J64" s="70">
        <v>10.85</v>
      </c>
      <c r="K64" s="238">
        <v>13.15</v>
      </c>
      <c r="L64" s="238">
        <v>13.26</v>
      </c>
      <c r="M64" s="238">
        <v>17</v>
      </c>
      <c r="N64" s="238">
        <v>17.5</v>
      </c>
      <c r="O64" s="238">
        <v>15</v>
      </c>
      <c r="P64" s="279">
        <v>16.5</v>
      </c>
      <c r="Q64" s="238">
        <v>15</v>
      </c>
      <c r="R64" s="279">
        <v>14.5</v>
      </c>
      <c r="S64" s="279">
        <v>15.5</v>
      </c>
      <c r="T64" s="279">
        <v>13.04</v>
      </c>
      <c r="U64" s="279">
        <v>17.2</v>
      </c>
      <c r="V64" s="278">
        <v>15.83</v>
      </c>
      <c r="W64" s="279">
        <v>16.2</v>
      </c>
      <c r="X64" s="282">
        <v>15.4</v>
      </c>
      <c r="Y64" s="278">
        <v>11</v>
      </c>
      <c r="Z64" s="282">
        <v>6.72</v>
      </c>
      <c r="AA64" s="282">
        <v>13.5</v>
      </c>
      <c r="AB64" s="282">
        <v>15</v>
      </c>
      <c r="AC64" s="282">
        <v>15.5</v>
      </c>
      <c r="AD64" s="664">
        <f>13.95-1.5</f>
        <v>12.45</v>
      </c>
      <c r="AE64" s="664">
        <v>9</v>
      </c>
      <c r="AF64" s="664">
        <v>13</v>
      </c>
      <c r="AG64" s="664">
        <v>16.5</v>
      </c>
      <c r="AH64" s="664">
        <v>18.445</v>
      </c>
      <c r="AI64" s="664">
        <v>15.75</v>
      </c>
      <c r="AJ64" s="664">
        <v>14.5</v>
      </c>
      <c r="AK64" s="664">
        <v>15.98</v>
      </c>
      <c r="AL64" s="664">
        <v>14.61</v>
      </c>
      <c r="AM64" s="664">
        <v>8.83</v>
      </c>
      <c r="AN64" s="664">
        <v>9.3000000000000007</v>
      </c>
      <c r="AO64" s="664">
        <v>17.36</v>
      </c>
      <c r="AP64" s="664">
        <v>13.65</v>
      </c>
      <c r="AQ64" s="664">
        <v>4.9349999999999996</v>
      </c>
      <c r="AR64" s="664">
        <v>6.2</v>
      </c>
      <c r="AS64" s="664">
        <v>1.2949999999999999</v>
      </c>
      <c r="AT64" s="664">
        <v>0.33</v>
      </c>
      <c r="AU64" s="664">
        <v>3.3229219999999993</v>
      </c>
      <c r="AV64" s="664">
        <v>1.2949999999999999</v>
      </c>
      <c r="AW64" s="38"/>
      <c r="AX64" s="463">
        <f t="shared" si="99"/>
        <v>161.36500000000001</v>
      </c>
      <c r="AY64" s="74"/>
      <c r="AZ64" s="832">
        <f t="shared" si="100"/>
        <v>97.107922000000016</v>
      </c>
      <c r="BA64" s="74"/>
    </row>
    <row r="65" spans="1:57" ht="15" outlineLevel="1" thickBot="1">
      <c r="A65" s="957" t="s">
        <v>32</v>
      </c>
      <c r="B65" s="958"/>
      <c r="C65" s="958"/>
      <c r="D65" s="958"/>
      <c r="E65" s="59">
        <f>SUM(E59:E64)</f>
        <v>336.07599999999996</v>
      </c>
      <c r="F65" s="60">
        <f t="shared" ref="F65:Y65" si="101">SUM(F59:F64)</f>
        <v>347.04800000000006</v>
      </c>
      <c r="G65" s="60">
        <f t="shared" si="101"/>
        <v>370.32699999999994</v>
      </c>
      <c r="H65" s="60">
        <f t="shared" si="101"/>
        <v>370.678</v>
      </c>
      <c r="I65" s="60">
        <f t="shared" si="101"/>
        <v>357.93599999999998</v>
      </c>
      <c r="J65" s="60">
        <f t="shared" si="101"/>
        <v>356.6</v>
      </c>
      <c r="K65" s="60">
        <f t="shared" si="101"/>
        <v>359.15</v>
      </c>
      <c r="L65" s="60">
        <f t="shared" si="101"/>
        <v>357.03</v>
      </c>
      <c r="M65" s="60">
        <f t="shared" si="101"/>
        <v>323.73699999999997</v>
      </c>
      <c r="N65" s="60">
        <f t="shared" si="101"/>
        <v>316.26000000000005</v>
      </c>
      <c r="O65" s="60">
        <f t="shared" si="101"/>
        <v>334.70500000000004</v>
      </c>
      <c r="P65" s="60">
        <f t="shared" si="101"/>
        <v>278.15100000000001</v>
      </c>
      <c r="Q65" s="60">
        <f t="shared" si="101"/>
        <v>254.2</v>
      </c>
      <c r="R65" s="60">
        <f t="shared" si="101"/>
        <v>261.7</v>
      </c>
      <c r="S65" s="60">
        <f>SUM(S59:S64)</f>
        <v>279.90799999999996</v>
      </c>
      <c r="T65" s="60">
        <f>SUM(T59:T64)</f>
        <v>293.82000000000005</v>
      </c>
      <c r="U65" s="60">
        <f>SUM(U59:U64)</f>
        <v>303.39999999999998</v>
      </c>
      <c r="V65" s="60">
        <f t="shared" si="101"/>
        <v>308.19200000000001</v>
      </c>
      <c r="W65" s="60">
        <f t="shared" si="101"/>
        <v>296.95999999999998</v>
      </c>
      <c r="X65" s="60">
        <f t="shared" si="101"/>
        <v>308.83</v>
      </c>
      <c r="Y65" s="60">
        <f t="shared" si="101"/>
        <v>321.25885793868554</v>
      </c>
      <c r="Z65" s="60">
        <f t="shared" ref="Z65:AE65" si="102">SUM(Z59:Z64)</f>
        <v>291.46023227435035</v>
      </c>
      <c r="AA65" s="60">
        <f t="shared" si="102"/>
        <v>312.07</v>
      </c>
      <c r="AB65" s="60">
        <f t="shared" si="102"/>
        <v>294.25200000000001</v>
      </c>
      <c r="AC65" s="60">
        <f t="shared" si="102"/>
        <v>318.35599999999999</v>
      </c>
      <c r="AD65" s="60">
        <f t="shared" si="102"/>
        <v>306.58385350177304</v>
      </c>
      <c r="AE65" s="60">
        <f t="shared" si="102"/>
        <v>234.13500000000002</v>
      </c>
      <c r="AF65" s="60">
        <f t="shared" ref="AF65:AK65" si="103">SUM(AF59:AF64)</f>
        <v>304.45500000000004</v>
      </c>
      <c r="AG65" s="60">
        <f t="shared" si="103"/>
        <v>284.80632875843219</v>
      </c>
      <c r="AH65" s="60">
        <f t="shared" si="103"/>
        <v>273.4412718412205</v>
      </c>
      <c r="AI65" s="60">
        <f t="shared" si="103"/>
        <v>281.89999999999998</v>
      </c>
      <c r="AJ65" s="60">
        <f t="shared" si="103"/>
        <v>284.7004342231823</v>
      </c>
      <c r="AK65" s="60">
        <f t="shared" si="103"/>
        <v>294.51314401622727</v>
      </c>
      <c r="AL65" s="60">
        <f t="shared" ref="AL65:AM65" si="104">SUM(AL59:AL64)</f>
        <v>263.76618199091075</v>
      </c>
      <c r="AM65" s="60">
        <f t="shared" si="104"/>
        <v>276.58013793103447</v>
      </c>
      <c r="AN65" s="60">
        <f t="shared" ref="AN65:AO65" si="105">SUM(AN59:AN64)</f>
        <v>268.18637931034482</v>
      </c>
      <c r="AO65" s="60">
        <f t="shared" si="105"/>
        <v>255.83689655172412</v>
      </c>
      <c r="AP65" s="60">
        <f t="shared" ref="AP65:AQ65" si="106">SUM(AP59:AP64)</f>
        <v>255.08258620689654</v>
      </c>
      <c r="AQ65" s="60">
        <f t="shared" si="106"/>
        <v>254.02017241379309</v>
      </c>
      <c r="AR65" s="60">
        <f t="shared" ref="AR65:AS65" si="107">SUM(AR59:AR64)</f>
        <v>245.91836206896554</v>
      </c>
      <c r="AS65" s="60">
        <f t="shared" si="107"/>
        <v>259.83534482758625</v>
      </c>
      <c r="AT65" s="60">
        <f t="shared" ref="AT65:AU65" si="108">SUM(AT59:AT64)</f>
        <v>267.09318965517241</v>
      </c>
      <c r="AU65" s="60">
        <f t="shared" si="108"/>
        <v>261.86326682758624</v>
      </c>
      <c r="AV65" s="60">
        <f t="shared" ref="AV65" si="109">SUM(AV59:AV64)</f>
        <v>249.71000318973913</v>
      </c>
      <c r="AW65" s="38"/>
      <c r="AX65" s="701"/>
      <c r="AY65" s="31"/>
      <c r="AZ65" s="31"/>
      <c r="BA65" s="31"/>
    </row>
    <row r="66" spans="1:57" ht="15" outlineLevel="1" thickBot="1">
      <c r="A66" s="40" t="s">
        <v>43</v>
      </c>
      <c r="B66" s="30"/>
      <c r="C66" s="31"/>
      <c r="D66" s="31"/>
      <c r="E66" s="31"/>
      <c r="F66" s="31"/>
      <c r="G66" s="31"/>
      <c r="H66" s="31"/>
      <c r="I66" s="31"/>
      <c r="J66" s="31"/>
      <c r="K66" s="31"/>
      <c r="L66" s="31"/>
      <c r="M66" s="31"/>
      <c r="N66" s="31"/>
      <c r="O66" s="31"/>
      <c r="P66" s="376"/>
      <c r="Q66" s="376"/>
      <c r="R66" s="376"/>
      <c r="S66" s="376"/>
      <c r="T66" s="376"/>
      <c r="U66" s="376"/>
      <c r="V66" s="376"/>
      <c r="W66" s="376">
        <v>25</v>
      </c>
      <c r="X66" s="376">
        <v>9</v>
      </c>
      <c r="Y66" s="376"/>
      <c r="Z66" s="376"/>
      <c r="AA66" s="376"/>
      <c r="AB66" s="376"/>
      <c r="AC66" s="376"/>
      <c r="AD66" s="376"/>
      <c r="AE66" s="376"/>
      <c r="AF66" s="376"/>
      <c r="AG66" s="376"/>
      <c r="AH66" s="376"/>
      <c r="AI66" s="376"/>
      <c r="AJ66" s="376"/>
      <c r="AK66" s="376"/>
      <c r="AL66" s="376"/>
      <c r="AM66" s="376"/>
      <c r="AN66" s="376"/>
      <c r="AO66" s="376"/>
      <c r="AP66" s="376"/>
      <c r="AQ66" s="376"/>
      <c r="AR66" s="376"/>
      <c r="AS66" s="376"/>
      <c r="AT66" s="376"/>
      <c r="AU66" s="376"/>
      <c r="AV66" s="376"/>
      <c r="AW66" s="31"/>
      <c r="AX66" s="31"/>
      <c r="AY66" s="31"/>
      <c r="AZ66" s="31"/>
      <c r="BA66" s="31"/>
    </row>
    <row r="67" spans="1:57" s="75" customFormat="1" ht="15" outlineLevel="1" thickBot="1">
      <c r="A67" s="950" t="s">
        <v>33</v>
      </c>
      <c r="B67" s="951"/>
      <c r="C67" s="951" t="s">
        <v>34</v>
      </c>
      <c r="D67" s="951"/>
      <c r="E67" s="79">
        <f t="shared" ref="E67:AL67" si="110">E3</f>
        <v>43587</v>
      </c>
      <c r="F67" s="80">
        <f t="shared" si="110"/>
        <v>43618</v>
      </c>
      <c r="G67" s="80">
        <f t="shared" si="110"/>
        <v>43648</v>
      </c>
      <c r="H67" s="80">
        <f t="shared" si="110"/>
        <v>43679</v>
      </c>
      <c r="I67" s="80">
        <f t="shared" si="110"/>
        <v>43710</v>
      </c>
      <c r="J67" s="80">
        <f t="shared" si="110"/>
        <v>43740</v>
      </c>
      <c r="K67" s="80">
        <f t="shared" si="110"/>
        <v>43771</v>
      </c>
      <c r="L67" s="80">
        <f t="shared" si="110"/>
        <v>43801</v>
      </c>
      <c r="M67" s="80">
        <f t="shared" si="110"/>
        <v>43832</v>
      </c>
      <c r="N67" s="80">
        <f t="shared" si="110"/>
        <v>43863</v>
      </c>
      <c r="O67" s="80">
        <f t="shared" si="110"/>
        <v>43892</v>
      </c>
      <c r="P67" s="80">
        <f t="shared" si="110"/>
        <v>43923</v>
      </c>
      <c r="Q67" s="80">
        <f t="shared" si="110"/>
        <v>43953</v>
      </c>
      <c r="R67" s="80">
        <f t="shared" si="110"/>
        <v>43984</v>
      </c>
      <c r="S67" s="80">
        <f t="shared" si="110"/>
        <v>44014</v>
      </c>
      <c r="T67" s="80">
        <f t="shared" si="110"/>
        <v>44045</v>
      </c>
      <c r="U67" s="80">
        <f t="shared" si="110"/>
        <v>44076</v>
      </c>
      <c r="V67" s="80">
        <f t="shared" si="110"/>
        <v>44106</v>
      </c>
      <c r="W67" s="80">
        <f t="shared" si="110"/>
        <v>44137</v>
      </c>
      <c r="X67" s="80">
        <f t="shared" si="110"/>
        <v>44167</v>
      </c>
      <c r="Y67" s="80">
        <f t="shared" si="110"/>
        <v>44198</v>
      </c>
      <c r="Z67" s="80">
        <f t="shared" si="110"/>
        <v>44229</v>
      </c>
      <c r="AA67" s="80">
        <f t="shared" si="110"/>
        <v>44257</v>
      </c>
      <c r="AB67" s="80">
        <f t="shared" si="110"/>
        <v>44288</v>
      </c>
      <c r="AC67" s="80">
        <f t="shared" si="110"/>
        <v>44318</v>
      </c>
      <c r="AD67" s="80">
        <f t="shared" si="110"/>
        <v>44349</v>
      </c>
      <c r="AE67" s="80">
        <f t="shared" si="110"/>
        <v>44379</v>
      </c>
      <c r="AF67" s="80">
        <f t="shared" si="110"/>
        <v>44410</v>
      </c>
      <c r="AG67" s="80">
        <f t="shared" si="110"/>
        <v>44441</v>
      </c>
      <c r="AH67" s="80">
        <f t="shared" si="110"/>
        <v>44471</v>
      </c>
      <c r="AI67" s="80">
        <f t="shared" si="110"/>
        <v>44502</v>
      </c>
      <c r="AJ67" s="80">
        <f t="shared" si="110"/>
        <v>44532</v>
      </c>
      <c r="AK67" s="80">
        <f t="shared" si="110"/>
        <v>44563</v>
      </c>
      <c r="AL67" s="80">
        <f t="shared" si="110"/>
        <v>44594</v>
      </c>
      <c r="AM67" s="80">
        <f t="shared" ref="AM67:AN67" si="111">AM3</f>
        <v>44622</v>
      </c>
      <c r="AN67" s="80">
        <f t="shared" si="111"/>
        <v>44653</v>
      </c>
      <c r="AO67" s="80">
        <f t="shared" ref="AO67:AP67" si="112">AO3</f>
        <v>44683</v>
      </c>
      <c r="AP67" s="80">
        <f t="shared" si="112"/>
        <v>44714</v>
      </c>
      <c r="AQ67" s="80">
        <f t="shared" ref="AQ67:AR67" si="113">AQ3</f>
        <v>44744</v>
      </c>
      <c r="AR67" s="80">
        <f t="shared" si="113"/>
        <v>44775</v>
      </c>
      <c r="AS67" s="80">
        <f t="shared" ref="AS67:AT67" si="114">AS3</f>
        <v>44806</v>
      </c>
      <c r="AT67" s="80">
        <f t="shared" si="114"/>
        <v>44836</v>
      </c>
      <c r="AU67" s="80">
        <f t="shared" ref="AU67:AV67" si="115">AU3</f>
        <v>44867</v>
      </c>
      <c r="AV67" s="80">
        <f t="shared" si="115"/>
        <v>44897</v>
      </c>
      <c r="AW67" s="73"/>
      <c r="AX67" s="74"/>
      <c r="AY67" s="74"/>
      <c r="AZ67" s="74"/>
      <c r="BA67" s="74"/>
    </row>
    <row r="68" spans="1:57" s="75" customFormat="1" ht="15" outlineLevel="1" thickBot="1">
      <c r="A68" s="41" t="s">
        <v>201</v>
      </c>
      <c r="B68" s="42"/>
      <c r="C68" s="948"/>
      <c r="D68" s="949"/>
      <c r="E68" s="79"/>
      <c r="F68" s="80"/>
      <c r="G68" s="80"/>
      <c r="H68" s="80"/>
      <c r="I68" s="80"/>
      <c r="J68" s="80"/>
      <c r="K68" s="80"/>
      <c r="L68" s="80"/>
      <c r="M68" s="80"/>
      <c r="N68" s="80"/>
      <c r="O68" s="80"/>
      <c r="P68" s="80"/>
      <c r="Q68" s="66">
        <f t="shared" ref="Q68:AD68" si="116">Q55-Q42</f>
        <v>0</v>
      </c>
      <c r="R68" s="66">
        <f t="shared" si="116"/>
        <v>-0.53409090909087809</v>
      </c>
      <c r="S68" s="66">
        <f t="shared" si="116"/>
        <v>0.35240909090906314</v>
      </c>
      <c r="T68" s="66">
        <f t="shared" si="116"/>
        <v>0.76000000000000512</v>
      </c>
      <c r="U68" s="66">
        <f t="shared" si="116"/>
        <v>0</v>
      </c>
      <c r="V68" s="66">
        <f t="shared" si="116"/>
        <v>0.8960000000000008</v>
      </c>
      <c r="W68" s="66">
        <f t="shared" si="116"/>
        <v>1.8689999999999998</v>
      </c>
      <c r="X68" s="66">
        <f t="shared" si="116"/>
        <v>5.5799999999999983</v>
      </c>
      <c r="Y68" s="66">
        <f t="shared" si="116"/>
        <v>-0.51461927084508829</v>
      </c>
      <c r="Z68" s="66">
        <f t="shared" si="116"/>
        <v>2.4733540685734425</v>
      </c>
      <c r="AA68" s="66">
        <f t="shared" si="116"/>
        <v>1.3666768101536775</v>
      </c>
      <c r="AB68" s="66">
        <f t="shared" si="116"/>
        <v>-5.5052059025918965</v>
      </c>
      <c r="AC68" s="66">
        <f t="shared" si="116"/>
        <v>-6</v>
      </c>
      <c r="AD68" s="66">
        <f t="shared" si="116"/>
        <v>0.20900000000000318</v>
      </c>
      <c r="AE68" s="66">
        <f t="shared" ref="AE68:AK69" si="117">AE55-AE42</f>
        <v>-5.2158853834375947</v>
      </c>
      <c r="AF68" s="66">
        <f t="shared" si="117"/>
        <v>0.212325415636613</v>
      </c>
      <c r="AG68" s="66">
        <f t="shared" si="117"/>
        <v>0.32244292826847243</v>
      </c>
      <c r="AH68" s="66">
        <f t="shared" si="117"/>
        <v>0.39428184455800874</v>
      </c>
      <c r="AI68" s="66">
        <f t="shared" si="117"/>
        <v>2.7787445912213968</v>
      </c>
      <c r="AJ68" s="66">
        <f t="shared" si="117"/>
        <v>-0.18784983783669418</v>
      </c>
      <c r="AK68" s="66">
        <f t="shared" si="117"/>
        <v>-0.13333333333333997</v>
      </c>
      <c r="AL68" s="66">
        <f t="shared" ref="AL68:AM68" si="118">AL55-AL42</f>
        <v>1.2595878889823382</v>
      </c>
      <c r="AM68" s="66">
        <f t="shared" si="118"/>
        <v>0</v>
      </c>
      <c r="AN68" s="66">
        <f t="shared" ref="AN68:AO68" si="119">AN55-AN42</f>
        <v>0</v>
      </c>
      <c r="AO68" s="66">
        <f t="shared" si="119"/>
        <v>0</v>
      </c>
      <c r="AP68" s="66">
        <f t="shared" ref="AP68:AQ68" si="120">AP55-AP42</f>
        <v>0</v>
      </c>
      <c r="AQ68" s="66">
        <f t="shared" si="120"/>
        <v>0</v>
      </c>
      <c r="AR68" s="66">
        <f t="shared" ref="AR68:AS68" si="121">AR55-AR42</f>
        <v>0</v>
      </c>
      <c r="AS68" s="66">
        <f t="shared" si="121"/>
        <v>0</v>
      </c>
      <c r="AT68" s="66">
        <f t="shared" ref="AT68:AU68" si="122">AT55-AT42</f>
        <v>0</v>
      </c>
      <c r="AU68" s="66">
        <f t="shared" si="122"/>
        <v>0</v>
      </c>
      <c r="AV68" s="66">
        <f t="shared" ref="AV68" si="123">AV55-AV42</f>
        <v>0</v>
      </c>
      <c r="AW68" s="73"/>
      <c r="AX68" s="74"/>
      <c r="AY68" s="74"/>
      <c r="AZ68" s="654"/>
      <c r="BA68" s="704"/>
      <c r="BC68" s="792"/>
      <c r="BD68" s="792"/>
      <c r="BE68" s="794"/>
    </row>
    <row r="69" spans="1:57" s="75" customFormat="1" ht="15" outlineLevel="1" thickBot="1">
      <c r="A69" s="43" t="s">
        <v>202</v>
      </c>
      <c r="B69" s="44"/>
      <c r="C69" s="941"/>
      <c r="D69" s="944"/>
      <c r="E69" s="79"/>
      <c r="F69" s="80"/>
      <c r="G69" s="80"/>
      <c r="H69" s="80"/>
      <c r="I69" s="80"/>
      <c r="J69" s="80"/>
      <c r="K69" s="80"/>
      <c r="L69" s="80"/>
      <c r="M69" s="80"/>
      <c r="N69" s="80"/>
      <c r="O69" s="80"/>
      <c r="P69" s="80"/>
      <c r="Q69" s="65">
        <f t="shared" ref="Q69:AD69" si="124">Q56-Q43</f>
        <v>0</v>
      </c>
      <c r="R69" s="65">
        <f t="shared" si="124"/>
        <v>-1.0589090909091112</v>
      </c>
      <c r="S69" s="65">
        <f t="shared" si="124"/>
        <v>-1.0878876727270779</v>
      </c>
      <c r="T69" s="65">
        <f t="shared" si="124"/>
        <v>-1.3999999999999773</v>
      </c>
      <c r="U69" s="65">
        <f t="shared" si="124"/>
        <v>0</v>
      </c>
      <c r="V69" s="65">
        <f t="shared" si="124"/>
        <v>-9.4899999999999807</v>
      </c>
      <c r="W69" s="65">
        <f t="shared" si="124"/>
        <v>1.6589999999999918</v>
      </c>
      <c r="X69" s="65">
        <f t="shared" si="124"/>
        <v>23.974999999999966</v>
      </c>
      <c r="Y69" s="65">
        <f t="shared" si="124"/>
        <v>0.63147720953054431</v>
      </c>
      <c r="Z69" s="65">
        <f t="shared" si="124"/>
        <v>5.8668782057768567</v>
      </c>
      <c r="AA69" s="65">
        <f t="shared" si="124"/>
        <v>-1.8815558949461035</v>
      </c>
      <c r="AB69" s="65">
        <f t="shared" si="124"/>
        <v>-5.5529557300557428</v>
      </c>
      <c r="AC69" s="65">
        <f t="shared" si="124"/>
        <v>9.0079999999999814</v>
      </c>
      <c r="AD69" s="65">
        <f t="shared" si="124"/>
        <v>-0.40126296542575801</v>
      </c>
      <c r="AE69" s="65">
        <f t="shared" si="117"/>
        <v>1.8046653453705801</v>
      </c>
      <c r="AF69" s="65">
        <f t="shared" si="117"/>
        <v>-3.579448526997794</v>
      </c>
      <c r="AG69" s="65">
        <f t="shared" si="117"/>
        <v>-1.5887958694448798</v>
      </c>
      <c r="AH69" s="65">
        <f t="shared" si="117"/>
        <v>-0.70342894189542449</v>
      </c>
      <c r="AI69" s="65">
        <f t="shared" si="117"/>
        <v>-6.2643104019105635</v>
      </c>
      <c r="AJ69" s="65">
        <f t="shared" si="117"/>
        <v>-1.9567159389810342</v>
      </c>
      <c r="AK69" s="65">
        <f t="shared" si="117"/>
        <v>-0.61666666666664582</v>
      </c>
      <c r="AL69" s="65">
        <f t="shared" ref="AL69:AM69" si="125">AL56-AL43</f>
        <v>-2.739587888982328</v>
      </c>
      <c r="AM69" s="65">
        <f t="shared" si="125"/>
        <v>5.9999999999718057E-3</v>
      </c>
      <c r="AN69" s="65">
        <f t="shared" ref="AN69:AO69" si="126">AN56-AN43</f>
        <v>0</v>
      </c>
      <c r="AO69" s="65">
        <f t="shared" si="126"/>
        <v>0</v>
      </c>
      <c r="AP69" s="65">
        <f t="shared" ref="AP69:AQ69" si="127">AP56-AP43</f>
        <v>0</v>
      </c>
      <c r="AQ69" s="65">
        <f t="shared" si="127"/>
        <v>0</v>
      </c>
      <c r="AR69" s="65">
        <f t="shared" ref="AR69:AS69" si="128">AR56-AR43</f>
        <v>0</v>
      </c>
      <c r="AS69" s="65">
        <f t="shared" si="128"/>
        <v>0</v>
      </c>
      <c r="AT69" s="65">
        <f t="shared" ref="AT69:AU69" si="129">AT56-AT43</f>
        <v>0</v>
      </c>
      <c r="AU69" s="65">
        <f t="shared" si="129"/>
        <v>0</v>
      </c>
      <c r="AV69" s="65">
        <f t="shared" ref="AV69" si="130">AV56-AV43</f>
        <v>0</v>
      </c>
      <c r="AW69" s="73"/>
      <c r="AX69" s="74"/>
      <c r="AY69" s="74"/>
      <c r="AZ69" s="654"/>
      <c r="BA69" s="704"/>
      <c r="BC69" s="792"/>
      <c r="BD69" s="792"/>
    </row>
    <row r="70" spans="1:57" s="75" customFormat="1" ht="15" outlineLevel="1" thickBot="1">
      <c r="A70" s="569" t="s">
        <v>262</v>
      </c>
      <c r="B70" s="44"/>
      <c r="C70" s="566"/>
      <c r="D70" s="567"/>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73"/>
      <c r="AX70" s="74"/>
      <c r="AY70" s="74"/>
      <c r="AZ70" s="74"/>
      <c r="BA70" s="74"/>
    </row>
    <row r="71" spans="1:57" s="75" customFormat="1" ht="15" outlineLevel="1" thickBot="1">
      <c r="A71" s="569" t="s">
        <v>263</v>
      </c>
      <c r="B71" s="44"/>
      <c r="C71" s="566"/>
      <c r="D71" s="567"/>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73"/>
      <c r="AX71" s="74"/>
      <c r="AY71" s="74"/>
      <c r="AZ71" s="74"/>
      <c r="BA71" s="74"/>
      <c r="BC71" s="792"/>
      <c r="BD71" s="792"/>
    </row>
    <row r="72" spans="1:57" s="3" customFormat="1" outlineLevel="1">
      <c r="A72" s="43" t="s">
        <v>200</v>
      </c>
      <c r="B72" s="44"/>
      <c r="C72" s="941"/>
      <c r="D72" s="944"/>
      <c r="E72" s="57">
        <f t="shared" ref="E72:P72" si="131">E59-E46</f>
        <v>0</v>
      </c>
      <c r="F72" s="66">
        <f t="shared" si="131"/>
        <v>0</v>
      </c>
      <c r="G72" s="66">
        <f t="shared" si="131"/>
        <v>-10.29000000000002</v>
      </c>
      <c r="H72" s="66">
        <f t="shared" si="131"/>
        <v>0.47800000000000864</v>
      </c>
      <c r="I72" s="66">
        <f t="shared" si="131"/>
        <v>-15.26400000000001</v>
      </c>
      <c r="J72" s="66">
        <f t="shared" si="131"/>
        <v>-3</v>
      </c>
      <c r="K72" s="66">
        <f t="shared" si="131"/>
        <v>1.3000000000000114</v>
      </c>
      <c r="L72" s="66">
        <f t="shared" si="131"/>
        <v>-1.2400000000000091</v>
      </c>
      <c r="M72" s="66">
        <f t="shared" si="131"/>
        <v>-13.833000000000027</v>
      </c>
      <c r="N72" s="66">
        <f t="shared" si="131"/>
        <v>-1.4499999999999886</v>
      </c>
      <c r="O72" s="66">
        <f t="shared" si="131"/>
        <v>-13.600000000000023</v>
      </c>
      <c r="P72" s="66">
        <f t="shared" si="131"/>
        <v>-42.199000000000012</v>
      </c>
      <c r="Q72" s="65">
        <f t="shared" ref="Q72:AD72" si="132">Q59-Q46</f>
        <v>0</v>
      </c>
      <c r="R72" s="65">
        <f t="shared" si="132"/>
        <v>-0.68258821384330304</v>
      </c>
      <c r="S72" s="65">
        <f t="shared" si="132"/>
        <v>-0.73547858181800052</v>
      </c>
      <c r="T72" s="65">
        <f t="shared" si="132"/>
        <v>-0.63999999999998636</v>
      </c>
      <c r="U72" s="65">
        <f t="shared" si="132"/>
        <v>0</v>
      </c>
      <c r="V72" s="65">
        <f t="shared" si="132"/>
        <v>-8.5939999999999941</v>
      </c>
      <c r="W72" s="65">
        <f t="shared" si="132"/>
        <v>3.5279999999999916</v>
      </c>
      <c r="X72" s="65">
        <f t="shared" si="132"/>
        <v>29.554999999999978</v>
      </c>
      <c r="Y72" s="65">
        <f t="shared" si="132"/>
        <v>0.11685793868548444</v>
      </c>
      <c r="Z72" s="65">
        <f t="shared" si="132"/>
        <v>8.3402322743503134</v>
      </c>
      <c r="AA72" s="65">
        <f t="shared" si="132"/>
        <v>-0.51487908479242606</v>
      </c>
      <c r="AB72" s="65">
        <f t="shared" si="132"/>
        <v>-7.8330849453320184</v>
      </c>
      <c r="AC72" s="65">
        <f t="shared" si="132"/>
        <v>3.0079999999999814</v>
      </c>
      <c r="AD72" s="65">
        <f t="shared" si="132"/>
        <v>-0.19226296542575483</v>
      </c>
      <c r="AE72" s="65">
        <f t="shared" ref="AE72:AT73" si="133">AE59-AE46</f>
        <v>-3.4112200380670004</v>
      </c>
      <c r="AF72" s="65">
        <f>AF59-AF46</f>
        <v>-3.3671231113611952</v>
      </c>
      <c r="AG72" s="65">
        <f t="shared" si="133"/>
        <v>-1.2663529411764216</v>
      </c>
      <c r="AH72" s="65">
        <f t="shared" si="133"/>
        <v>-0.30914709733741574</v>
      </c>
      <c r="AI72" s="65">
        <f t="shared" si="133"/>
        <v>-3.4855658106891667</v>
      </c>
      <c r="AJ72" s="65">
        <f t="shared" si="133"/>
        <v>-2.1445657768177284</v>
      </c>
      <c r="AK72" s="65">
        <f t="shared" si="133"/>
        <v>-0.75</v>
      </c>
      <c r="AL72" s="65">
        <f t="shared" ref="AL72:AM72" si="134">AL59-AL46</f>
        <v>-1.4799999999999898</v>
      </c>
      <c r="AM72" s="65">
        <f t="shared" si="134"/>
        <v>5.9999999999718057E-3</v>
      </c>
      <c r="AN72" s="65">
        <f t="shared" ref="AN72:AO72" si="135">AN59-AN46</f>
        <v>0</v>
      </c>
      <c r="AO72" s="65">
        <f t="shared" si="135"/>
        <v>0</v>
      </c>
      <c r="AP72" s="65">
        <f t="shared" ref="AP72:AQ72" si="136">AP59-AP46</f>
        <v>0</v>
      </c>
      <c r="AQ72" s="65">
        <f t="shared" si="136"/>
        <v>0</v>
      </c>
      <c r="AR72" s="65">
        <f t="shared" ref="AR72:AS72" si="137">AR59-AR46</f>
        <v>0</v>
      </c>
      <c r="AS72" s="65">
        <f t="shared" si="137"/>
        <v>0</v>
      </c>
      <c r="AT72" s="65">
        <f t="shared" ref="AT72:AV73" si="138">AT59-AT46</f>
        <v>0</v>
      </c>
      <c r="AU72" s="65">
        <f t="shared" si="138"/>
        <v>0</v>
      </c>
      <c r="AV72" s="65">
        <f t="shared" ref="AV72" si="139">AV59-AV46</f>
        <v>0</v>
      </c>
      <c r="AW72" s="38"/>
      <c r="AX72" s="31"/>
      <c r="AY72" s="31"/>
      <c r="AZ72" s="31"/>
      <c r="BA72" s="31"/>
      <c r="BC72" s="793"/>
      <c r="BD72" s="793"/>
    </row>
    <row r="73" spans="1:57" s="3" customFormat="1" outlineLevel="1">
      <c r="A73" s="43" t="s">
        <v>29</v>
      </c>
      <c r="B73" s="44"/>
      <c r="C73" s="914"/>
      <c r="D73" s="914"/>
      <c r="E73" s="61"/>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f t="shared" si="133"/>
        <v>0</v>
      </c>
      <c r="AJ73" s="65">
        <f t="shared" si="133"/>
        <v>0.60000000000000009</v>
      </c>
      <c r="AK73" s="65">
        <f t="shared" si="133"/>
        <v>0</v>
      </c>
      <c r="AL73" s="65">
        <f t="shared" si="133"/>
        <v>0</v>
      </c>
      <c r="AM73" s="65">
        <f t="shared" si="133"/>
        <v>0</v>
      </c>
      <c r="AN73" s="65">
        <f t="shared" si="133"/>
        <v>0</v>
      </c>
      <c r="AO73" s="65">
        <f t="shared" si="133"/>
        <v>0</v>
      </c>
      <c r="AP73" s="65">
        <f t="shared" si="133"/>
        <v>0</v>
      </c>
      <c r="AQ73" s="65">
        <f t="shared" si="133"/>
        <v>0</v>
      </c>
      <c r="AR73" s="65">
        <f t="shared" si="133"/>
        <v>0</v>
      </c>
      <c r="AS73" s="65">
        <f t="shared" si="133"/>
        <v>0</v>
      </c>
      <c r="AT73" s="65">
        <f t="shared" si="133"/>
        <v>0</v>
      </c>
      <c r="AU73" s="65">
        <f t="shared" si="138"/>
        <v>0</v>
      </c>
      <c r="AV73" s="65">
        <f t="shared" si="138"/>
        <v>0</v>
      </c>
      <c r="AW73" s="38"/>
      <c r="AX73" s="31"/>
      <c r="AY73" s="31"/>
      <c r="AZ73" s="31"/>
      <c r="BA73" s="31"/>
      <c r="BC73" s="793"/>
      <c r="BD73" s="793"/>
    </row>
    <row r="74" spans="1:57" outlineLevel="1">
      <c r="A74" s="43" t="s">
        <v>0</v>
      </c>
      <c r="B74" s="44"/>
      <c r="C74" s="940"/>
      <c r="D74" s="941"/>
      <c r="E74" s="61">
        <f t="shared" ref="E74:AD74" si="140">E61-E48</f>
        <v>0</v>
      </c>
      <c r="F74" s="65">
        <f t="shared" si="140"/>
        <v>-3</v>
      </c>
      <c r="G74" s="65">
        <f t="shared" si="140"/>
        <v>2</v>
      </c>
      <c r="H74" s="65">
        <f t="shared" si="140"/>
        <v>0</v>
      </c>
      <c r="I74" s="65">
        <f t="shared" si="140"/>
        <v>0</v>
      </c>
      <c r="J74" s="65">
        <f t="shared" si="140"/>
        <v>-3</v>
      </c>
      <c r="K74" s="65">
        <f t="shared" si="140"/>
        <v>2</v>
      </c>
      <c r="L74" s="65">
        <f t="shared" si="140"/>
        <v>1.5</v>
      </c>
      <c r="M74" s="65">
        <f t="shared" si="140"/>
        <v>-3</v>
      </c>
      <c r="N74" s="65">
        <f t="shared" si="140"/>
        <v>2</v>
      </c>
      <c r="O74" s="65">
        <f t="shared" si="140"/>
        <v>0</v>
      </c>
      <c r="P74" s="65">
        <f t="shared" si="140"/>
        <v>-12</v>
      </c>
      <c r="Q74" s="65">
        <f t="shared" si="140"/>
        <v>0</v>
      </c>
      <c r="R74" s="65">
        <f t="shared" si="140"/>
        <v>0</v>
      </c>
      <c r="S74" s="65">
        <f t="shared" si="140"/>
        <v>-4</v>
      </c>
      <c r="T74" s="65">
        <f t="shared" si="140"/>
        <v>1.2</v>
      </c>
      <c r="U74" s="65">
        <f t="shared" si="140"/>
        <v>-3</v>
      </c>
      <c r="V74" s="65">
        <f t="shared" si="140"/>
        <v>0</v>
      </c>
      <c r="W74" s="65">
        <f t="shared" si="140"/>
        <v>2</v>
      </c>
      <c r="X74" s="65">
        <f t="shared" si="140"/>
        <v>-2.4000000000000004</v>
      </c>
      <c r="Y74" s="65">
        <f t="shared" si="140"/>
        <v>16.5</v>
      </c>
      <c r="Z74" s="65">
        <f t="shared" si="140"/>
        <v>12</v>
      </c>
      <c r="AA74" s="65">
        <f t="shared" si="140"/>
        <v>0</v>
      </c>
      <c r="AB74" s="65">
        <f t="shared" si="140"/>
        <v>2</v>
      </c>
      <c r="AC74" s="65">
        <f t="shared" si="140"/>
        <v>0</v>
      </c>
      <c r="AD74" s="65">
        <f t="shared" si="140"/>
        <v>0</v>
      </c>
      <c r="AE74" s="65">
        <f t="shared" ref="AE74:AK77" si="141">AE61-AE48</f>
        <v>0</v>
      </c>
      <c r="AF74" s="65">
        <f t="shared" si="141"/>
        <v>0</v>
      </c>
      <c r="AG74" s="65">
        <f t="shared" si="141"/>
        <v>0</v>
      </c>
      <c r="AH74" s="65">
        <f t="shared" si="141"/>
        <v>1</v>
      </c>
      <c r="AI74" s="65">
        <f t="shared" si="141"/>
        <v>4</v>
      </c>
      <c r="AJ74" s="65">
        <f t="shared" si="141"/>
        <v>0</v>
      </c>
      <c r="AK74" s="65">
        <f t="shared" si="141"/>
        <v>0</v>
      </c>
      <c r="AL74" s="65">
        <f t="shared" ref="AL74:AM74" si="142">AL61-AL48</f>
        <v>0</v>
      </c>
      <c r="AM74" s="65">
        <f t="shared" si="142"/>
        <v>0</v>
      </c>
      <c r="AN74" s="65">
        <f t="shared" ref="AN74:AO74" si="143">AN61-AN48</f>
        <v>0</v>
      </c>
      <c r="AO74" s="65">
        <f t="shared" si="143"/>
        <v>0</v>
      </c>
      <c r="AP74" s="65">
        <f t="shared" ref="AP74:AQ74" si="144">AP61-AP48</f>
        <v>0</v>
      </c>
      <c r="AQ74" s="65">
        <f t="shared" si="144"/>
        <v>0</v>
      </c>
      <c r="AR74" s="65">
        <f t="shared" ref="AR74:AS74" si="145">AR61-AR48</f>
        <v>0</v>
      </c>
      <c r="AS74" s="65">
        <f t="shared" si="145"/>
        <v>0</v>
      </c>
      <c r="AT74" s="65">
        <f t="shared" ref="AT74:AU74" si="146">AT61-AT48</f>
        <v>0</v>
      </c>
      <c r="AU74" s="65">
        <f t="shared" si="146"/>
        <v>0</v>
      </c>
      <c r="AV74" s="65">
        <f t="shared" ref="AV74" si="147">AV61-AV48</f>
        <v>0</v>
      </c>
      <c r="AW74" s="38"/>
      <c r="AX74" s="31"/>
      <c r="AY74" s="31"/>
      <c r="AZ74" s="31"/>
      <c r="BA74" s="31"/>
    </row>
    <row r="75" spans="1:57" outlineLevel="1">
      <c r="A75" s="43" t="s">
        <v>1</v>
      </c>
      <c r="B75" s="44"/>
      <c r="C75" s="940"/>
      <c r="D75" s="941"/>
      <c r="E75" s="61">
        <f t="shared" ref="E75:AD75" si="148">E62-E49</f>
        <v>0</v>
      </c>
      <c r="F75" s="65">
        <f t="shared" si="148"/>
        <v>0</v>
      </c>
      <c r="G75" s="65">
        <f t="shared" si="148"/>
        <v>1.1000000000000005</v>
      </c>
      <c r="H75" s="65">
        <f t="shared" si="148"/>
        <v>0</v>
      </c>
      <c r="I75" s="65">
        <f t="shared" si="148"/>
        <v>0.70000000000000018</v>
      </c>
      <c r="J75" s="65">
        <f t="shared" si="148"/>
        <v>0</v>
      </c>
      <c r="K75" s="65">
        <f t="shared" si="148"/>
        <v>0</v>
      </c>
      <c r="L75" s="65">
        <f t="shared" si="148"/>
        <v>-1.4400000000000004</v>
      </c>
      <c r="M75" s="65">
        <f t="shared" si="148"/>
        <v>-0.83000000000000007</v>
      </c>
      <c r="N75" s="65">
        <f t="shared" si="148"/>
        <v>-0.40000000000000036</v>
      </c>
      <c r="O75" s="65">
        <f t="shared" si="148"/>
        <v>0</v>
      </c>
      <c r="P75" s="65">
        <f t="shared" si="148"/>
        <v>-2</v>
      </c>
      <c r="Q75" s="65">
        <f t="shared" si="148"/>
        <v>-3.5</v>
      </c>
      <c r="R75" s="65">
        <f t="shared" si="148"/>
        <v>-0.60000000000000009</v>
      </c>
      <c r="S75" s="65">
        <f t="shared" si="148"/>
        <v>-0.10000000000000009</v>
      </c>
      <c r="T75" s="65">
        <f t="shared" si="148"/>
        <v>-2</v>
      </c>
      <c r="U75" s="65">
        <f t="shared" si="148"/>
        <v>-0.64000000000000012</v>
      </c>
      <c r="V75" s="65">
        <f t="shared" si="148"/>
        <v>-0.59999999999999964</v>
      </c>
      <c r="W75" s="65">
        <f t="shared" si="148"/>
        <v>0.69999999999999929</v>
      </c>
      <c r="X75" s="65">
        <f t="shared" si="148"/>
        <v>1.2000000000000002</v>
      </c>
      <c r="Y75" s="65">
        <f t="shared" si="148"/>
        <v>2.169999999999999</v>
      </c>
      <c r="Z75" s="65">
        <f t="shared" si="148"/>
        <v>0.59999999999999964</v>
      </c>
      <c r="AA75" s="65">
        <f t="shared" si="148"/>
        <v>-0.44000000000000039</v>
      </c>
      <c r="AB75" s="65">
        <f t="shared" si="148"/>
        <v>-0.89999999999999947</v>
      </c>
      <c r="AC75" s="65">
        <f t="shared" si="148"/>
        <v>-2.0000000000000462E-2</v>
      </c>
      <c r="AD75" s="65">
        <f t="shared" si="148"/>
        <v>-0.91999999999999993</v>
      </c>
      <c r="AE75" s="65">
        <f t="shared" si="141"/>
        <v>-0.71999999999999975</v>
      </c>
      <c r="AF75" s="65">
        <f t="shared" si="141"/>
        <v>0</v>
      </c>
      <c r="AG75" s="65">
        <f t="shared" si="141"/>
        <v>0</v>
      </c>
      <c r="AH75" s="65">
        <f t="shared" si="141"/>
        <v>-0.90000000000000036</v>
      </c>
      <c r="AI75" s="65">
        <f t="shared" si="141"/>
        <v>0</v>
      </c>
      <c r="AJ75" s="65">
        <f t="shared" si="141"/>
        <v>0.71999999999999975</v>
      </c>
      <c r="AK75" s="65">
        <f t="shared" si="141"/>
        <v>0.54</v>
      </c>
      <c r="AL75" s="65">
        <f t="shared" ref="AL75:AM75" si="149">AL62-AL49</f>
        <v>0.54</v>
      </c>
      <c r="AM75" s="65">
        <f t="shared" si="149"/>
        <v>0.54</v>
      </c>
      <c r="AN75" s="65">
        <f t="shared" ref="AN75:AO75" si="150">AN62-AN49</f>
        <v>0.54</v>
      </c>
      <c r="AO75" s="65">
        <f t="shared" si="150"/>
        <v>0.54</v>
      </c>
      <c r="AP75" s="65">
        <f t="shared" ref="AP75:AQ75" si="151">AP62-AP49</f>
        <v>0</v>
      </c>
      <c r="AQ75" s="65">
        <f t="shared" si="151"/>
        <v>0</v>
      </c>
      <c r="AR75" s="65">
        <f t="shared" ref="AR75:AS75" si="152">AR62-AR49</f>
        <v>0</v>
      </c>
      <c r="AS75" s="65">
        <f t="shared" si="152"/>
        <v>0</v>
      </c>
      <c r="AT75" s="65">
        <f t="shared" ref="AT75:AU75" si="153">AT62-AT49</f>
        <v>0</v>
      </c>
      <c r="AU75" s="65">
        <f t="shared" si="153"/>
        <v>0</v>
      </c>
      <c r="AV75" s="65">
        <f t="shared" ref="AV75" si="154">AV62-AV49</f>
        <v>0</v>
      </c>
      <c r="AW75" s="38"/>
      <c r="AX75" s="31"/>
      <c r="AY75" s="31"/>
      <c r="AZ75" s="31"/>
      <c r="BA75" s="31"/>
    </row>
    <row r="76" spans="1:57" outlineLevel="1">
      <c r="A76" s="43" t="s">
        <v>28</v>
      </c>
      <c r="B76" s="44"/>
      <c r="C76" s="940"/>
      <c r="D76" s="941"/>
      <c r="E76" s="61">
        <f t="shared" ref="E76:AD76" si="155">E63-E50</f>
        <v>0</v>
      </c>
      <c r="F76" s="65">
        <f t="shared" si="155"/>
        <v>0.51999999999999957</v>
      </c>
      <c r="G76" s="65">
        <f t="shared" si="155"/>
        <v>0</v>
      </c>
      <c r="H76" s="65">
        <f t="shared" si="155"/>
        <v>0.16000000000000014</v>
      </c>
      <c r="I76" s="65">
        <f t="shared" si="155"/>
        <v>0</v>
      </c>
      <c r="J76" s="65">
        <f t="shared" si="155"/>
        <v>0</v>
      </c>
      <c r="K76" s="65">
        <f t="shared" si="155"/>
        <v>0.85000000000000053</v>
      </c>
      <c r="L76" s="65">
        <f t="shared" si="155"/>
        <v>0</v>
      </c>
      <c r="M76" s="65">
        <f t="shared" si="155"/>
        <v>0.15000000000000036</v>
      </c>
      <c r="N76" s="65">
        <f t="shared" si="155"/>
        <v>0</v>
      </c>
      <c r="O76" s="65">
        <f t="shared" si="155"/>
        <v>0</v>
      </c>
      <c r="P76" s="65">
        <f t="shared" si="155"/>
        <v>0</v>
      </c>
      <c r="Q76" s="65">
        <f t="shared" si="155"/>
        <v>-1.4500000000000002</v>
      </c>
      <c r="R76" s="65">
        <f t="shared" si="155"/>
        <v>0.29999999999999982</v>
      </c>
      <c r="S76" s="65">
        <f t="shared" si="155"/>
        <v>1.1400000000000006</v>
      </c>
      <c r="T76" s="65">
        <f t="shared" si="155"/>
        <v>9.9999999999999645E-2</v>
      </c>
      <c r="U76" s="65">
        <f t="shared" si="155"/>
        <v>-0.17999999999999972</v>
      </c>
      <c r="V76" s="65">
        <f t="shared" si="155"/>
        <v>0.21999999999999975</v>
      </c>
      <c r="W76" s="65">
        <f t="shared" si="155"/>
        <v>0</v>
      </c>
      <c r="X76" s="65">
        <f t="shared" si="155"/>
        <v>0</v>
      </c>
      <c r="Y76" s="65">
        <f t="shared" si="155"/>
        <v>-0.40299999999999958</v>
      </c>
      <c r="Z76" s="65">
        <f t="shared" si="155"/>
        <v>0</v>
      </c>
      <c r="AA76" s="65">
        <f t="shared" si="155"/>
        <v>-0.14999999999999947</v>
      </c>
      <c r="AB76" s="65">
        <f t="shared" si="155"/>
        <v>0.27200000000000024</v>
      </c>
      <c r="AC76" s="65">
        <f t="shared" si="155"/>
        <v>0</v>
      </c>
      <c r="AD76" s="65">
        <f t="shared" si="155"/>
        <v>0.44000000000000039</v>
      </c>
      <c r="AE76" s="65">
        <f t="shared" si="141"/>
        <v>0</v>
      </c>
      <c r="AF76" s="65">
        <f t="shared" si="141"/>
        <v>0</v>
      </c>
      <c r="AG76" s="65">
        <f t="shared" si="141"/>
        <v>0</v>
      </c>
      <c r="AH76" s="65">
        <f t="shared" si="141"/>
        <v>-0.27899999999999991</v>
      </c>
      <c r="AI76" s="65">
        <f t="shared" si="141"/>
        <v>0</v>
      </c>
      <c r="AJ76" s="65">
        <f t="shared" si="141"/>
        <v>-0.3100000000000005</v>
      </c>
      <c r="AK76" s="65">
        <f t="shared" si="141"/>
        <v>0</v>
      </c>
      <c r="AL76" s="65">
        <f t="shared" ref="AL76:AM76" si="156">AL63-AL50</f>
        <v>-0.5550000000000006</v>
      </c>
      <c r="AM76" s="65">
        <f t="shared" si="156"/>
        <v>0</v>
      </c>
      <c r="AN76" s="65">
        <f t="shared" ref="AN76:AO76" si="157">AN63-AN50</f>
        <v>0</v>
      </c>
      <c r="AO76" s="65">
        <f t="shared" si="157"/>
        <v>0</v>
      </c>
      <c r="AP76" s="65">
        <f t="shared" ref="AP76:AQ76" si="158">AP63-AP50</f>
        <v>0</v>
      </c>
      <c r="AQ76" s="65">
        <f t="shared" si="158"/>
        <v>0</v>
      </c>
      <c r="AR76" s="65">
        <f t="shared" ref="AR76:AS76" si="159">AR63-AR50</f>
        <v>0</v>
      </c>
      <c r="AS76" s="65">
        <f t="shared" si="159"/>
        <v>0</v>
      </c>
      <c r="AT76" s="65">
        <f t="shared" ref="AT76:AU76" si="160">AT63-AT50</f>
        <v>0</v>
      </c>
      <c r="AU76" s="65">
        <f t="shared" si="160"/>
        <v>0</v>
      </c>
      <c r="AV76" s="65">
        <f t="shared" ref="AV76" si="161">AV63-AV50</f>
        <v>0</v>
      </c>
      <c r="AW76" s="38"/>
      <c r="AX76" s="31"/>
      <c r="AY76" s="31"/>
      <c r="AZ76" s="31"/>
      <c r="BA76" s="31"/>
    </row>
    <row r="77" spans="1:57" ht="15" outlineLevel="1" thickBot="1">
      <c r="A77" s="51" t="s">
        <v>5</v>
      </c>
      <c r="B77" s="52"/>
      <c r="C77" s="942"/>
      <c r="D77" s="943"/>
      <c r="E77" s="67">
        <f t="shared" ref="E77:AD77" si="162">E64-E51</f>
        <v>0</v>
      </c>
      <c r="F77" s="68">
        <f t="shared" si="162"/>
        <v>0.68000000000000149</v>
      </c>
      <c r="G77" s="68">
        <f t="shared" si="162"/>
        <v>0</v>
      </c>
      <c r="H77" s="68">
        <f t="shared" si="162"/>
        <v>-1.9299999999999997</v>
      </c>
      <c r="I77" s="68">
        <f t="shared" si="162"/>
        <v>0</v>
      </c>
      <c r="J77" s="68">
        <f t="shared" si="162"/>
        <v>0</v>
      </c>
      <c r="K77" s="68">
        <f t="shared" si="162"/>
        <v>2.6500000000000004</v>
      </c>
      <c r="L77" s="68">
        <f t="shared" si="162"/>
        <v>0</v>
      </c>
      <c r="M77" s="68">
        <f t="shared" si="162"/>
        <v>2.7189999999999994</v>
      </c>
      <c r="N77" s="68">
        <f t="shared" si="162"/>
        <v>1.5</v>
      </c>
      <c r="O77" s="68">
        <f t="shared" si="162"/>
        <v>-2</v>
      </c>
      <c r="P77" s="68">
        <f t="shared" si="162"/>
        <v>0.90000000000000036</v>
      </c>
      <c r="Q77" s="68">
        <f t="shared" si="162"/>
        <v>-2.0500000000000007</v>
      </c>
      <c r="R77" s="68">
        <f t="shared" si="162"/>
        <v>-1.0999999999999996</v>
      </c>
      <c r="S77" s="68">
        <f t="shared" si="162"/>
        <v>-1.2399999999999984</v>
      </c>
      <c r="T77" s="68">
        <f t="shared" si="162"/>
        <v>-1.5200000000000014</v>
      </c>
      <c r="U77" s="68">
        <f t="shared" si="162"/>
        <v>0</v>
      </c>
      <c r="V77" s="68">
        <f t="shared" si="162"/>
        <v>-0.90999999999999837</v>
      </c>
      <c r="W77" s="68">
        <f t="shared" si="162"/>
        <v>0</v>
      </c>
      <c r="X77" s="68">
        <f t="shared" si="162"/>
        <v>-0.72000000000000064</v>
      </c>
      <c r="Y77" s="68">
        <f t="shared" si="162"/>
        <v>-2.1199999999999992</v>
      </c>
      <c r="Z77" s="68">
        <f t="shared" si="162"/>
        <v>-2.1100000000000003</v>
      </c>
      <c r="AA77" s="68">
        <f t="shared" si="162"/>
        <v>-2.0600000000000005</v>
      </c>
      <c r="AB77" s="68">
        <f t="shared" si="162"/>
        <v>0</v>
      </c>
      <c r="AC77" s="68">
        <f t="shared" si="162"/>
        <v>0</v>
      </c>
      <c r="AD77" s="68">
        <f t="shared" si="162"/>
        <v>-1.5</v>
      </c>
      <c r="AE77" s="68">
        <f t="shared" si="141"/>
        <v>0.63000000000000078</v>
      </c>
      <c r="AF77" s="68">
        <f t="shared" si="141"/>
        <v>-1.5999999999999996</v>
      </c>
      <c r="AG77" s="68">
        <f t="shared" si="141"/>
        <v>1.5</v>
      </c>
      <c r="AH77" s="68">
        <f t="shared" si="141"/>
        <v>0</v>
      </c>
      <c r="AI77" s="68">
        <f t="shared" si="141"/>
        <v>0</v>
      </c>
      <c r="AJ77" s="68">
        <f t="shared" si="141"/>
        <v>0.72070000000000434</v>
      </c>
      <c r="AK77" s="68">
        <f t="shared" si="141"/>
        <v>2.9250000000000007</v>
      </c>
      <c r="AL77" s="68">
        <f t="shared" ref="AL77:AM77" si="163">AL64-AL51</f>
        <v>1.7299999999999986</v>
      </c>
      <c r="AM77" s="68">
        <f t="shared" si="163"/>
        <v>-7.6</v>
      </c>
      <c r="AN77" s="68">
        <f t="shared" ref="AN77:AO77" si="164">AN64-AN51</f>
        <v>0</v>
      </c>
      <c r="AO77" s="68">
        <f t="shared" si="164"/>
        <v>0</v>
      </c>
      <c r="AP77" s="68">
        <f t="shared" ref="AP77:AQ77" si="165">AP64-AP51</f>
        <v>0</v>
      </c>
      <c r="AQ77" s="68">
        <f t="shared" si="165"/>
        <v>0</v>
      </c>
      <c r="AR77" s="68">
        <f t="shared" ref="AR77:AS77" si="166">AR64-AR51</f>
        <v>0</v>
      </c>
      <c r="AS77" s="68">
        <f t="shared" si="166"/>
        <v>0</v>
      </c>
      <c r="AT77" s="68">
        <f t="shared" ref="AT77:AU77" si="167">AT64-AT51</f>
        <v>0</v>
      </c>
      <c r="AU77" s="68">
        <f t="shared" si="167"/>
        <v>0</v>
      </c>
      <c r="AV77" s="68">
        <f t="shared" ref="AV77" si="168">AV64-AV51</f>
        <v>0</v>
      </c>
      <c r="AW77" s="38"/>
      <c r="AX77" s="31"/>
      <c r="AY77" s="31"/>
      <c r="AZ77" s="31"/>
      <c r="BA77" s="31"/>
    </row>
    <row r="78" spans="1:57" ht="15" outlineLevel="1" thickBot="1">
      <c r="A78" s="957" t="s">
        <v>32</v>
      </c>
      <c r="B78" s="958"/>
      <c r="C78" s="958"/>
      <c r="D78" s="958"/>
      <c r="E78" s="63">
        <f t="shared" ref="E78:Z78" si="169">SUM(E72:E77)</f>
        <v>0</v>
      </c>
      <c r="F78" s="64">
        <f t="shared" si="169"/>
        <v>-1.7999999999999989</v>
      </c>
      <c r="G78" s="64">
        <f t="shared" si="169"/>
        <v>-7.1900000000000199</v>
      </c>
      <c r="H78" s="64">
        <f t="shared" si="169"/>
        <v>-1.2919999999999909</v>
      </c>
      <c r="I78" s="64">
        <f t="shared" si="169"/>
        <v>-14.564000000000011</v>
      </c>
      <c r="J78" s="64">
        <f t="shared" si="169"/>
        <v>-6</v>
      </c>
      <c r="K78" s="64">
        <f t="shared" si="169"/>
        <v>6.8000000000000123</v>
      </c>
      <c r="L78" s="64">
        <f t="shared" si="169"/>
        <v>-1.1800000000000095</v>
      </c>
      <c r="M78" s="64">
        <f t="shared" si="169"/>
        <v>-14.794000000000027</v>
      </c>
      <c r="N78" s="64">
        <f t="shared" si="169"/>
        <v>1.650000000000011</v>
      </c>
      <c r="O78" s="64">
        <f t="shared" si="169"/>
        <v>-15.600000000000023</v>
      </c>
      <c r="P78" s="64">
        <f t="shared" si="169"/>
        <v>-55.299000000000014</v>
      </c>
      <c r="Q78" s="64">
        <f t="shared" si="169"/>
        <v>-7.0000000000000009</v>
      </c>
      <c r="R78" s="64">
        <f t="shared" si="169"/>
        <v>-2.0825882138433029</v>
      </c>
      <c r="S78" s="64">
        <f t="shared" si="169"/>
        <v>-4.935478581817998</v>
      </c>
      <c r="T78" s="64">
        <f t="shared" si="169"/>
        <v>-2.8599999999999879</v>
      </c>
      <c r="U78" s="64">
        <f t="shared" si="169"/>
        <v>-3.82</v>
      </c>
      <c r="V78" s="64">
        <f t="shared" si="169"/>
        <v>-9.8839999999999915</v>
      </c>
      <c r="W78" s="64">
        <f t="shared" si="169"/>
        <v>6.2279999999999909</v>
      </c>
      <c r="X78" s="64">
        <f t="shared" si="169"/>
        <v>27.634999999999977</v>
      </c>
      <c r="Y78" s="64">
        <f t="shared" si="169"/>
        <v>16.263857938685483</v>
      </c>
      <c r="Z78" s="64">
        <f t="shared" si="169"/>
        <v>18.830232274350315</v>
      </c>
      <c r="AA78" s="64">
        <f t="shared" ref="AA78:AK78" si="170">SUM(AA72:AA77)</f>
        <v>-3.1648790847924264</v>
      </c>
      <c r="AB78" s="64">
        <f t="shared" si="170"/>
        <v>-6.4610849453320176</v>
      </c>
      <c r="AC78" s="64">
        <f t="shared" si="170"/>
        <v>2.9879999999999809</v>
      </c>
      <c r="AD78" s="64">
        <f t="shared" si="170"/>
        <v>-2.1722629654257544</v>
      </c>
      <c r="AE78" s="64">
        <f t="shared" si="170"/>
        <v>-3.5012200380669993</v>
      </c>
      <c r="AF78" s="64">
        <f t="shared" si="170"/>
        <v>-4.9671231113611949</v>
      </c>
      <c r="AG78" s="64">
        <f t="shared" si="170"/>
        <v>0.23364705882357839</v>
      </c>
      <c r="AH78" s="64">
        <f t="shared" si="170"/>
        <v>-0.48814709733741601</v>
      </c>
      <c r="AI78" s="64">
        <f>SUM(AI72:AI77)</f>
        <v>0.51443418931083329</v>
      </c>
      <c r="AJ78" s="64">
        <f t="shared" si="170"/>
        <v>-0.41386577681772474</v>
      </c>
      <c r="AK78" s="64">
        <f t="shared" si="170"/>
        <v>2.7150000000000007</v>
      </c>
      <c r="AL78" s="64">
        <f t="shared" ref="AL78:AM78" si="171">SUM(AL72:AL77)</f>
        <v>0.23500000000000831</v>
      </c>
      <c r="AM78" s="64">
        <f t="shared" si="171"/>
        <v>-7.0540000000000278</v>
      </c>
      <c r="AN78" s="64">
        <f t="shared" ref="AN78:AO78" si="172">SUM(AN72:AN77)</f>
        <v>0.54</v>
      </c>
      <c r="AO78" s="64">
        <f t="shared" si="172"/>
        <v>0.54</v>
      </c>
      <c r="AP78" s="64">
        <f t="shared" ref="AP78:AQ78" si="173">SUM(AP72:AP77)</f>
        <v>0</v>
      </c>
      <c r="AQ78" s="64">
        <f t="shared" si="173"/>
        <v>0</v>
      </c>
      <c r="AR78" s="64">
        <f t="shared" ref="AR78:AS78" si="174">SUM(AR72:AR77)</f>
        <v>0</v>
      </c>
      <c r="AS78" s="64">
        <f t="shared" si="174"/>
        <v>0</v>
      </c>
      <c r="AT78" s="64">
        <f t="shared" ref="AT78:AU78" si="175">SUM(AT72:AT77)</f>
        <v>0</v>
      </c>
      <c r="AU78" s="64">
        <f t="shared" si="175"/>
        <v>0</v>
      </c>
      <c r="AV78" s="64">
        <f t="shared" ref="AV78" si="176">SUM(AV72:AV77)</f>
        <v>0</v>
      </c>
      <c r="AW78" s="38"/>
      <c r="AX78" s="31"/>
      <c r="AY78" s="31"/>
      <c r="AZ78" s="31"/>
      <c r="BA78" s="31"/>
    </row>
    <row r="79" spans="1:57" ht="13.25" hidden="1" customHeight="1" outlineLevel="1">
      <c r="A79" s="273"/>
      <c r="B79" s="554"/>
      <c r="C79" s="554" t="s">
        <v>21</v>
      </c>
      <c r="D79" s="554"/>
      <c r="E79" s="62"/>
      <c r="F79" s="62"/>
      <c r="G79" s="62"/>
      <c r="H79" s="62"/>
      <c r="I79" s="62"/>
      <c r="J79" s="62"/>
      <c r="K79" s="62"/>
      <c r="L79" s="62"/>
      <c r="M79" s="62"/>
      <c r="N79" s="62"/>
      <c r="O79" s="62"/>
      <c r="P79" s="62"/>
      <c r="Q79" s="62"/>
      <c r="R79" s="62"/>
      <c r="S79" s="62"/>
      <c r="T79" s="62"/>
      <c r="U79" s="62"/>
      <c r="V79" s="62"/>
      <c r="W79" s="62"/>
      <c r="X79" s="62"/>
      <c r="Y79" s="62"/>
      <c r="Z79" s="369">
        <f t="shared" ref="Z79:AH79" si="177">IF(Z123&gt;Z8,Z8,Z123)</f>
        <v>39</v>
      </c>
      <c r="AA79" s="369">
        <f t="shared" si="177"/>
        <v>37</v>
      </c>
      <c r="AB79" s="369">
        <f t="shared" si="177"/>
        <v>29.5</v>
      </c>
      <c r="AC79" s="369">
        <f t="shared" si="177"/>
        <v>35</v>
      </c>
      <c r="AD79" s="369">
        <f t="shared" si="177"/>
        <v>31.5</v>
      </c>
      <c r="AE79" s="369">
        <f t="shared" si="177"/>
        <v>54.31</v>
      </c>
      <c r="AF79" s="369">
        <f t="shared" si="177"/>
        <v>26</v>
      </c>
      <c r="AG79" s="369">
        <f t="shared" si="177"/>
        <v>50.82</v>
      </c>
      <c r="AH79" s="369">
        <f t="shared" si="177"/>
        <v>42</v>
      </c>
      <c r="AI79" s="369">
        <f>IF(AI123&gt;(AI8+AI10),(AI8+AI10),AI123)</f>
        <v>32.700000000000003</v>
      </c>
      <c r="AJ79" s="369">
        <f t="shared" ref="AJ79:AV79" si="178">IF(AJ123&gt;(AJ8+AJ10),(AJ8+AJ10),AJ123)</f>
        <v>41.7</v>
      </c>
      <c r="AK79" s="369">
        <f t="shared" si="178"/>
        <v>61</v>
      </c>
      <c r="AL79" s="369">
        <f t="shared" si="178"/>
        <v>61.617314239999999</v>
      </c>
      <c r="AM79" s="369">
        <f t="shared" si="178"/>
        <v>60.290979539999995</v>
      </c>
      <c r="AN79" s="369">
        <f t="shared" si="178"/>
        <v>57.802225450000009</v>
      </c>
      <c r="AO79" s="369">
        <f t="shared" si="178"/>
        <v>59.217310670000003</v>
      </c>
      <c r="AP79" s="369">
        <f t="shared" si="178"/>
        <v>60.470735329999997</v>
      </c>
      <c r="AQ79" s="369">
        <f t="shared" si="178"/>
        <v>60.911559339999997</v>
      </c>
      <c r="AR79" s="369">
        <f t="shared" si="178"/>
        <v>60.989999999999995</v>
      </c>
      <c r="AS79" s="369">
        <f t="shared" si="178"/>
        <v>63.319999999999993</v>
      </c>
      <c r="AT79" s="369">
        <f t="shared" si="178"/>
        <v>64.187326659999997</v>
      </c>
      <c r="AU79" s="369">
        <f t="shared" si="178"/>
        <v>61.184418080000007</v>
      </c>
      <c r="AV79" s="369">
        <f t="shared" si="178"/>
        <v>61.18</v>
      </c>
      <c r="AW79" s="38"/>
      <c r="AX79" s="31"/>
      <c r="AY79" s="31"/>
      <c r="AZ79" s="31"/>
      <c r="BA79" s="31"/>
    </row>
    <row r="80" spans="1:57" ht="13.25" hidden="1" customHeight="1" outlineLevel="1">
      <c r="A80" s="272"/>
      <c r="B80" s="554"/>
      <c r="C80" s="554" t="s">
        <v>21</v>
      </c>
      <c r="D80" s="554"/>
      <c r="E80" s="62"/>
      <c r="F80" s="62"/>
      <c r="G80" s="62"/>
      <c r="H80" s="62"/>
      <c r="I80" s="62"/>
      <c r="J80" s="62"/>
      <c r="K80" s="62"/>
      <c r="L80" s="62"/>
      <c r="M80" s="62"/>
      <c r="N80" s="62"/>
      <c r="O80" s="62"/>
      <c r="P80" s="62"/>
      <c r="Q80" s="62"/>
      <c r="R80" s="62"/>
      <c r="S80" s="62"/>
      <c r="T80" s="62"/>
      <c r="U80" s="62"/>
      <c r="V80" s="62"/>
      <c r="W80" s="62"/>
      <c r="X80" s="62"/>
      <c r="Y80" s="62"/>
      <c r="Z80" s="369"/>
      <c r="AA80" s="369"/>
      <c r="AB80" s="369"/>
      <c r="AC80" s="369"/>
      <c r="AD80" s="369"/>
      <c r="AE80" s="369"/>
      <c r="AF80" s="369"/>
      <c r="AG80" s="369"/>
      <c r="AH80" s="369"/>
      <c r="AI80" s="369">
        <f t="shared" ref="AI80" si="179">AI82-AI128</f>
        <v>-26</v>
      </c>
      <c r="AJ80" s="369">
        <f t="shared" ref="AJ80:AV80" si="180">AJ82-AJ128</f>
        <v>-29</v>
      </c>
      <c r="AK80" s="369">
        <f t="shared" si="180"/>
        <v>-30</v>
      </c>
      <c r="AL80" s="369">
        <f t="shared" si="180"/>
        <v>-25.5</v>
      </c>
      <c r="AM80" s="369">
        <f t="shared" si="180"/>
        <v>-28.290979539999995</v>
      </c>
      <c r="AN80" s="369">
        <f t="shared" si="180"/>
        <v>-14.802225450000009</v>
      </c>
      <c r="AO80" s="369">
        <f t="shared" si="180"/>
        <v>-10.217310670000003</v>
      </c>
      <c r="AP80" s="369">
        <f t="shared" si="180"/>
        <v>-13.470735329999997</v>
      </c>
      <c r="AQ80" s="369">
        <f t="shared" si="180"/>
        <v>-3.9115593399999966</v>
      </c>
      <c r="AR80" s="369">
        <f t="shared" si="180"/>
        <v>3.0100000000000051</v>
      </c>
      <c r="AS80" s="369">
        <f t="shared" si="180"/>
        <v>-16.319999999999993</v>
      </c>
      <c r="AT80" s="369">
        <f t="shared" si="180"/>
        <v>-14.187326659999997</v>
      </c>
      <c r="AU80" s="369">
        <f t="shared" si="180"/>
        <v>-10.18441808</v>
      </c>
      <c r="AV80" s="369">
        <f t="shared" si="180"/>
        <v>-0.18000000000000682</v>
      </c>
      <c r="AW80" s="38"/>
      <c r="AX80" s="31"/>
      <c r="AY80" s="31"/>
      <c r="AZ80" s="31"/>
      <c r="BA80" s="31"/>
    </row>
    <row r="81" spans="1:53" ht="13.25" hidden="1" customHeight="1" outlineLevel="1">
      <c r="A81" s="272"/>
      <c r="B81" s="554"/>
      <c r="C81" s="554" t="s">
        <v>16</v>
      </c>
      <c r="D81" s="554"/>
      <c r="E81" s="62"/>
      <c r="F81" s="62"/>
      <c r="G81" s="62"/>
      <c r="H81" s="62"/>
      <c r="I81" s="62"/>
      <c r="J81" s="62"/>
      <c r="K81" s="62"/>
      <c r="L81" s="62"/>
      <c r="M81" s="62"/>
      <c r="N81" s="62"/>
      <c r="O81" s="62"/>
      <c r="P81" s="62"/>
      <c r="Q81" s="62"/>
      <c r="R81" s="62"/>
      <c r="S81" s="62"/>
      <c r="T81" s="62"/>
      <c r="U81" s="62"/>
      <c r="V81" s="62"/>
      <c r="W81" s="62"/>
      <c r="X81" s="62"/>
      <c r="Y81" s="62"/>
      <c r="Z81" s="369">
        <f t="shared" ref="Z81:AH81" si="181">IF(Z8=Z79,0,Z8-Z123)</f>
        <v>0</v>
      </c>
      <c r="AA81" s="369">
        <f t="shared" si="181"/>
        <v>0</v>
      </c>
      <c r="AB81" s="369">
        <f t="shared" si="181"/>
        <v>0</v>
      </c>
      <c r="AC81" s="369">
        <f t="shared" si="181"/>
        <v>0</v>
      </c>
      <c r="AD81" s="369">
        <f t="shared" si="181"/>
        <v>0</v>
      </c>
      <c r="AE81" s="369">
        <f t="shared" si="181"/>
        <v>45.69</v>
      </c>
      <c r="AF81" s="369">
        <f t="shared" si="181"/>
        <v>0</v>
      </c>
      <c r="AG81" s="369">
        <f t="shared" si="181"/>
        <v>0.17999999999999972</v>
      </c>
      <c r="AH81" s="369">
        <f t="shared" si="181"/>
        <v>0</v>
      </c>
      <c r="AI81" s="369">
        <f>IF((AI8+AI10)=AI79,0,(AI8+AI10)-AI123)</f>
        <v>0</v>
      </c>
      <c r="AJ81" s="369">
        <f t="shared" ref="AJ81:AV81" si="182">IF((AJ8+AJ10)=AJ79,0,(AJ8+AJ10)-AJ123)</f>
        <v>0</v>
      </c>
      <c r="AK81" s="369">
        <f t="shared" si="182"/>
        <v>0</v>
      </c>
      <c r="AL81" s="369">
        <f t="shared" si="182"/>
        <v>3.3826857600000011</v>
      </c>
      <c r="AM81" s="369">
        <f t="shared" si="182"/>
        <v>15.709020460000005</v>
      </c>
      <c r="AN81" s="369">
        <f t="shared" si="182"/>
        <v>29.197774549999991</v>
      </c>
      <c r="AO81" s="369">
        <f t="shared" si="182"/>
        <v>33.782689329999997</v>
      </c>
      <c r="AP81" s="369">
        <f t="shared" si="182"/>
        <v>30.529264670000003</v>
      </c>
      <c r="AQ81" s="369">
        <f t="shared" si="182"/>
        <v>40.088440660000003</v>
      </c>
      <c r="AR81" s="369">
        <f t="shared" si="182"/>
        <v>47.010000000000005</v>
      </c>
      <c r="AS81" s="369">
        <f t="shared" si="182"/>
        <v>27.680000000000007</v>
      </c>
      <c r="AT81" s="369">
        <f t="shared" si="182"/>
        <v>29.812673340000003</v>
      </c>
      <c r="AU81" s="369">
        <f t="shared" si="182"/>
        <v>33.815581919999993</v>
      </c>
      <c r="AV81" s="369">
        <f t="shared" si="182"/>
        <v>43.82</v>
      </c>
      <c r="AW81" s="38"/>
      <c r="AX81" s="31"/>
      <c r="AY81" s="31"/>
      <c r="AZ81" s="31"/>
      <c r="BA81" s="31"/>
    </row>
    <row r="82" spans="1:53" ht="13.25" hidden="1" customHeight="1" outlineLevel="1">
      <c r="A82" s="272"/>
      <c r="B82" s="554"/>
      <c r="C82" s="554" t="s">
        <v>17</v>
      </c>
      <c r="D82" s="554"/>
      <c r="E82" s="62"/>
      <c r="F82" s="62"/>
      <c r="G82" s="62"/>
      <c r="H82" s="62"/>
      <c r="I82" s="62"/>
      <c r="J82" s="62"/>
      <c r="K82" s="62"/>
      <c r="L82" s="62"/>
      <c r="M82" s="62"/>
      <c r="N82" s="62"/>
      <c r="O82" s="62"/>
      <c r="P82" s="62"/>
      <c r="Q82" s="62"/>
      <c r="R82" s="62"/>
      <c r="S82" s="62"/>
      <c r="T82" s="62"/>
      <c r="U82" s="62"/>
      <c r="V82" s="62"/>
      <c r="W82" s="62"/>
      <c r="X82" s="62"/>
      <c r="Y82" s="62"/>
      <c r="Z82" s="369">
        <f t="shared" ref="Z82:AI82" si="183">IF(Z83+Z85&gt;Z8,0,Z8-(Z83+Z85))</f>
        <v>0</v>
      </c>
      <c r="AA82" s="369">
        <f t="shared" si="183"/>
        <v>0</v>
      </c>
      <c r="AB82" s="369">
        <f t="shared" si="183"/>
        <v>0</v>
      </c>
      <c r="AC82" s="369">
        <f t="shared" si="183"/>
        <v>0</v>
      </c>
      <c r="AD82" s="369">
        <f t="shared" si="183"/>
        <v>0</v>
      </c>
      <c r="AE82" s="369">
        <f t="shared" si="183"/>
        <v>32.69</v>
      </c>
      <c r="AF82" s="369">
        <f t="shared" si="183"/>
        <v>0</v>
      </c>
      <c r="AG82" s="369">
        <f t="shared" si="183"/>
        <v>0</v>
      </c>
      <c r="AH82" s="369">
        <f t="shared" si="183"/>
        <v>0</v>
      </c>
      <c r="AI82" s="369">
        <f t="shared" si="183"/>
        <v>0</v>
      </c>
      <c r="AJ82" s="369">
        <f t="shared" ref="AJ82:AV82" si="184">IF(AJ83+AJ85&gt;AJ8,0,AJ8-(AJ83+AJ85))</f>
        <v>0</v>
      </c>
      <c r="AK82" s="369">
        <f t="shared" si="184"/>
        <v>0</v>
      </c>
      <c r="AL82" s="369">
        <f t="shared" si="184"/>
        <v>0</v>
      </c>
      <c r="AM82" s="369">
        <f t="shared" si="184"/>
        <v>1.709020460000005</v>
      </c>
      <c r="AN82" s="369">
        <f t="shared" si="184"/>
        <v>15.197774549999991</v>
      </c>
      <c r="AO82" s="369">
        <f t="shared" si="184"/>
        <v>19.782689329999997</v>
      </c>
      <c r="AP82" s="369">
        <f t="shared" si="184"/>
        <v>16.529264670000003</v>
      </c>
      <c r="AQ82" s="369">
        <f t="shared" si="184"/>
        <v>26.088440660000003</v>
      </c>
      <c r="AR82" s="369">
        <f t="shared" si="184"/>
        <v>33.010000000000005</v>
      </c>
      <c r="AS82" s="369">
        <f t="shared" si="184"/>
        <v>13.680000000000007</v>
      </c>
      <c r="AT82" s="369">
        <f t="shared" si="184"/>
        <v>15.812673340000003</v>
      </c>
      <c r="AU82" s="369">
        <f t="shared" si="184"/>
        <v>19.81558192</v>
      </c>
      <c r="AV82" s="369">
        <f t="shared" si="184"/>
        <v>29.819999999999993</v>
      </c>
      <c r="AW82" s="38"/>
      <c r="AX82" s="31"/>
      <c r="AY82" s="31"/>
      <c r="AZ82" s="31"/>
      <c r="BA82" s="31"/>
    </row>
    <row r="83" spans="1:53" ht="13.25" customHeight="1" outlineLevel="1">
      <c r="A83" s="901" t="s">
        <v>156</v>
      </c>
      <c r="B83" s="555" t="s">
        <v>47</v>
      </c>
      <c r="C83" s="555" t="s">
        <v>21</v>
      </c>
      <c r="D83" s="555" t="s">
        <v>15</v>
      </c>
      <c r="E83" s="62"/>
      <c r="F83" s="62"/>
      <c r="G83" s="62"/>
      <c r="H83" s="62"/>
      <c r="I83" s="62"/>
      <c r="J83" s="62"/>
      <c r="K83" s="62"/>
      <c r="L83" s="62"/>
      <c r="M83" s="62"/>
      <c r="N83" s="62"/>
      <c r="O83" s="62"/>
      <c r="P83" s="62"/>
      <c r="Q83" s="62"/>
      <c r="R83" s="62"/>
      <c r="S83" s="62"/>
      <c r="T83" s="62"/>
      <c r="U83" s="62"/>
      <c r="V83" s="62"/>
      <c r="W83" s="62"/>
      <c r="X83" s="62"/>
      <c r="Y83" s="869">
        <f t="shared" ref="Y83:AJ83" si="185">Y79</f>
        <v>0</v>
      </c>
      <c r="Z83" s="869">
        <f t="shared" si="185"/>
        <v>39</v>
      </c>
      <c r="AA83" s="869">
        <f t="shared" si="185"/>
        <v>37</v>
      </c>
      <c r="AB83" s="869">
        <f t="shared" si="185"/>
        <v>29.5</v>
      </c>
      <c r="AC83" s="869">
        <f t="shared" si="185"/>
        <v>35</v>
      </c>
      <c r="AD83" s="869">
        <f t="shared" si="185"/>
        <v>31.5</v>
      </c>
      <c r="AE83" s="869">
        <f t="shared" si="185"/>
        <v>54.31</v>
      </c>
      <c r="AF83" s="869">
        <f t="shared" si="185"/>
        <v>26</v>
      </c>
      <c r="AG83" s="869">
        <f t="shared" si="185"/>
        <v>50.82</v>
      </c>
      <c r="AH83" s="869">
        <f t="shared" si="185"/>
        <v>42</v>
      </c>
      <c r="AI83" s="869">
        <f t="shared" si="185"/>
        <v>32.700000000000003</v>
      </c>
      <c r="AJ83" s="869">
        <f t="shared" si="185"/>
        <v>41.7</v>
      </c>
      <c r="AK83" s="869">
        <f t="shared" ref="AK83:AV83" si="186">AK79</f>
        <v>61</v>
      </c>
      <c r="AL83" s="869">
        <f t="shared" si="186"/>
        <v>61.617314239999999</v>
      </c>
      <c r="AM83" s="869">
        <f t="shared" si="186"/>
        <v>60.290979539999995</v>
      </c>
      <c r="AN83" s="869">
        <f t="shared" si="186"/>
        <v>57.802225450000009</v>
      </c>
      <c r="AO83" s="869">
        <f t="shared" si="186"/>
        <v>59.217310670000003</v>
      </c>
      <c r="AP83" s="869">
        <f t="shared" si="186"/>
        <v>60.470735329999997</v>
      </c>
      <c r="AQ83" s="869">
        <f t="shared" si="186"/>
        <v>60.911559339999997</v>
      </c>
      <c r="AR83" s="869">
        <f t="shared" si="186"/>
        <v>60.989999999999995</v>
      </c>
      <c r="AS83" s="869">
        <f t="shared" si="186"/>
        <v>63.319999999999993</v>
      </c>
      <c r="AT83" s="869">
        <f t="shared" si="186"/>
        <v>64.187326659999997</v>
      </c>
      <c r="AU83" s="869">
        <f t="shared" si="186"/>
        <v>61.184418080000007</v>
      </c>
      <c r="AV83" s="869">
        <f t="shared" si="186"/>
        <v>61.18</v>
      </c>
      <c r="AW83" s="38"/>
      <c r="AX83" s="463">
        <f>SUM(Y83:AJ83)</f>
        <v>419.53</v>
      </c>
      <c r="AY83" s="827"/>
      <c r="AZ83" s="827">
        <f t="shared" ref="AZ83:AZ94" si="187">SUM(AK83:AV83)</f>
        <v>732.17186930999992</v>
      </c>
      <c r="BA83" s="31"/>
    </row>
    <row r="84" spans="1:53" ht="13.25" customHeight="1" outlineLevel="1">
      <c r="A84" s="902"/>
      <c r="B84" s="555" t="s">
        <v>47</v>
      </c>
      <c r="C84" s="555" t="s">
        <v>21</v>
      </c>
      <c r="D84" s="555" t="s">
        <v>49</v>
      </c>
      <c r="E84" s="62"/>
      <c r="F84" s="62"/>
      <c r="G84" s="62"/>
      <c r="H84" s="62"/>
      <c r="I84" s="62"/>
      <c r="J84" s="62"/>
      <c r="K84" s="62"/>
      <c r="L84" s="62"/>
      <c r="M84" s="62"/>
      <c r="N84" s="62"/>
      <c r="O84" s="62"/>
      <c r="P84" s="62"/>
      <c r="Q84" s="62"/>
      <c r="R84" s="62"/>
      <c r="S84" s="62"/>
      <c r="T84" s="62"/>
      <c r="U84" s="62"/>
      <c r="V84" s="62"/>
      <c r="W84" s="62"/>
      <c r="X84" s="62"/>
      <c r="Y84" s="869">
        <f t="shared" ref="Y84:AI84" si="188">IF(Y80&gt;0,Y80,0)</f>
        <v>0</v>
      </c>
      <c r="Z84" s="869">
        <f t="shared" si="188"/>
        <v>0</v>
      </c>
      <c r="AA84" s="869">
        <f t="shared" si="188"/>
        <v>0</v>
      </c>
      <c r="AB84" s="869">
        <f t="shared" si="188"/>
        <v>0</v>
      </c>
      <c r="AC84" s="869">
        <f t="shared" si="188"/>
        <v>0</v>
      </c>
      <c r="AD84" s="869">
        <f t="shared" si="188"/>
        <v>0</v>
      </c>
      <c r="AE84" s="869">
        <f t="shared" si="188"/>
        <v>0</v>
      </c>
      <c r="AF84" s="869">
        <f t="shared" si="188"/>
        <v>0</v>
      </c>
      <c r="AG84" s="869">
        <f t="shared" si="188"/>
        <v>0</v>
      </c>
      <c r="AH84" s="869">
        <f t="shared" si="188"/>
        <v>0</v>
      </c>
      <c r="AI84" s="869">
        <f t="shared" si="188"/>
        <v>0</v>
      </c>
      <c r="AJ84" s="869">
        <f t="shared" ref="AJ84:AV84" si="189">IF(AJ80&gt;0,AJ80,0)</f>
        <v>0</v>
      </c>
      <c r="AK84" s="869">
        <f t="shared" si="189"/>
        <v>0</v>
      </c>
      <c r="AL84" s="869">
        <f t="shared" si="189"/>
        <v>0</v>
      </c>
      <c r="AM84" s="869">
        <f t="shared" si="189"/>
        <v>0</v>
      </c>
      <c r="AN84" s="869">
        <f t="shared" si="189"/>
        <v>0</v>
      </c>
      <c r="AO84" s="869">
        <f t="shared" si="189"/>
        <v>0</v>
      </c>
      <c r="AP84" s="869">
        <f t="shared" si="189"/>
        <v>0</v>
      </c>
      <c r="AQ84" s="869">
        <f t="shared" si="189"/>
        <v>0</v>
      </c>
      <c r="AR84" s="869">
        <f t="shared" si="189"/>
        <v>3.0100000000000051</v>
      </c>
      <c r="AS84" s="869">
        <f t="shared" si="189"/>
        <v>0</v>
      </c>
      <c r="AT84" s="869">
        <f t="shared" si="189"/>
        <v>0</v>
      </c>
      <c r="AU84" s="869">
        <f t="shared" si="189"/>
        <v>0</v>
      </c>
      <c r="AV84" s="869">
        <f t="shared" si="189"/>
        <v>0</v>
      </c>
      <c r="AW84" s="38"/>
      <c r="AX84" s="463">
        <f t="shared" ref="AX84:AX94" si="190">SUM(Y84:AJ84)</f>
        <v>0</v>
      </c>
      <c r="AY84" s="827"/>
      <c r="AZ84" s="827">
        <f t="shared" si="187"/>
        <v>3.0100000000000051</v>
      </c>
      <c r="BA84" s="31"/>
    </row>
    <row r="85" spans="1:53" ht="13.25" customHeight="1" outlineLevel="1">
      <c r="A85" s="902"/>
      <c r="B85" s="555" t="s">
        <v>47</v>
      </c>
      <c r="C85" s="555" t="s">
        <v>16</v>
      </c>
      <c r="D85" s="555" t="s">
        <v>15</v>
      </c>
      <c r="E85" s="62"/>
      <c r="F85" s="62"/>
      <c r="G85" s="62"/>
      <c r="H85" s="62"/>
      <c r="I85" s="62"/>
      <c r="J85" s="62"/>
      <c r="K85" s="62"/>
      <c r="L85" s="62"/>
      <c r="M85" s="62"/>
      <c r="N85" s="62"/>
      <c r="O85" s="62"/>
      <c r="P85" s="62"/>
      <c r="Q85" s="62"/>
      <c r="R85" s="62"/>
      <c r="S85" s="62"/>
      <c r="T85" s="62"/>
      <c r="U85" s="62"/>
      <c r="V85" s="62"/>
      <c r="W85" s="62"/>
      <c r="X85" s="62"/>
      <c r="Y85" s="869">
        <f t="shared" ref="Y85:AI85" si="191">IF(Y81&lt;Y127,Y81,Y127)</f>
        <v>0</v>
      </c>
      <c r="Z85" s="869">
        <f t="shared" si="191"/>
        <v>0</v>
      </c>
      <c r="AA85" s="869">
        <f t="shared" si="191"/>
        <v>0</v>
      </c>
      <c r="AB85" s="869">
        <f t="shared" si="191"/>
        <v>0</v>
      </c>
      <c r="AC85" s="869">
        <f t="shared" si="191"/>
        <v>0</v>
      </c>
      <c r="AD85" s="869">
        <f t="shared" si="191"/>
        <v>0</v>
      </c>
      <c r="AE85" s="869">
        <f t="shared" si="191"/>
        <v>13</v>
      </c>
      <c r="AF85" s="869">
        <f t="shared" si="191"/>
        <v>0</v>
      </c>
      <c r="AG85" s="869">
        <f t="shared" si="191"/>
        <v>0.17999999999999972</v>
      </c>
      <c r="AH85" s="869">
        <f t="shared" si="191"/>
        <v>0</v>
      </c>
      <c r="AI85" s="869">
        <f t="shared" si="191"/>
        <v>0</v>
      </c>
      <c r="AJ85" s="869">
        <f t="shared" ref="AJ85:AV85" si="192">IF(AJ81&lt;AJ127,AJ81,AJ127)</f>
        <v>0</v>
      </c>
      <c r="AK85" s="869">
        <f t="shared" si="192"/>
        <v>0</v>
      </c>
      <c r="AL85" s="869">
        <f t="shared" si="192"/>
        <v>3.3826857600000011</v>
      </c>
      <c r="AM85" s="869">
        <f t="shared" si="192"/>
        <v>14</v>
      </c>
      <c r="AN85" s="869">
        <f t="shared" si="192"/>
        <v>14</v>
      </c>
      <c r="AO85" s="869">
        <f t="shared" si="192"/>
        <v>14</v>
      </c>
      <c r="AP85" s="869">
        <f t="shared" si="192"/>
        <v>14</v>
      </c>
      <c r="AQ85" s="869">
        <f t="shared" si="192"/>
        <v>14</v>
      </c>
      <c r="AR85" s="869">
        <f t="shared" si="192"/>
        <v>14</v>
      </c>
      <c r="AS85" s="869">
        <f t="shared" si="192"/>
        <v>14</v>
      </c>
      <c r="AT85" s="869">
        <f t="shared" si="192"/>
        <v>14</v>
      </c>
      <c r="AU85" s="869">
        <f t="shared" si="192"/>
        <v>14</v>
      </c>
      <c r="AV85" s="869">
        <f t="shared" si="192"/>
        <v>14</v>
      </c>
      <c r="AW85" s="38"/>
      <c r="AX85" s="463">
        <f t="shared" si="190"/>
        <v>13.18</v>
      </c>
      <c r="AY85" s="827"/>
      <c r="AZ85" s="827">
        <f t="shared" si="187"/>
        <v>143.38268576000002</v>
      </c>
      <c r="BA85" s="31"/>
    </row>
    <row r="86" spans="1:53" ht="13.25" customHeight="1" outlineLevel="1">
      <c r="A86" s="902"/>
      <c r="B86" s="555" t="s">
        <v>47</v>
      </c>
      <c r="C86" s="555" t="s">
        <v>17</v>
      </c>
      <c r="D86" s="555" t="s">
        <v>15</v>
      </c>
      <c r="E86" s="62"/>
      <c r="F86" s="62"/>
      <c r="G86" s="62"/>
      <c r="H86" s="62"/>
      <c r="I86" s="62"/>
      <c r="J86" s="62"/>
      <c r="K86" s="62"/>
      <c r="L86" s="62"/>
      <c r="M86" s="62"/>
      <c r="N86" s="62"/>
      <c r="O86" s="62"/>
      <c r="P86" s="62"/>
      <c r="Q86" s="62"/>
      <c r="R86" s="62"/>
      <c r="S86" s="62"/>
      <c r="T86" s="62"/>
      <c r="U86" s="62"/>
      <c r="V86" s="62"/>
      <c r="W86" s="62"/>
      <c r="X86" s="62"/>
      <c r="Y86" s="869">
        <f t="shared" ref="Y86:AI86" si="193">IF(Y128&lt;Y82,Y128,Y82)</f>
        <v>0</v>
      </c>
      <c r="Z86" s="869">
        <f t="shared" si="193"/>
        <v>0</v>
      </c>
      <c r="AA86" s="869">
        <f t="shared" si="193"/>
        <v>0</v>
      </c>
      <c r="AB86" s="869">
        <f t="shared" si="193"/>
        <v>0</v>
      </c>
      <c r="AC86" s="869">
        <f t="shared" si="193"/>
        <v>0</v>
      </c>
      <c r="AD86" s="869">
        <f t="shared" si="193"/>
        <v>0</v>
      </c>
      <c r="AE86" s="869">
        <f t="shared" si="193"/>
        <v>24</v>
      </c>
      <c r="AF86" s="869">
        <f t="shared" si="193"/>
        <v>0</v>
      </c>
      <c r="AG86" s="869">
        <f t="shared" si="193"/>
        <v>0</v>
      </c>
      <c r="AH86" s="869">
        <f t="shared" si="193"/>
        <v>0</v>
      </c>
      <c r="AI86" s="869">
        <f t="shared" si="193"/>
        <v>0</v>
      </c>
      <c r="AJ86" s="869">
        <f t="shared" ref="AJ86:AV86" si="194">IF(AJ128&lt;AJ82,AJ128,AJ82)</f>
        <v>0</v>
      </c>
      <c r="AK86" s="869">
        <f t="shared" si="194"/>
        <v>0</v>
      </c>
      <c r="AL86" s="869">
        <f t="shared" si="194"/>
        <v>0</v>
      </c>
      <c r="AM86" s="869">
        <f t="shared" si="194"/>
        <v>1.709020460000005</v>
      </c>
      <c r="AN86" s="869">
        <f t="shared" si="194"/>
        <v>15.197774549999991</v>
      </c>
      <c r="AO86" s="380">
        <f t="shared" si="194"/>
        <v>19.782689329999997</v>
      </c>
      <c r="AP86" s="869">
        <f t="shared" si="194"/>
        <v>16.529264670000003</v>
      </c>
      <c r="AQ86" s="869">
        <f t="shared" si="194"/>
        <v>26.088440660000003</v>
      </c>
      <c r="AR86" s="380">
        <f t="shared" si="194"/>
        <v>30</v>
      </c>
      <c r="AS86" s="869">
        <f t="shared" si="194"/>
        <v>13.680000000000007</v>
      </c>
      <c r="AT86" s="869">
        <f t="shared" si="194"/>
        <v>15.812673340000003</v>
      </c>
      <c r="AU86" s="869">
        <f t="shared" si="194"/>
        <v>19.81558192</v>
      </c>
      <c r="AV86" s="869">
        <f t="shared" si="194"/>
        <v>29.819999999999993</v>
      </c>
      <c r="AW86" s="38"/>
      <c r="AX86" s="463">
        <f t="shared" si="190"/>
        <v>24</v>
      </c>
      <c r="AY86" s="827"/>
      <c r="AZ86" s="827">
        <f t="shared" si="187"/>
        <v>188.43544493000002</v>
      </c>
      <c r="BA86" s="31"/>
    </row>
    <row r="87" spans="1:53" ht="13.25" hidden="1" customHeight="1" outlineLevel="1">
      <c r="A87" s="272"/>
      <c r="B87" s="30"/>
      <c r="C87" s="553" t="s">
        <v>21</v>
      </c>
      <c r="D87" s="31"/>
      <c r="E87" s="62"/>
      <c r="F87" s="62"/>
      <c r="G87" s="62"/>
      <c r="H87" s="62"/>
      <c r="I87" s="62"/>
      <c r="J87" s="62"/>
      <c r="K87" s="274">
        <f t="shared" ref="K87:Q87" si="195">K123-K8</f>
        <v>53.24</v>
      </c>
      <c r="L87" s="274">
        <f t="shared" si="195"/>
        <v>59.77</v>
      </c>
      <c r="M87" s="274">
        <f t="shared" si="195"/>
        <v>70.308482029999993</v>
      </c>
      <c r="N87" s="274">
        <f t="shared" si="195"/>
        <v>62.170128779999992</v>
      </c>
      <c r="O87" s="274">
        <f t="shared" si="195"/>
        <v>67.39</v>
      </c>
      <c r="P87" s="274">
        <f t="shared" si="195"/>
        <v>52.08</v>
      </c>
      <c r="Q87" s="274">
        <f t="shared" si="195"/>
        <v>45.18</v>
      </c>
      <c r="R87" s="274">
        <f t="shared" ref="R87:AV87" si="196">R123-R8-R10</f>
        <v>47.39</v>
      </c>
      <c r="S87" s="274">
        <f t="shared" si="196"/>
        <v>32.54</v>
      </c>
      <c r="T87" s="274">
        <f t="shared" si="196"/>
        <v>32.6</v>
      </c>
      <c r="U87" s="274">
        <f t="shared" si="196"/>
        <v>43.42</v>
      </c>
      <c r="V87" s="274">
        <f t="shared" si="196"/>
        <v>55.54</v>
      </c>
      <c r="W87" s="274">
        <f t="shared" si="196"/>
        <v>27.382407709999995</v>
      </c>
      <c r="X87" s="274">
        <f t="shared" si="196"/>
        <v>35.423000000000002</v>
      </c>
      <c r="Y87" s="368">
        <f t="shared" ref="Y87:AI87" si="197">Y123-Y8-Y10</f>
        <v>48.21</v>
      </c>
      <c r="Z87" s="368">
        <f t="shared" si="197"/>
        <v>13.25</v>
      </c>
      <c r="AA87" s="368">
        <f t="shared" si="197"/>
        <v>19.880000000000003</v>
      </c>
      <c r="AB87" s="368">
        <f t="shared" si="197"/>
        <v>17.78</v>
      </c>
      <c r="AC87" s="368">
        <f t="shared" si="197"/>
        <v>16.799999999999997</v>
      </c>
      <c r="AD87" s="368">
        <f t="shared" si="197"/>
        <v>19.739999999999995</v>
      </c>
      <c r="AE87" s="368">
        <f t="shared" si="197"/>
        <v>-45.69</v>
      </c>
      <c r="AF87" s="368">
        <f t="shared" si="197"/>
        <v>24.169999999999995</v>
      </c>
      <c r="AG87" s="368">
        <f t="shared" si="197"/>
        <v>-0.17999999999999972</v>
      </c>
      <c r="AH87" s="368">
        <f t="shared" si="197"/>
        <v>10.660000000000004</v>
      </c>
      <c r="AI87" s="368">
        <f t="shared" si="197"/>
        <v>21.099999999999998</v>
      </c>
      <c r="AJ87" s="368">
        <f t="shared" si="196"/>
        <v>14.497444320000003</v>
      </c>
      <c r="AK87" s="368">
        <f t="shared" si="196"/>
        <v>2.8507143599999978</v>
      </c>
      <c r="AL87" s="368">
        <f t="shared" si="196"/>
        <v>-3.3826857600000011</v>
      </c>
      <c r="AM87" s="368">
        <f t="shared" si="196"/>
        <v>-15.709020460000005</v>
      </c>
      <c r="AN87" s="368">
        <f t="shared" si="196"/>
        <v>-29.197774549999991</v>
      </c>
      <c r="AO87" s="368">
        <f t="shared" si="196"/>
        <v>-33.782689329999997</v>
      </c>
      <c r="AP87" s="368">
        <f t="shared" si="196"/>
        <v>-30.529264670000003</v>
      </c>
      <c r="AQ87" s="368">
        <f t="shared" si="196"/>
        <v>-40.088440660000003</v>
      </c>
      <c r="AR87" s="368">
        <f t="shared" si="196"/>
        <v>-47.010000000000005</v>
      </c>
      <c r="AS87" s="368">
        <f t="shared" si="196"/>
        <v>-27.680000000000007</v>
      </c>
      <c r="AT87" s="368">
        <f t="shared" si="196"/>
        <v>-29.812673340000003</v>
      </c>
      <c r="AU87" s="368">
        <f t="shared" si="196"/>
        <v>-33.815581919999993</v>
      </c>
      <c r="AV87" s="368">
        <f t="shared" si="196"/>
        <v>-43.82</v>
      </c>
      <c r="AW87" s="38"/>
      <c r="AX87" s="463">
        <f t="shared" si="190"/>
        <v>160.21744431999997</v>
      </c>
      <c r="AY87" s="827"/>
      <c r="AZ87" s="827">
        <f t="shared" si="187"/>
        <v>-331.97741632999998</v>
      </c>
      <c r="BA87" s="31"/>
    </row>
    <row r="88" spans="1:53" ht="13.25" hidden="1" customHeight="1" outlineLevel="1">
      <c r="A88" s="273"/>
      <c r="B88" s="553"/>
      <c r="C88" s="553" t="s">
        <v>21</v>
      </c>
      <c r="D88" s="868"/>
      <c r="E88" s="62"/>
      <c r="F88" s="62"/>
      <c r="G88" s="62"/>
      <c r="H88" s="62"/>
      <c r="I88" s="62"/>
      <c r="J88" s="62"/>
      <c r="K88" s="274"/>
      <c r="L88" s="274"/>
      <c r="M88" s="274"/>
      <c r="N88" s="274"/>
      <c r="O88" s="274"/>
      <c r="P88" s="274"/>
      <c r="Q88" s="274"/>
      <c r="R88" s="274"/>
      <c r="S88" s="274"/>
      <c r="T88" s="274"/>
      <c r="U88" s="274"/>
      <c r="V88" s="274"/>
      <c r="W88" s="274"/>
      <c r="X88" s="274"/>
      <c r="Y88" s="368">
        <f t="shared" ref="Y88:AI88" si="198">-Y84</f>
        <v>0</v>
      </c>
      <c r="Z88" s="368">
        <f t="shared" si="198"/>
        <v>0</v>
      </c>
      <c r="AA88" s="368">
        <f t="shared" si="198"/>
        <v>0</v>
      </c>
      <c r="AB88" s="368">
        <f t="shared" si="198"/>
        <v>0</v>
      </c>
      <c r="AC88" s="368">
        <f t="shared" si="198"/>
        <v>0</v>
      </c>
      <c r="AD88" s="368">
        <f t="shared" si="198"/>
        <v>0</v>
      </c>
      <c r="AE88" s="368">
        <f t="shared" si="198"/>
        <v>0</v>
      </c>
      <c r="AF88" s="368">
        <f t="shared" si="198"/>
        <v>0</v>
      </c>
      <c r="AG88" s="368">
        <f t="shared" si="198"/>
        <v>0</v>
      </c>
      <c r="AH88" s="368">
        <f t="shared" si="198"/>
        <v>0</v>
      </c>
      <c r="AI88" s="368">
        <f t="shared" si="198"/>
        <v>0</v>
      </c>
      <c r="AJ88" s="368">
        <f t="shared" ref="AJ88:AV88" si="199">-AJ84</f>
        <v>0</v>
      </c>
      <c r="AK88" s="368">
        <f t="shared" si="199"/>
        <v>0</v>
      </c>
      <c r="AL88" s="368">
        <f t="shared" si="199"/>
        <v>0</v>
      </c>
      <c r="AM88" s="368">
        <f t="shared" si="199"/>
        <v>0</v>
      </c>
      <c r="AN88" s="368">
        <f t="shared" si="199"/>
        <v>0</v>
      </c>
      <c r="AO88" s="368">
        <f t="shared" si="199"/>
        <v>0</v>
      </c>
      <c r="AP88" s="368">
        <f t="shared" si="199"/>
        <v>0</v>
      </c>
      <c r="AQ88" s="368">
        <f t="shared" si="199"/>
        <v>0</v>
      </c>
      <c r="AR88" s="368">
        <f t="shared" si="199"/>
        <v>-3.0100000000000051</v>
      </c>
      <c r="AS88" s="368">
        <f t="shared" si="199"/>
        <v>0</v>
      </c>
      <c r="AT88" s="368">
        <f t="shared" si="199"/>
        <v>0</v>
      </c>
      <c r="AU88" s="368">
        <f t="shared" si="199"/>
        <v>0</v>
      </c>
      <c r="AV88" s="368">
        <f t="shared" si="199"/>
        <v>0</v>
      </c>
      <c r="AW88" s="38"/>
      <c r="AX88" s="463">
        <f t="shared" si="190"/>
        <v>0</v>
      </c>
      <c r="AY88" s="827"/>
      <c r="AZ88" s="827">
        <f t="shared" si="187"/>
        <v>-3.0100000000000051</v>
      </c>
      <c r="BA88" s="31"/>
    </row>
    <row r="89" spans="1:53" ht="13.25" hidden="1" customHeight="1" outlineLevel="1">
      <c r="A89" s="273"/>
      <c r="B89" s="30"/>
      <c r="C89" s="553" t="s">
        <v>16</v>
      </c>
      <c r="D89" s="31"/>
      <c r="E89" s="62"/>
      <c r="F89" s="62"/>
      <c r="G89" s="62"/>
      <c r="H89" s="62"/>
      <c r="I89" s="62"/>
      <c r="J89" s="62"/>
      <c r="K89" s="274"/>
      <c r="L89" s="274"/>
      <c r="M89" s="274"/>
      <c r="N89" s="274"/>
      <c r="O89" s="274"/>
      <c r="P89" s="274"/>
      <c r="Q89" s="274"/>
      <c r="R89" s="274"/>
      <c r="S89" s="274"/>
      <c r="T89" s="274"/>
      <c r="U89" s="274"/>
      <c r="V89" s="274"/>
      <c r="W89" s="274"/>
      <c r="X89" s="274"/>
      <c r="Y89" s="368">
        <f t="shared" ref="Y89:AI89" si="200">IF(Y87&gt;0,Y127,Y127+Y87)</f>
        <v>25</v>
      </c>
      <c r="Z89" s="368">
        <f t="shared" si="200"/>
        <v>24.4</v>
      </c>
      <c r="AA89" s="368">
        <f t="shared" si="200"/>
        <v>26</v>
      </c>
      <c r="AB89" s="368">
        <f t="shared" si="200"/>
        <v>23.5</v>
      </c>
      <c r="AC89" s="368">
        <f t="shared" si="200"/>
        <v>22</v>
      </c>
      <c r="AD89" s="368">
        <f t="shared" si="200"/>
        <v>13.5</v>
      </c>
      <c r="AE89" s="368">
        <f t="shared" si="200"/>
        <v>-32.69</v>
      </c>
      <c r="AF89" s="368">
        <f t="shared" si="200"/>
        <v>12</v>
      </c>
      <c r="AG89" s="368">
        <f t="shared" si="200"/>
        <v>11.82</v>
      </c>
      <c r="AH89" s="368">
        <f t="shared" si="200"/>
        <v>13</v>
      </c>
      <c r="AI89" s="368">
        <f t="shared" si="200"/>
        <v>13</v>
      </c>
      <c r="AJ89" s="368">
        <f t="shared" ref="AJ89:AV89" si="201">IF(AJ87&gt;0,AJ127,AJ127+AJ87)</f>
        <v>14</v>
      </c>
      <c r="AK89" s="368">
        <f t="shared" si="201"/>
        <v>14</v>
      </c>
      <c r="AL89" s="368">
        <f t="shared" si="201"/>
        <v>8.1173142399999989</v>
      </c>
      <c r="AM89" s="368">
        <f t="shared" si="201"/>
        <v>-1.709020460000005</v>
      </c>
      <c r="AN89" s="368">
        <f t="shared" si="201"/>
        <v>-15.197774549999991</v>
      </c>
      <c r="AO89" s="368">
        <f t="shared" si="201"/>
        <v>-19.782689329999997</v>
      </c>
      <c r="AP89" s="368">
        <f t="shared" si="201"/>
        <v>-16.529264670000003</v>
      </c>
      <c r="AQ89" s="368">
        <f t="shared" si="201"/>
        <v>-26.088440660000003</v>
      </c>
      <c r="AR89" s="368">
        <f t="shared" si="201"/>
        <v>-33.010000000000005</v>
      </c>
      <c r="AS89" s="368">
        <f t="shared" si="201"/>
        <v>-13.680000000000007</v>
      </c>
      <c r="AT89" s="368">
        <f t="shared" si="201"/>
        <v>-15.812673340000003</v>
      </c>
      <c r="AU89" s="368">
        <f t="shared" si="201"/>
        <v>-19.815581919999993</v>
      </c>
      <c r="AV89" s="368">
        <f t="shared" si="201"/>
        <v>-29.82</v>
      </c>
      <c r="AW89" s="38"/>
      <c r="AX89" s="463">
        <f t="shared" si="190"/>
        <v>165.53</v>
      </c>
      <c r="AY89" s="827"/>
      <c r="AZ89" s="827">
        <f t="shared" si="187"/>
        <v>-169.32813068999999</v>
      </c>
      <c r="BA89" s="31"/>
    </row>
    <row r="90" spans="1:53" ht="13.25" hidden="1" customHeight="1" outlineLevel="1">
      <c r="A90" s="273"/>
      <c r="B90" s="30"/>
      <c r="C90" s="553" t="s">
        <v>17</v>
      </c>
      <c r="D90" s="31"/>
      <c r="E90" s="62"/>
      <c r="F90" s="62"/>
      <c r="G90" s="62"/>
      <c r="H90" s="62"/>
      <c r="I90" s="62"/>
      <c r="J90" s="62"/>
      <c r="K90" s="274"/>
      <c r="L90" s="274"/>
      <c r="M90" s="274"/>
      <c r="N90" s="274"/>
      <c r="O90" s="274"/>
      <c r="P90" s="274"/>
      <c r="Q90" s="274"/>
      <c r="R90" s="274"/>
      <c r="S90" s="274"/>
      <c r="T90" s="274"/>
      <c r="U90" s="274"/>
      <c r="V90" s="274"/>
      <c r="W90" s="274"/>
      <c r="X90" s="274"/>
      <c r="Y90" s="368">
        <f t="shared" ref="Y90:AI90" si="202">IF(Y89&gt;=0,Y128,Y128+Y89)</f>
        <v>15</v>
      </c>
      <c r="Z90" s="368">
        <f t="shared" si="202"/>
        <v>15</v>
      </c>
      <c r="AA90" s="368">
        <f t="shared" si="202"/>
        <v>17</v>
      </c>
      <c r="AB90" s="368">
        <f t="shared" si="202"/>
        <v>12.5</v>
      </c>
      <c r="AC90" s="368">
        <f t="shared" si="202"/>
        <v>14</v>
      </c>
      <c r="AD90" s="368">
        <f t="shared" si="202"/>
        <v>22.5</v>
      </c>
      <c r="AE90" s="368">
        <f t="shared" si="202"/>
        <v>-8.6899999999999977</v>
      </c>
      <c r="AF90" s="368">
        <f t="shared" si="202"/>
        <v>24</v>
      </c>
      <c r="AG90" s="368">
        <f t="shared" si="202"/>
        <v>24</v>
      </c>
      <c r="AH90" s="368">
        <f t="shared" si="202"/>
        <v>24</v>
      </c>
      <c r="AI90" s="368">
        <f t="shared" si="202"/>
        <v>26</v>
      </c>
      <c r="AJ90" s="368">
        <f t="shared" ref="AJ90:AV90" si="203">IF(AJ89&gt;=0,AJ128,AJ128+AJ89)</f>
        <v>29</v>
      </c>
      <c r="AK90" s="368">
        <f t="shared" si="203"/>
        <v>30</v>
      </c>
      <c r="AL90" s="368">
        <f t="shared" si="203"/>
        <v>25.5</v>
      </c>
      <c r="AM90" s="368">
        <f t="shared" si="203"/>
        <v>28.290979539999995</v>
      </c>
      <c r="AN90" s="368">
        <f t="shared" si="203"/>
        <v>14.802225450000009</v>
      </c>
      <c r="AO90" s="368">
        <f t="shared" si="203"/>
        <v>10.217310670000003</v>
      </c>
      <c r="AP90" s="368">
        <f t="shared" si="203"/>
        <v>13.470735329999997</v>
      </c>
      <c r="AQ90" s="368">
        <f t="shared" si="203"/>
        <v>3.9115593399999966</v>
      </c>
      <c r="AR90" s="368">
        <f t="shared" si="203"/>
        <v>-3.0100000000000051</v>
      </c>
      <c r="AS90" s="368">
        <f t="shared" si="203"/>
        <v>16.319999999999993</v>
      </c>
      <c r="AT90" s="368">
        <f t="shared" si="203"/>
        <v>14.187326659999997</v>
      </c>
      <c r="AU90" s="368">
        <f t="shared" si="203"/>
        <v>10.184418080000007</v>
      </c>
      <c r="AV90" s="368">
        <f t="shared" si="203"/>
        <v>0.17999999999999972</v>
      </c>
      <c r="AW90" s="38"/>
      <c r="AX90" s="463">
        <f t="shared" si="190"/>
        <v>214.31</v>
      </c>
      <c r="AY90" s="827"/>
      <c r="AZ90" s="827">
        <f t="shared" si="187"/>
        <v>164.05455506999999</v>
      </c>
      <c r="BA90" s="31"/>
    </row>
    <row r="91" spans="1:53" ht="13.25" customHeight="1" outlineLevel="1">
      <c r="A91" s="909"/>
      <c r="B91" s="908" t="s">
        <v>3</v>
      </c>
      <c r="C91" s="908" t="s">
        <v>21</v>
      </c>
      <c r="D91" s="908" t="s">
        <v>250</v>
      </c>
      <c r="E91" s="62"/>
      <c r="F91" s="62"/>
      <c r="G91" s="62"/>
      <c r="H91" s="62"/>
      <c r="I91" s="62"/>
      <c r="J91" s="62"/>
      <c r="K91" s="910"/>
      <c r="L91" s="910"/>
      <c r="M91" s="910"/>
      <c r="N91" s="910"/>
      <c r="O91" s="910"/>
      <c r="P91" s="910"/>
      <c r="Q91" s="910"/>
      <c r="R91" s="910"/>
      <c r="S91" s="910"/>
      <c r="T91" s="910"/>
      <c r="U91" s="910"/>
      <c r="V91" s="910"/>
      <c r="W91" s="910"/>
      <c r="X91" s="910"/>
      <c r="Y91" s="910">
        <f t="shared" ref="Y91:AI91" si="204">IF(Y87&lt;0,0,Y87)</f>
        <v>48.21</v>
      </c>
      <c r="Z91" s="910">
        <f t="shared" si="204"/>
        <v>13.25</v>
      </c>
      <c r="AA91" s="910">
        <f t="shared" si="204"/>
        <v>19.880000000000003</v>
      </c>
      <c r="AB91" s="910">
        <f t="shared" si="204"/>
        <v>17.78</v>
      </c>
      <c r="AC91" s="910">
        <f t="shared" si="204"/>
        <v>16.799999999999997</v>
      </c>
      <c r="AD91" s="910">
        <f t="shared" si="204"/>
        <v>19.739999999999995</v>
      </c>
      <c r="AE91" s="910">
        <f t="shared" si="204"/>
        <v>0</v>
      </c>
      <c r="AF91" s="910">
        <f t="shared" si="204"/>
        <v>24.169999999999995</v>
      </c>
      <c r="AG91" s="910">
        <f t="shared" si="204"/>
        <v>0</v>
      </c>
      <c r="AH91" s="910">
        <f t="shared" si="204"/>
        <v>10.660000000000004</v>
      </c>
      <c r="AI91" s="910">
        <f t="shared" si="204"/>
        <v>21.099999999999998</v>
      </c>
      <c r="AJ91" s="910">
        <f t="shared" ref="AJ91:AV91" si="205">IF(AJ87&lt;0,0,AJ87)</f>
        <v>14.497444320000003</v>
      </c>
      <c r="AK91" s="910">
        <f t="shared" si="205"/>
        <v>2.8507143599999978</v>
      </c>
      <c r="AL91" s="910">
        <f t="shared" si="205"/>
        <v>0</v>
      </c>
      <c r="AM91" s="910">
        <f t="shared" si="205"/>
        <v>0</v>
      </c>
      <c r="AN91" s="910">
        <f t="shared" si="205"/>
        <v>0</v>
      </c>
      <c r="AO91" s="910">
        <f t="shared" si="205"/>
        <v>0</v>
      </c>
      <c r="AP91" s="910">
        <f t="shared" si="205"/>
        <v>0</v>
      </c>
      <c r="AQ91" s="910">
        <f t="shared" si="205"/>
        <v>0</v>
      </c>
      <c r="AR91" s="910">
        <f t="shared" si="205"/>
        <v>0</v>
      </c>
      <c r="AS91" s="910">
        <f t="shared" si="205"/>
        <v>0</v>
      </c>
      <c r="AT91" s="910">
        <f t="shared" si="205"/>
        <v>0</v>
      </c>
      <c r="AU91" s="910">
        <f t="shared" si="205"/>
        <v>0</v>
      </c>
      <c r="AV91" s="910">
        <f t="shared" si="205"/>
        <v>0</v>
      </c>
      <c r="AW91" s="38"/>
      <c r="AX91" s="463">
        <f t="shared" si="190"/>
        <v>206.08744431999997</v>
      </c>
      <c r="AY91" s="827"/>
      <c r="AZ91" s="827">
        <f t="shared" si="187"/>
        <v>2.8507143599999978</v>
      </c>
      <c r="BA91" s="31"/>
    </row>
    <row r="92" spans="1:53" ht="13.25" customHeight="1" outlineLevel="1">
      <c r="A92" s="909"/>
      <c r="B92" s="908" t="s">
        <v>3</v>
      </c>
      <c r="C92" s="908" t="s">
        <v>21</v>
      </c>
      <c r="D92" s="908" t="s">
        <v>370</v>
      </c>
      <c r="E92" s="62"/>
      <c r="F92" s="62"/>
      <c r="G92" s="62"/>
      <c r="H92" s="62"/>
      <c r="I92" s="62"/>
      <c r="J92" s="62"/>
      <c r="K92" s="910"/>
      <c r="L92" s="910"/>
      <c r="M92" s="910"/>
      <c r="N92" s="910"/>
      <c r="O92" s="910"/>
      <c r="P92" s="910"/>
      <c r="Q92" s="910"/>
      <c r="R92" s="910"/>
      <c r="S92" s="910"/>
      <c r="T92" s="910"/>
      <c r="U92" s="910"/>
      <c r="V92" s="910"/>
      <c r="W92" s="910"/>
      <c r="X92" s="910"/>
      <c r="Y92" s="910">
        <f t="shared" ref="Y92:AI92" si="206">Y124+Y88</f>
        <v>61.92</v>
      </c>
      <c r="Z92" s="910">
        <f t="shared" si="206"/>
        <v>56.777439450000003</v>
      </c>
      <c r="AA92" s="910">
        <f t="shared" si="206"/>
        <v>62.23</v>
      </c>
      <c r="AB92" s="910">
        <f t="shared" si="206"/>
        <v>53.05</v>
      </c>
      <c r="AC92" s="910">
        <f t="shared" si="206"/>
        <v>53.03</v>
      </c>
      <c r="AD92" s="910">
        <f t="shared" si="206"/>
        <v>54.080000000000005</v>
      </c>
      <c r="AE92" s="910">
        <f t="shared" si="206"/>
        <v>53.959999999999994</v>
      </c>
      <c r="AF92" s="910">
        <f t="shared" si="206"/>
        <v>52.06</v>
      </c>
      <c r="AG92" s="910">
        <f t="shared" si="206"/>
        <v>52.13</v>
      </c>
      <c r="AH92" s="910">
        <f t="shared" si="206"/>
        <v>55.099000000000011</v>
      </c>
      <c r="AI92" s="910">
        <f t="shared" si="206"/>
        <v>53.53</v>
      </c>
      <c r="AJ92" s="910">
        <f t="shared" ref="AJ92:AV92" si="207">AJ124+AJ88</f>
        <v>54.742669990000003</v>
      </c>
      <c r="AK92" s="910">
        <f t="shared" si="207"/>
        <v>57.149695229999999</v>
      </c>
      <c r="AL92" s="910">
        <f t="shared" si="207"/>
        <v>52.046293659999996</v>
      </c>
      <c r="AM92" s="910">
        <f t="shared" si="207"/>
        <v>53.668959759999993</v>
      </c>
      <c r="AN92" s="910">
        <f t="shared" si="207"/>
        <v>52.264837319999998</v>
      </c>
      <c r="AO92" s="910">
        <f t="shared" si="207"/>
        <v>53.813492189999991</v>
      </c>
      <c r="AP92" s="910">
        <f t="shared" si="207"/>
        <v>52.008330149999992</v>
      </c>
      <c r="AQ92" s="910">
        <f t="shared" si="207"/>
        <v>53.470047659999992</v>
      </c>
      <c r="AR92" s="910">
        <f t="shared" si="207"/>
        <v>51.109999999999992</v>
      </c>
      <c r="AS92" s="910">
        <f t="shared" si="207"/>
        <v>53.319999999999993</v>
      </c>
      <c r="AT92" s="910">
        <f t="shared" si="207"/>
        <v>54.723862669999995</v>
      </c>
      <c r="AU92" s="910">
        <f t="shared" si="207"/>
        <v>53.862929569999999</v>
      </c>
      <c r="AV92" s="910">
        <f t="shared" si="207"/>
        <v>53.86</v>
      </c>
      <c r="AW92" s="38"/>
      <c r="AX92" s="463">
        <f t="shared" si="190"/>
        <v>662.60910943999988</v>
      </c>
      <c r="AY92" s="827"/>
      <c r="AZ92" s="827">
        <f t="shared" si="187"/>
        <v>641.29844820999995</v>
      </c>
      <c r="BA92" s="31"/>
    </row>
    <row r="93" spans="1:53" ht="13.25" customHeight="1" outlineLevel="1">
      <c r="A93" s="909"/>
      <c r="B93" s="908" t="s">
        <v>3</v>
      </c>
      <c r="C93" s="908" t="s">
        <v>16</v>
      </c>
      <c r="D93" s="908" t="s">
        <v>250</v>
      </c>
      <c r="E93" s="62"/>
      <c r="F93" s="62"/>
      <c r="G93" s="62"/>
      <c r="H93" s="62"/>
      <c r="I93" s="62"/>
      <c r="J93" s="62"/>
      <c r="K93" s="910"/>
      <c r="L93" s="910"/>
      <c r="M93" s="910"/>
      <c r="N93" s="910"/>
      <c r="O93" s="910"/>
      <c r="P93" s="910"/>
      <c r="Q93" s="910"/>
      <c r="R93" s="910"/>
      <c r="S93" s="910"/>
      <c r="T93" s="910"/>
      <c r="U93" s="910"/>
      <c r="V93" s="910"/>
      <c r="W93" s="910"/>
      <c r="X93" s="910"/>
      <c r="Y93" s="910">
        <f t="shared" ref="Y93:AI93" si="208">IF(Y89&lt;0,0,Y89)</f>
        <v>25</v>
      </c>
      <c r="Z93" s="910">
        <f t="shared" si="208"/>
        <v>24.4</v>
      </c>
      <c r="AA93" s="910">
        <f t="shared" si="208"/>
        <v>26</v>
      </c>
      <c r="AB93" s="910">
        <f t="shared" si="208"/>
        <v>23.5</v>
      </c>
      <c r="AC93" s="910">
        <f t="shared" si="208"/>
        <v>22</v>
      </c>
      <c r="AD93" s="910">
        <f t="shared" si="208"/>
        <v>13.5</v>
      </c>
      <c r="AE93" s="910">
        <f t="shared" si="208"/>
        <v>0</v>
      </c>
      <c r="AF93" s="910">
        <f t="shared" si="208"/>
        <v>12</v>
      </c>
      <c r="AG93" s="910">
        <f t="shared" si="208"/>
        <v>11.82</v>
      </c>
      <c r="AH93" s="910">
        <f t="shared" si="208"/>
        <v>13</v>
      </c>
      <c r="AI93" s="910">
        <f t="shared" si="208"/>
        <v>13</v>
      </c>
      <c r="AJ93" s="910">
        <f t="shared" ref="AJ93:AV93" si="209">IF(AJ89&lt;0,0,AJ89)</f>
        <v>14</v>
      </c>
      <c r="AK93" s="910">
        <f t="shared" si="209"/>
        <v>14</v>
      </c>
      <c r="AL93" s="910">
        <f t="shared" si="209"/>
        <v>8.1173142399999989</v>
      </c>
      <c r="AM93" s="910">
        <f t="shared" si="209"/>
        <v>0</v>
      </c>
      <c r="AN93" s="910">
        <f t="shared" si="209"/>
        <v>0</v>
      </c>
      <c r="AO93" s="910">
        <f t="shared" si="209"/>
        <v>0</v>
      </c>
      <c r="AP93" s="910">
        <f t="shared" si="209"/>
        <v>0</v>
      </c>
      <c r="AQ93" s="910">
        <f t="shared" si="209"/>
        <v>0</v>
      </c>
      <c r="AR93" s="910">
        <f t="shared" si="209"/>
        <v>0</v>
      </c>
      <c r="AS93" s="910">
        <f t="shared" si="209"/>
        <v>0</v>
      </c>
      <c r="AT93" s="910">
        <f t="shared" si="209"/>
        <v>0</v>
      </c>
      <c r="AU93" s="910">
        <f t="shared" si="209"/>
        <v>0</v>
      </c>
      <c r="AV93" s="910">
        <f t="shared" si="209"/>
        <v>0</v>
      </c>
      <c r="AW93" s="38"/>
      <c r="AX93" s="463">
        <f t="shared" si="190"/>
        <v>198.22</v>
      </c>
      <c r="AY93" s="827"/>
      <c r="AZ93" s="827">
        <f t="shared" si="187"/>
        <v>22.117314239999999</v>
      </c>
      <c r="BA93" s="31"/>
    </row>
    <row r="94" spans="1:53" ht="13.25" customHeight="1" outlineLevel="1">
      <c r="A94" s="909"/>
      <c r="B94" s="908" t="s">
        <v>3</v>
      </c>
      <c r="C94" s="908" t="s">
        <v>17</v>
      </c>
      <c r="D94" s="908" t="s">
        <v>250</v>
      </c>
      <c r="E94" s="62"/>
      <c r="F94" s="62"/>
      <c r="G94" s="62"/>
      <c r="H94" s="62"/>
      <c r="I94" s="62"/>
      <c r="J94" s="62"/>
      <c r="K94" s="910"/>
      <c r="L94" s="910"/>
      <c r="M94" s="910"/>
      <c r="N94" s="910"/>
      <c r="O94" s="910"/>
      <c r="P94" s="910"/>
      <c r="Q94" s="910"/>
      <c r="R94" s="910"/>
      <c r="S94" s="910"/>
      <c r="T94" s="910"/>
      <c r="U94" s="910"/>
      <c r="V94" s="910"/>
      <c r="W94" s="910"/>
      <c r="X94" s="910"/>
      <c r="Y94" s="910">
        <f t="shared" ref="Y94:AI94" si="210">IF(Y90&lt;0,0,Y90)</f>
        <v>15</v>
      </c>
      <c r="Z94" s="910">
        <f t="shared" si="210"/>
        <v>15</v>
      </c>
      <c r="AA94" s="910">
        <f t="shared" si="210"/>
        <v>17</v>
      </c>
      <c r="AB94" s="910">
        <f t="shared" si="210"/>
        <v>12.5</v>
      </c>
      <c r="AC94" s="910">
        <f t="shared" si="210"/>
        <v>14</v>
      </c>
      <c r="AD94" s="910">
        <f t="shared" si="210"/>
        <v>22.5</v>
      </c>
      <c r="AE94" s="910">
        <f t="shared" si="210"/>
        <v>0</v>
      </c>
      <c r="AF94" s="910">
        <f t="shared" si="210"/>
        <v>24</v>
      </c>
      <c r="AG94" s="910">
        <f t="shared" si="210"/>
        <v>24</v>
      </c>
      <c r="AH94" s="910">
        <f t="shared" si="210"/>
        <v>24</v>
      </c>
      <c r="AI94" s="910">
        <f t="shared" si="210"/>
        <v>26</v>
      </c>
      <c r="AJ94" s="910">
        <f t="shared" ref="AJ94:AV94" si="211">IF(AJ90&lt;0,0,AJ90)</f>
        <v>29</v>
      </c>
      <c r="AK94" s="910">
        <f t="shared" si="211"/>
        <v>30</v>
      </c>
      <c r="AL94" s="910">
        <f t="shared" si="211"/>
        <v>25.5</v>
      </c>
      <c r="AM94" s="910">
        <f t="shared" si="211"/>
        <v>28.290979539999995</v>
      </c>
      <c r="AN94" s="910">
        <f t="shared" si="211"/>
        <v>14.802225450000009</v>
      </c>
      <c r="AO94" s="910">
        <f t="shared" si="211"/>
        <v>10.217310670000003</v>
      </c>
      <c r="AP94" s="910">
        <f t="shared" si="211"/>
        <v>13.470735329999997</v>
      </c>
      <c r="AQ94" s="910">
        <f t="shared" si="211"/>
        <v>3.9115593399999966</v>
      </c>
      <c r="AR94" s="910">
        <f t="shared" si="211"/>
        <v>0</v>
      </c>
      <c r="AS94" s="910">
        <f t="shared" si="211"/>
        <v>16.319999999999993</v>
      </c>
      <c r="AT94" s="910">
        <f t="shared" si="211"/>
        <v>14.187326659999997</v>
      </c>
      <c r="AU94" s="910">
        <f t="shared" si="211"/>
        <v>10.184418080000007</v>
      </c>
      <c r="AV94" s="910">
        <f t="shared" si="211"/>
        <v>0.17999999999999972</v>
      </c>
      <c r="AW94" s="38"/>
      <c r="AX94" s="463">
        <f t="shared" si="190"/>
        <v>223</v>
      </c>
      <c r="AY94" s="827"/>
      <c r="AZ94" s="827">
        <f t="shared" si="187"/>
        <v>167.06455506999998</v>
      </c>
      <c r="BA94" s="31"/>
    </row>
    <row r="95" spans="1:53" outlineLevel="1">
      <c r="A95" s="270"/>
      <c r="B95" s="271" t="s">
        <v>153</v>
      </c>
      <c r="C95" s="270"/>
      <c r="D95" s="271" t="s">
        <v>151</v>
      </c>
      <c r="E95" s="62"/>
      <c r="F95" s="62"/>
      <c r="G95" s="62"/>
      <c r="H95" s="62"/>
      <c r="I95" s="62"/>
      <c r="J95" s="62"/>
      <c r="K95" s="269">
        <f>SUM(K123:K166)-K8-K61</f>
        <v>186.98999999999998</v>
      </c>
      <c r="L95" s="269">
        <f>SUM(L123:L166)-L8-L61</f>
        <v>176.72567744999995</v>
      </c>
      <c r="M95" s="269">
        <f>SUM(M123:M167)-M8-M61</f>
        <v>184.30329082000003</v>
      </c>
      <c r="N95" s="269">
        <f>SUM(N123:N167)-N8-N61</f>
        <v>172.28545953</v>
      </c>
      <c r="O95" s="269">
        <f>SUM(O123:O167)-O8-O61</f>
        <v>172.38000000000002</v>
      </c>
      <c r="P95" s="269">
        <f>SUM(P123:P167)-P8-P61</f>
        <v>142.44</v>
      </c>
      <c r="Q95" s="269">
        <f>SUM(Q123:Q167)-Q8-Q61</f>
        <v>138.16</v>
      </c>
      <c r="R95" s="269">
        <f t="shared" ref="R95:AV95" si="212">SUM(R123:R167)-R8-R61-R10</f>
        <v>154.13999999999999</v>
      </c>
      <c r="S95" s="269">
        <f t="shared" si="212"/>
        <v>152.03</v>
      </c>
      <c r="T95" s="269">
        <f t="shared" si="212"/>
        <v>164.28000000000006</v>
      </c>
      <c r="U95" s="269">
        <f t="shared" si="212"/>
        <v>174.54000000000002</v>
      </c>
      <c r="V95" s="269">
        <f t="shared" si="212"/>
        <v>191.40999999999997</v>
      </c>
      <c r="W95" s="269">
        <f t="shared" si="212"/>
        <v>148.50240770999997</v>
      </c>
      <c r="X95" s="269">
        <f t="shared" si="212"/>
        <v>163.09299999999999</v>
      </c>
      <c r="Y95" s="269">
        <f t="shared" si="212"/>
        <v>157.68</v>
      </c>
      <c r="Z95" s="269">
        <f t="shared" si="212"/>
        <v>129.34743945000002</v>
      </c>
      <c r="AA95" s="269">
        <f t="shared" si="212"/>
        <v>161.13999999999996</v>
      </c>
      <c r="AB95" s="269">
        <f t="shared" si="212"/>
        <v>135.09999999999997</v>
      </c>
      <c r="AC95" s="269">
        <f t="shared" si="212"/>
        <v>135.55000000000001</v>
      </c>
      <c r="AD95" s="269">
        <f t="shared" si="212"/>
        <v>146.10999999999999</v>
      </c>
      <c r="AE95" s="269">
        <f t="shared" si="212"/>
        <v>83.71999999999997</v>
      </c>
      <c r="AF95" s="269">
        <f t="shared" si="212"/>
        <v>145.25999999999996</v>
      </c>
      <c r="AG95" s="269">
        <f t="shared" si="212"/>
        <v>122</v>
      </c>
      <c r="AH95" s="269">
        <f t="shared" si="212"/>
        <v>133.03900000000002</v>
      </c>
      <c r="AI95" s="269">
        <f t="shared" si="212"/>
        <v>144.27999999999997</v>
      </c>
      <c r="AJ95" s="269">
        <f t="shared" si="212"/>
        <v>148.12011431000008</v>
      </c>
      <c r="AK95" s="269">
        <f t="shared" si="212"/>
        <v>133.84040959000001</v>
      </c>
      <c r="AL95" s="269">
        <f t="shared" si="212"/>
        <v>123.35360789999999</v>
      </c>
      <c r="AM95" s="269">
        <f t="shared" si="212"/>
        <v>120.44993929999995</v>
      </c>
      <c r="AN95" s="269">
        <f t="shared" si="212"/>
        <v>110.97706276999997</v>
      </c>
      <c r="AO95" s="269">
        <f t="shared" si="212"/>
        <v>102.52080285999997</v>
      </c>
      <c r="AP95" s="269">
        <f t="shared" si="212"/>
        <v>104.22906547999997</v>
      </c>
      <c r="AQ95" s="269">
        <f t="shared" si="212"/>
        <v>106.47160699999995</v>
      </c>
      <c r="AR95" s="269">
        <f t="shared" si="212"/>
        <v>98.939999999999969</v>
      </c>
      <c r="AS95" s="269">
        <f t="shared" si="212"/>
        <v>119.08999999999995</v>
      </c>
      <c r="AT95" s="269">
        <f t="shared" si="212"/>
        <v>119.61118932999995</v>
      </c>
      <c r="AU95" s="269">
        <f t="shared" si="212"/>
        <v>114.47734764999998</v>
      </c>
      <c r="AV95" s="269">
        <f t="shared" si="212"/>
        <v>104.46999999999997</v>
      </c>
      <c r="AW95" s="38"/>
      <c r="AX95" s="31"/>
      <c r="AY95" s="31"/>
      <c r="AZ95" s="827"/>
      <c r="BA95" s="31"/>
    </row>
    <row r="96" spans="1:53" outlineLevel="1">
      <c r="A96" s="270"/>
      <c r="B96" s="271" t="s">
        <v>154</v>
      </c>
      <c r="C96" s="270"/>
      <c r="D96" s="271" t="s">
        <v>152</v>
      </c>
      <c r="E96" s="62"/>
      <c r="F96" s="62"/>
      <c r="G96" s="62"/>
      <c r="H96" s="62"/>
      <c r="I96" s="62"/>
      <c r="J96" s="62"/>
      <c r="K96" s="269">
        <f t="shared" ref="K96:AV96" si="213">K123+K124+K127+K128+K129+K131+K133+K136+K139+K141+K143+K144+K151+K154+K156+K159+K161+K163+K165-K8-K10</f>
        <v>171.64</v>
      </c>
      <c r="L96" s="269">
        <f t="shared" si="213"/>
        <v>177.10567744999997</v>
      </c>
      <c r="M96" s="269">
        <f t="shared" si="213"/>
        <v>181.64329082</v>
      </c>
      <c r="N96" s="269">
        <f t="shared" si="213"/>
        <v>172.19545952999999</v>
      </c>
      <c r="O96" s="269">
        <f t="shared" si="213"/>
        <v>161.47</v>
      </c>
      <c r="P96" s="269">
        <f t="shared" si="213"/>
        <v>132.49</v>
      </c>
      <c r="Q96" s="269">
        <f t="shared" si="213"/>
        <v>131.46</v>
      </c>
      <c r="R96" s="269">
        <f t="shared" si="213"/>
        <v>136.26</v>
      </c>
      <c r="S96" s="269">
        <f t="shared" si="213"/>
        <v>132.22999999999999</v>
      </c>
      <c r="T96" s="269">
        <f t="shared" si="213"/>
        <v>133.78</v>
      </c>
      <c r="U96" s="269">
        <f t="shared" si="213"/>
        <v>144.84</v>
      </c>
      <c r="V96" s="269">
        <f t="shared" si="213"/>
        <v>159.91</v>
      </c>
      <c r="W96" s="269">
        <f t="shared" si="213"/>
        <v>128.70240770999999</v>
      </c>
      <c r="X96" s="269">
        <f t="shared" si="213"/>
        <v>142.04300000000001</v>
      </c>
      <c r="Y96" s="269">
        <f t="shared" si="213"/>
        <v>150.13</v>
      </c>
      <c r="Z96" s="269">
        <f t="shared" si="213"/>
        <v>109.42743945000001</v>
      </c>
      <c r="AA96" s="269">
        <f t="shared" si="213"/>
        <v>125.11000000000001</v>
      </c>
      <c r="AB96" s="269">
        <f t="shared" si="213"/>
        <v>106.82999999999998</v>
      </c>
      <c r="AC96" s="269">
        <f t="shared" si="213"/>
        <v>105.82999999999998</v>
      </c>
      <c r="AD96" s="269">
        <f t="shared" si="213"/>
        <v>109.82</v>
      </c>
      <c r="AE96" s="269">
        <f t="shared" si="213"/>
        <v>45.269999999999982</v>
      </c>
      <c r="AF96" s="269">
        <f t="shared" si="213"/>
        <v>112.22999999999999</v>
      </c>
      <c r="AG96" s="269">
        <f t="shared" si="213"/>
        <v>87.949999999999989</v>
      </c>
      <c r="AH96" s="269">
        <f t="shared" si="213"/>
        <v>102.75900000000001</v>
      </c>
      <c r="AI96" s="269">
        <f t="shared" si="213"/>
        <v>113.62999999999998</v>
      </c>
      <c r="AJ96" s="269">
        <f t="shared" si="213"/>
        <v>112.24011431000001</v>
      </c>
      <c r="AK96" s="269">
        <f t="shared" si="213"/>
        <v>104.00040959</v>
      </c>
      <c r="AL96" s="269">
        <f t="shared" si="213"/>
        <v>85.663607899999988</v>
      </c>
      <c r="AM96" s="269">
        <f t="shared" si="213"/>
        <v>81.959939299999974</v>
      </c>
      <c r="AN96" s="269">
        <f t="shared" si="213"/>
        <v>67.067062770000007</v>
      </c>
      <c r="AO96" s="269">
        <f t="shared" si="213"/>
        <v>64.030802859999994</v>
      </c>
      <c r="AP96" s="269">
        <f t="shared" si="213"/>
        <v>65.479065479999974</v>
      </c>
      <c r="AQ96" s="269">
        <f t="shared" si="213"/>
        <v>57.381606999999974</v>
      </c>
      <c r="AR96" s="269">
        <f t="shared" si="213"/>
        <v>51.109999999999985</v>
      </c>
      <c r="AS96" s="269">
        <f t="shared" si="213"/>
        <v>69.639999999999986</v>
      </c>
      <c r="AT96" s="269">
        <f t="shared" si="213"/>
        <v>68.911189329999985</v>
      </c>
      <c r="AU96" s="269">
        <f t="shared" si="213"/>
        <v>64.047347650000006</v>
      </c>
      <c r="AV96" s="269">
        <f t="shared" si="213"/>
        <v>54.039999999999992</v>
      </c>
      <c r="AW96" s="38"/>
      <c r="AX96" s="31"/>
      <c r="AY96" s="31"/>
      <c r="AZ96" s="827"/>
      <c r="BA96" s="31"/>
    </row>
    <row r="97" spans="1:55" ht="15" hidden="1" outlineLevel="1" thickBot="1">
      <c r="A97" s="286"/>
      <c r="B97" s="287" t="s">
        <v>157</v>
      </c>
      <c r="C97" s="286"/>
      <c r="D97" s="288" t="s">
        <v>189</v>
      </c>
      <c r="E97" s="62"/>
      <c r="F97" s="62"/>
      <c r="G97" s="62"/>
      <c r="H97" s="62"/>
      <c r="I97" s="62"/>
      <c r="J97" s="62"/>
      <c r="K97" s="62"/>
      <c r="L97" s="62"/>
      <c r="M97" s="285">
        <f t="shared" ref="M97:AJ97" si="214">M123+M124+M125+M174+M152+M151</f>
        <v>160.64329082</v>
      </c>
      <c r="N97" s="285">
        <f t="shared" si="214"/>
        <v>152.08545953000001</v>
      </c>
      <c r="O97" s="285">
        <f t="shared" si="214"/>
        <v>147.27000000000001</v>
      </c>
      <c r="P97" s="285">
        <f t="shared" si="214"/>
        <v>120.19</v>
      </c>
      <c r="Q97" s="285">
        <f t="shared" si="214"/>
        <v>121.35999999999999</v>
      </c>
      <c r="R97" s="285">
        <f t="shared" si="214"/>
        <v>125.03999999999999</v>
      </c>
      <c r="S97" s="285">
        <f t="shared" si="214"/>
        <v>142.72999999999999</v>
      </c>
      <c r="T97" s="285">
        <f t="shared" si="214"/>
        <v>149.02000000000001</v>
      </c>
      <c r="U97" s="285">
        <f t="shared" si="214"/>
        <v>147.04</v>
      </c>
      <c r="V97" s="285">
        <f t="shared" si="214"/>
        <v>149.34</v>
      </c>
      <c r="W97" s="285">
        <f t="shared" si="214"/>
        <v>148.90240770999998</v>
      </c>
      <c r="X97" s="285">
        <f t="shared" si="214"/>
        <v>148.19</v>
      </c>
      <c r="Y97" s="285">
        <f t="shared" si="214"/>
        <v>142.56</v>
      </c>
      <c r="Z97" s="285">
        <f t="shared" si="214"/>
        <v>137.14743945000001</v>
      </c>
      <c r="AA97" s="285">
        <f t="shared" si="214"/>
        <v>152.07</v>
      </c>
      <c r="AB97" s="285">
        <f t="shared" si="214"/>
        <v>134.78</v>
      </c>
      <c r="AC97" s="285">
        <f t="shared" si="214"/>
        <v>137.32999999999998</v>
      </c>
      <c r="AD97" s="285">
        <f t="shared" si="214"/>
        <v>137.26999999999998</v>
      </c>
      <c r="AE97" s="285">
        <f t="shared" si="214"/>
        <v>138.87</v>
      </c>
      <c r="AF97" s="285">
        <f t="shared" si="214"/>
        <v>134.82999999999998</v>
      </c>
      <c r="AG97" s="285">
        <f t="shared" si="214"/>
        <v>138.44999999999999</v>
      </c>
      <c r="AH97" s="285">
        <f t="shared" si="214"/>
        <v>141.98400000000001</v>
      </c>
      <c r="AI97" s="285">
        <f t="shared" si="214"/>
        <v>141.38</v>
      </c>
      <c r="AJ97" s="285">
        <f t="shared" si="214"/>
        <v>145.44011431000001</v>
      </c>
      <c r="AK97" s="285">
        <f t="shared" ref="AK97:AP97" si="215">AK123+AK124+AK125+AK174+AK152+AK151</f>
        <v>151.98040958999999</v>
      </c>
      <c r="AL97" s="285">
        <f t="shared" si="215"/>
        <v>143.2736079</v>
      </c>
      <c r="AM97" s="285">
        <f t="shared" si="215"/>
        <v>137.78993929999999</v>
      </c>
      <c r="AN97" s="285">
        <f t="shared" si="215"/>
        <v>140.06706277000001</v>
      </c>
      <c r="AO97" s="285">
        <f t="shared" si="215"/>
        <v>145.39080286000001</v>
      </c>
      <c r="AP97" s="285">
        <f t="shared" si="215"/>
        <v>141.12906547999998</v>
      </c>
      <c r="AQ97" s="285">
        <f t="shared" ref="AQ97:AR97" si="216">AQ123+AQ124+AQ125+AQ174+AQ152+AQ151</f>
        <v>144.37660699999998</v>
      </c>
      <c r="AR97" s="285">
        <f t="shared" si="216"/>
        <v>145.10999999999999</v>
      </c>
      <c r="AS97" s="285">
        <f t="shared" ref="AS97:AT97" si="217">AS123+AS124+AS125+AS174+AS152+AS151</f>
        <v>143.63499999999996</v>
      </c>
      <c r="AT97" s="285">
        <f t="shared" si="217"/>
        <v>145.91118932999998</v>
      </c>
      <c r="AU97" s="285">
        <f t="shared" ref="AU97:AV97" si="218">AU123+AU124+AU125+AU174+AU152+AU151</f>
        <v>145.05026965000002</v>
      </c>
      <c r="AV97" s="285">
        <f t="shared" si="218"/>
        <v>143.01499999999999</v>
      </c>
      <c r="AW97" s="38"/>
      <c r="AX97" s="31"/>
      <c r="AY97" s="31"/>
      <c r="AZ97" s="31"/>
      <c r="BA97" s="31"/>
    </row>
    <row r="98" spans="1:55" s="3" customFormat="1">
      <c r="A98" s="682"/>
      <c r="B98" s="531" t="s">
        <v>397</v>
      </c>
      <c r="C98" s="531" t="s">
        <v>185</v>
      </c>
      <c r="D98" s="353" t="s">
        <v>185</v>
      </c>
      <c r="E98" s="530"/>
      <c r="F98" s="530"/>
      <c r="G98" s="530"/>
      <c r="H98" s="530"/>
      <c r="I98" s="530"/>
      <c r="J98" s="530"/>
      <c r="K98" s="530"/>
      <c r="L98" s="530"/>
      <c r="M98" s="530"/>
      <c r="N98" s="530"/>
      <c r="O98" s="530"/>
      <c r="P98" s="530"/>
      <c r="Q98" s="530"/>
      <c r="R98" s="530"/>
      <c r="S98" s="530"/>
      <c r="T98" s="530"/>
      <c r="U98" s="530"/>
      <c r="V98" s="530"/>
      <c r="W98" s="530"/>
      <c r="X98" s="62"/>
      <c r="Y98" s="62"/>
      <c r="Z98" s="62"/>
      <c r="AA98" s="62"/>
      <c r="AB98" s="616">
        <v>12.1</v>
      </c>
      <c r="AC98" s="447">
        <f>16+1</f>
        <v>17</v>
      </c>
      <c r="AD98" s="631">
        <v>18</v>
      </c>
      <c r="AF98" s="705"/>
      <c r="AG98" s="62"/>
      <c r="AH98" s="709"/>
      <c r="AI98" s="692"/>
      <c r="AJ98" s="692"/>
      <c r="AK98" s="913">
        <v>7</v>
      </c>
      <c r="AL98" s="913">
        <v>10</v>
      </c>
      <c r="AM98" s="913">
        <v>10</v>
      </c>
      <c r="AN98" s="245"/>
      <c r="AO98" s="245"/>
      <c r="AP98" s="245"/>
      <c r="AQ98" s="245"/>
      <c r="AR98" s="245"/>
      <c r="AS98" s="245"/>
      <c r="AT98" s="245"/>
      <c r="AU98" s="245"/>
      <c r="AV98" s="245"/>
      <c r="AW98" s="350"/>
      <c r="AX98" s="463">
        <f>SUM(Y98:AJ98)</f>
        <v>47.1</v>
      </c>
      <c r="AZ98" s="701">
        <f t="shared" ref="AZ98:AZ102" si="219">SUM(AK98:AV98)</f>
        <v>27</v>
      </c>
    </row>
    <row r="99" spans="1:55" s="3" customFormat="1">
      <c r="A99" s="682"/>
      <c r="B99" s="531" t="s">
        <v>397</v>
      </c>
      <c r="C99" s="531" t="s">
        <v>396</v>
      </c>
      <c r="D99" s="353" t="s">
        <v>185</v>
      </c>
      <c r="E99" s="530"/>
      <c r="F99" s="530"/>
      <c r="G99" s="530"/>
      <c r="H99" s="530"/>
      <c r="I99" s="530"/>
      <c r="J99" s="530"/>
      <c r="K99" s="530"/>
      <c r="L99" s="530"/>
      <c r="M99" s="530"/>
      <c r="N99" s="530"/>
      <c r="O99" s="530"/>
      <c r="P99" s="530"/>
      <c r="Q99" s="530"/>
      <c r="R99" s="530"/>
      <c r="S99" s="530"/>
      <c r="T99" s="530"/>
      <c r="U99" s="530"/>
      <c r="V99" s="530"/>
      <c r="W99" s="530"/>
      <c r="X99" s="62"/>
      <c r="Y99" s="62"/>
      <c r="Z99" s="62"/>
      <c r="AA99" s="62"/>
      <c r="AB99" s="616"/>
      <c r="AC99" s="447"/>
      <c r="AD99" s="631"/>
      <c r="AF99" s="705"/>
      <c r="AG99" s="62"/>
      <c r="AH99" s="709"/>
      <c r="AI99" s="692"/>
      <c r="AJ99" s="692"/>
      <c r="AK99" s="913"/>
      <c r="AL99" s="913">
        <v>3.5</v>
      </c>
      <c r="AM99" s="913">
        <v>4</v>
      </c>
      <c r="AN99" s="245"/>
      <c r="AO99" s="245"/>
      <c r="AP99" s="245"/>
      <c r="AQ99" s="245"/>
      <c r="AR99" s="245"/>
      <c r="AS99" s="245"/>
      <c r="AT99" s="245"/>
      <c r="AU99" s="245"/>
      <c r="AV99" s="245"/>
      <c r="AW99" s="350"/>
      <c r="AX99" s="463"/>
      <c r="AZ99" s="701"/>
    </row>
    <row r="100" spans="1:55" s="3" customFormat="1">
      <c r="A100" s="682"/>
      <c r="B100" s="531" t="s">
        <v>352</v>
      </c>
      <c r="C100" s="531" t="s">
        <v>185</v>
      </c>
      <c r="D100" s="353" t="s">
        <v>185</v>
      </c>
      <c r="E100" s="530"/>
      <c r="F100" s="530"/>
      <c r="G100" s="530"/>
      <c r="H100" s="530"/>
      <c r="I100" s="530"/>
      <c r="J100" s="530"/>
      <c r="K100" s="530"/>
      <c r="L100" s="530"/>
      <c r="M100" s="530"/>
      <c r="N100" s="530"/>
      <c r="O100" s="530"/>
      <c r="P100" s="530"/>
      <c r="Q100" s="530"/>
      <c r="R100" s="530"/>
      <c r="S100" s="530"/>
      <c r="T100" s="530"/>
      <c r="U100" s="530"/>
      <c r="V100" s="530"/>
      <c r="W100" s="530"/>
      <c r="X100" s="62"/>
      <c r="Y100" s="62"/>
      <c r="Z100" s="62"/>
      <c r="AA100" s="62"/>
      <c r="AB100" s="616"/>
      <c r="AC100" s="447"/>
      <c r="AD100" s="631"/>
      <c r="AF100" s="705"/>
      <c r="AG100" s="62"/>
      <c r="AH100" s="709"/>
      <c r="AI100" s="245"/>
      <c r="AJ100" s="245"/>
      <c r="AK100" s="245"/>
      <c r="AL100" s="245"/>
      <c r="AM100" s="245"/>
      <c r="AN100" s="693">
        <v>10</v>
      </c>
      <c r="AO100" s="693">
        <v>10</v>
      </c>
      <c r="AP100" s="693">
        <v>13.045999999999999</v>
      </c>
      <c r="AQ100" s="693">
        <v>13.481</v>
      </c>
      <c r="AR100" s="693">
        <f>13.481-AR113</f>
        <v>3.4809999999999999</v>
      </c>
      <c r="AS100" s="693">
        <v>13.045999999999999</v>
      </c>
      <c r="AT100" s="693">
        <v>10.8</v>
      </c>
      <c r="AU100" s="693">
        <v>10.8</v>
      </c>
      <c r="AV100" s="693">
        <v>10.8</v>
      </c>
      <c r="AW100" s="350"/>
      <c r="AX100" s="955" t="s">
        <v>364</v>
      </c>
      <c r="AZ100" s="701">
        <f t="shared" si="219"/>
        <v>95.453999999999994</v>
      </c>
    </row>
    <row r="101" spans="1:55" s="3" customFormat="1">
      <c r="A101" s="682"/>
      <c r="B101" s="531" t="s">
        <v>352</v>
      </c>
      <c r="C101" s="531" t="s">
        <v>396</v>
      </c>
      <c r="D101" s="353" t="s">
        <v>185</v>
      </c>
      <c r="E101" s="530"/>
      <c r="F101" s="530"/>
      <c r="G101" s="530"/>
      <c r="H101" s="530"/>
      <c r="I101" s="530"/>
      <c r="J101" s="530"/>
      <c r="K101" s="530"/>
      <c r="L101" s="530"/>
      <c r="M101" s="530"/>
      <c r="N101" s="530"/>
      <c r="O101" s="530"/>
      <c r="P101" s="530"/>
      <c r="Q101" s="530"/>
      <c r="R101" s="530"/>
      <c r="S101" s="530"/>
      <c r="T101" s="530"/>
      <c r="U101" s="530"/>
      <c r="V101" s="530"/>
      <c r="W101" s="530"/>
      <c r="X101" s="62"/>
      <c r="Y101" s="62"/>
      <c r="Z101" s="62"/>
      <c r="AA101" s="62"/>
      <c r="AB101" s="616"/>
      <c r="AC101" s="447"/>
      <c r="AD101" s="631"/>
      <c r="AF101" s="705"/>
      <c r="AG101" s="62"/>
      <c r="AH101" s="709"/>
      <c r="AI101" s="245"/>
      <c r="AJ101" s="245"/>
      <c r="AK101" s="245"/>
      <c r="AL101" s="245"/>
      <c r="AM101" s="245"/>
      <c r="AN101" s="693">
        <v>4</v>
      </c>
      <c r="AO101" s="693">
        <v>4</v>
      </c>
      <c r="AP101" s="693"/>
      <c r="AQ101" s="693"/>
      <c r="AR101" s="693"/>
      <c r="AS101" s="693"/>
      <c r="AT101" s="693"/>
      <c r="AU101" s="693"/>
      <c r="AV101" s="693"/>
      <c r="AW101" s="350"/>
      <c r="AX101" s="955"/>
      <c r="AZ101" s="701"/>
    </row>
    <row r="102" spans="1:55" s="3" customFormat="1">
      <c r="A102" s="682"/>
      <c r="B102" s="531" t="s">
        <v>352</v>
      </c>
      <c r="C102" s="531" t="s">
        <v>0</v>
      </c>
      <c r="D102" s="353" t="s">
        <v>0</v>
      </c>
      <c r="E102" s="530"/>
      <c r="F102" s="530"/>
      <c r="G102" s="530"/>
      <c r="H102" s="530"/>
      <c r="I102" s="530"/>
      <c r="J102" s="530"/>
      <c r="K102" s="530"/>
      <c r="L102" s="530"/>
      <c r="M102" s="530"/>
      <c r="N102" s="530"/>
      <c r="O102" s="530"/>
      <c r="P102" s="530"/>
      <c r="Q102" s="530"/>
      <c r="R102" s="530"/>
      <c r="S102" s="530"/>
      <c r="T102" s="530"/>
      <c r="U102" s="530"/>
      <c r="V102" s="530"/>
      <c r="W102" s="530"/>
      <c r="X102" s="62"/>
      <c r="Y102" s="62"/>
      <c r="Z102" s="62"/>
      <c r="AA102" s="62"/>
      <c r="AB102" s="616"/>
      <c r="AC102" s="447"/>
      <c r="AD102" s="631"/>
      <c r="AF102" s="705"/>
      <c r="AG102" s="62"/>
      <c r="AH102" s="709"/>
      <c r="AI102" s="245"/>
      <c r="AJ102" s="245"/>
      <c r="AK102" s="245"/>
      <c r="AL102" s="245"/>
      <c r="AM102" s="245"/>
      <c r="AN102" s="245"/>
      <c r="AO102" s="245"/>
      <c r="AP102" s="693">
        <v>34.861799729561781</v>
      </c>
      <c r="AQ102" s="693">
        <v>47.748060573613706</v>
      </c>
      <c r="AR102" s="693">
        <v>47.748059323430049</v>
      </c>
      <c r="AS102" s="693">
        <v>19.89204045832156</v>
      </c>
      <c r="AT102" s="693">
        <v>43.545179998576657</v>
      </c>
      <c r="AU102" s="693">
        <v>42.982199800729759</v>
      </c>
      <c r="AV102" s="693">
        <v>17.454420186460034</v>
      </c>
      <c r="AW102" s="350"/>
      <c r="AX102" s="955"/>
      <c r="AZ102" s="701">
        <f t="shared" si="219"/>
        <v>254.23176007069355</v>
      </c>
    </row>
    <row r="103" spans="1:55" outlineLevel="1">
      <c r="A103" s="37"/>
      <c r="B103" s="803" t="s">
        <v>3</v>
      </c>
      <c r="C103" s="803" t="s">
        <v>247</v>
      </c>
      <c r="D103" s="804" t="s">
        <v>3</v>
      </c>
      <c r="E103" s="62"/>
      <c r="F103" s="62"/>
      <c r="G103" s="62"/>
      <c r="H103" s="62"/>
      <c r="I103" s="62"/>
      <c r="J103" s="62"/>
      <c r="K103" s="62"/>
      <c r="L103" s="62"/>
      <c r="M103" s="62"/>
      <c r="N103" s="62"/>
      <c r="O103" s="62"/>
      <c r="P103" s="62"/>
      <c r="Q103" s="62"/>
      <c r="R103" s="62"/>
      <c r="S103" s="62"/>
      <c r="T103" s="62"/>
      <c r="U103" s="62"/>
      <c r="V103" s="62"/>
      <c r="W103" s="62"/>
      <c r="X103" s="62"/>
      <c r="Y103" s="58">
        <f>Y113+Y114+Y98</f>
        <v>0</v>
      </c>
      <c r="Z103" s="58">
        <f>Z113+Z114+Z98</f>
        <v>9</v>
      </c>
      <c r="AA103" s="58">
        <f>AA113+AA114+AA98</f>
        <v>10.8</v>
      </c>
      <c r="AB103" s="58">
        <f>AB113+AB114+AB98</f>
        <v>22.7</v>
      </c>
      <c r="AC103" s="58">
        <f>AC113+AC114+AC98</f>
        <v>27.5</v>
      </c>
      <c r="AD103" s="805">
        <v>27</v>
      </c>
      <c r="AE103" s="805"/>
      <c r="AF103" s="805">
        <f t="shared" ref="AF103:AN103" si="220">AF113+AF114+AF98</f>
        <v>8.927999999999999</v>
      </c>
      <c r="AG103" s="806">
        <f t="shared" si="220"/>
        <v>11.821999999999999</v>
      </c>
      <c r="AH103" s="806">
        <f t="shared" si="220"/>
        <v>14</v>
      </c>
      <c r="AI103" s="806">
        <f t="shared" si="220"/>
        <v>10.8</v>
      </c>
      <c r="AJ103" s="806">
        <f t="shared" si="220"/>
        <v>10.8</v>
      </c>
      <c r="AK103" s="805">
        <f t="shared" si="220"/>
        <v>13.784000000000001</v>
      </c>
      <c r="AL103" s="805">
        <f t="shared" si="220"/>
        <v>10</v>
      </c>
      <c r="AM103" s="805">
        <f t="shared" si="220"/>
        <v>10</v>
      </c>
      <c r="AN103" s="805">
        <f t="shared" si="220"/>
        <v>0</v>
      </c>
      <c r="AO103" s="805">
        <f>AO113+AO114+AO100</f>
        <v>10</v>
      </c>
      <c r="AP103" s="805">
        <f t="shared" ref="AP103:AV103" si="221">AP113+AP114+AP100</f>
        <v>13.045999999999999</v>
      </c>
      <c r="AQ103" s="805">
        <f t="shared" si="221"/>
        <v>13.481</v>
      </c>
      <c r="AR103" s="805">
        <f t="shared" si="221"/>
        <v>13.481</v>
      </c>
      <c r="AS103" s="805">
        <f t="shared" si="221"/>
        <v>13.045999999999999</v>
      </c>
      <c r="AT103" s="805">
        <f t="shared" si="221"/>
        <v>10.8</v>
      </c>
      <c r="AU103" s="805">
        <f t="shared" si="221"/>
        <v>10.8</v>
      </c>
      <c r="AV103" s="805">
        <f t="shared" si="221"/>
        <v>10.8</v>
      </c>
      <c r="AW103" s="38"/>
      <c r="AX103" s="31"/>
      <c r="AY103" s="31"/>
      <c r="AZ103" s="31"/>
      <c r="BA103" s="31"/>
    </row>
    <row r="104" spans="1:55" hidden="1" outlineLevel="1">
      <c r="A104" s="37"/>
      <c r="B104" s="816">
        <v>845</v>
      </c>
      <c r="C104" s="32" t="s">
        <v>350</v>
      </c>
      <c r="D104" s="5"/>
      <c r="E104" s="62"/>
      <c r="F104" s="62"/>
      <c r="G104" s="62"/>
      <c r="H104" s="62"/>
      <c r="I104" s="62"/>
      <c r="J104" s="62"/>
      <c r="K104" s="62"/>
      <c r="L104" s="62"/>
      <c r="M104" s="62"/>
      <c r="N104" s="62"/>
      <c r="O104" s="62"/>
      <c r="P104" s="62"/>
      <c r="Q104" s="62"/>
      <c r="R104" s="62"/>
      <c r="S104" s="62"/>
      <c r="T104" s="62"/>
      <c r="U104" s="62"/>
      <c r="V104" s="62"/>
      <c r="W104" s="62"/>
      <c r="X104" s="62"/>
      <c r="Y104" s="58"/>
      <c r="Z104" s="58"/>
      <c r="AA104" s="58"/>
      <c r="AB104" s="58"/>
      <c r="AC104" s="58"/>
      <c r="AD104" s="58"/>
      <c r="AE104" s="58"/>
      <c r="AF104" s="58"/>
      <c r="AG104" s="668"/>
      <c r="AH104" s="668"/>
      <c r="AI104" s="668"/>
      <c r="AJ104" s="668"/>
      <c r="AK104" s="659">
        <f>$B$104*AK1/1000</f>
        <v>26.195</v>
      </c>
      <c r="AL104" s="659">
        <f t="shared" ref="AL104:AV104" si="222">845*AL1/1000</f>
        <v>23.66</v>
      </c>
      <c r="AM104" s="659">
        <f t="shared" si="222"/>
        <v>26.195</v>
      </c>
      <c r="AN104" s="659">
        <f t="shared" si="222"/>
        <v>25.35</v>
      </c>
      <c r="AO104" s="659">
        <f t="shared" si="222"/>
        <v>26.195</v>
      </c>
      <c r="AP104" s="659">
        <f t="shared" si="222"/>
        <v>25.35</v>
      </c>
      <c r="AQ104" s="659">
        <f t="shared" si="222"/>
        <v>26.195</v>
      </c>
      <c r="AR104" s="659">
        <f t="shared" si="222"/>
        <v>26.195</v>
      </c>
      <c r="AS104" s="659">
        <f t="shared" si="222"/>
        <v>25.35</v>
      </c>
      <c r="AT104" s="659">
        <f t="shared" si="222"/>
        <v>26.195</v>
      </c>
      <c r="AU104" s="659">
        <f t="shared" si="222"/>
        <v>25.35</v>
      </c>
      <c r="AV104" s="659">
        <f t="shared" si="222"/>
        <v>26.195</v>
      </c>
      <c r="AW104" s="31"/>
      <c r="AX104" s="31"/>
      <c r="AY104" s="31"/>
      <c r="AZ104" s="31"/>
      <c r="BA104" s="31"/>
    </row>
    <row r="105" spans="1:55" hidden="1" outlineLevel="1">
      <c r="A105" s="37"/>
      <c r="B105" s="32"/>
      <c r="C105" s="32"/>
      <c r="D105" s="5"/>
      <c r="E105" s="62"/>
      <c r="F105" s="62"/>
      <c r="G105" s="62"/>
      <c r="H105" s="62"/>
      <c r="I105" s="62"/>
      <c r="J105" s="62"/>
      <c r="K105" s="62"/>
      <c r="L105" s="62"/>
      <c r="M105" s="62"/>
      <c r="N105" s="62"/>
      <c r="O105" s="62"/>
      <c r="P105" s="62"/>
      <c r="Q105" s="62"/>
      <c r="R105" s="62"/>
      <c r="S105" s="62"/>
      <c r="T105" s="62"/>
      <c r="U105" s="62"/>
      <c r="V105" s="62"/>
      <c r="W105" s="62"/>
      <c r="X105" s="62"/>
      <c r="Y105" s="58"/>
      <c r="Z105" s="58"/>
      <c r="AA105" s="58"/>
      <c r="AB105" s="58"/>
      <c r="AC105" s="58"/>
      <c r="AD105" s="58"/>
      <c r="AE105" s="58"/>
      <c r="AF105" s="58"/>
      <c r="AG105" s="668"/>
      <c r="AH105" s="668"/>
      <c r="AI105" s="668"/>
      <c r="AJ105" s="668"/>
      <c r="AK105" s="785">
        <f>AK119+AK120-AK104</f>
        <v>3.5650000000000013</v>
      </c>
      <c r="AL105" s="785">
        <f t="shared" ref="AL105:AV105" si="223">AL119+AL120-AL104</f>
        <v>-0.89000000000000057</v>
      </c>
      <c r="AM105" s="785">
        <f t="shared" si="223"/>
        <v>-2.3350000000000009</v>
      </c>
      <c r="AN105" s="785">
        <f t="shared" si="223"/>
        <v>-1.1700000000000017</v>
      </c>
      <c r="AO105" s="785">
        <f t="shared" si="223"/>
        <v>-8.7420000000000009</v>
      </c>
      <c r="AP105" s="785">
        <f t="shared" si="223"/>
        <v>-4.7678082191780859</v>
      </c>
      <c r="AQ105" s="785">
        <f t="shared" si="223"/>
        <v>-5.0100684931506869</v>
      </c>
      <c r="AR105" s="785">
        <f t="shared" si="223"/>
        <v>-0.47100000000000009</v>
      </c>
      <c r="AS105" s="785">
        <f t="shared" si="223"/>
        <v>-1.2678082191780859</v>
      </c>
      <c r="AT105" s="785">
        <f t="shared" si="223"/>
        <v>-1.5100684931506869</v>
      </c>
      <c r="AU105" s="785">
        <f t="shared" si="223"/>
        <v>-1.7678082191780859</v>
      </c>
      <c r="AV105" s="785">
        <f t="shared" si="223"/>
        <v>-1.5100684931506869</v>
      </c>
      <c r="AW105" s="31"/>
      <c r="AX105" s="31"/>
      <c r="AY105" s="31"/>
      <c r="AZ105" s="31"/>
      <c r="BA105" s="31"/>
    </row>
    <row r="106" spans="1:55" hidden="1" outlineLevel="1">
      <c r="A106" s="37"/>
      <c r="B106" s="32"/>
      <c r="C106" s="32" t="s">
        <v>357</v>
      </c>
      <c r="D106" s="5"/>
      <c r="E106" s="62"/>
      <c r="F106" s="62"/>
      <c r="G106" s="62"/>
      <c r="H106" s="62"/>
      <c r="I106" s="62"/>
      <c r="J106" s="62"/>
      <c r="K106" s="62"/>
      <c r="L106" s="62"/>
      <c r="M106" s="62"/>
      <c r="N106" s="62"/>
      <c r="O106" s="62"/>
      <c r="P106" s="62"/>
      <c r="Q106" s="62"/>
      <c r="R106" s="62"/>
      <c r="S106" s="62"/>
      <c r="T106" s="62"/>
      <c r="U106" s="62"/>
      <c r="V106" s="62"/>
      <c r="W106" s="62"/>
      <c r="X106" s="62"/>
      <c r="Y106" s="58"/>
      <c r="Z106" s="58"/>
      <c r="AA106" s="58"/>
      <c r="AB106" s="58"/>
      <c r="AC106" s="58"/>
      <c r="AD106" s="58"/>
      <c r="AE106" s="58"/>
      <c r="AF106" s="58"/>
      <c r="AG106" s="668"/>
      <c r="AH106" s="668"/>
      <c r="AI106" s="668"/>
      <c r="AJ106" s="668"/>
      <c r="AK106" s="784"/>
      <c r="AL106" s="784"/>
      <c r="AM106" s="784"/>
      <c r="AN106" s="784"/>
      <c r="AO106" s="784"/>
      <c r="AP106" s="784"/>
      <c r="AQ106" s="784"/>
      <c r="AR106" s="784"/>
      <c r="AS106" s="784"/>
      <c r="AT106" s="784"/>
      <c r="AU106" s="784"/>
      <c r="AV106" s="784"/>
      <c r="AW106" s="31"/>
      <c r="AX106" s="31"/>
      <c r="AY106" s="31"/>
      <c r="AZ106" s="31"/>
      <c r="BA106" s="31"/>
    </row>
    <row r="107" spans="1:55" hidden="1" outlineLevel="1">
      <c r="A107" s="37"/>
      <c r="B107" s="32"/>
      <c r="C107" s="32" t="s">
        <v>353</v>
      </c>
      <c r="D107" s="5"/>
      <c r="E107" s="62"/>
      <c r="F107" s="62"/>
      <c r="G107" s="62"/>
      <c r="H107" s="62"/>
      <c r="I107" s="62"/>
      <c r="J107" s="62"/>
      <c r="K107" s="62"/>
      <c r="L107" s="62"/>
      <c r="M107" s="62"/>
      <c r="N107" s="62"/>
      <c r="O107" s="62"/>
      <c r="P107" s="62"/>
      <c r="Q107" s="62"/>
      <c r="R107" s="62"/>
      <c r="S107" s="62"/>
      <c r="T107" s="62"/>
      <c r="U107" s="62"/>
      <c r="V107" s="62"/>
      <c r="W107" s="62"/>
      <c r="X107" s="62"/>
      <c r="Y107" s="58"/>
      <c r="Z107" s="58"/>
      <c r="AA107" s="58"/>
      <c r="AB107" s="58"/>
      <c r="AC107" s="58"/>
      <c r="AD107" s="58"/>
      <c r="AE107" s="58"/>
      <c r="AF107" s="58"/>
      <c r="AG107" s="668"/>
      <c r="AH107" s="668"/>
      <c r="AI107" s="668"/>
      <c r="AJ107" s="668"/>
      <c r="AK107" s="785"/>
      <c r="AL107" s="785"/>
      <c r="AM107" s="785"/>
      <c r="AN107" s="785"/>
      <c r="AO107" s="790"/>
      <c r="AP107" s="790"/>
      <c r="AQ107" s="790"/>
      <c r="AR107" s="790"/>
      <c r="AS107" s="790"/>
      <c r="AT107" s="790"/>
      <c r="AU107" s="790"/>
      <c r="AV107" s="790"/>
      <c r="AW107" s="31"/>
      <c r="AX107" s="31"/>
      <c r="AY107" s="31"/>
      <c r="AZ107" s="31"/>
      <c r="BA107" s="31"/>
    </row>
    <row r="108" spans="1:55" hidden="1" outlineLevel="1">
      <c r="A108" s="37"/>
      <c r="B108" s="32"/>
      <c r="C108" s="32"/>
      <c r="D108" s="5"/>
      <c r="E108" s="62"/>
      <c r="F108" s="62"/>
      <c r="G108" s="62"/>
      <c r="H108" s="62"/>
      <c r="I108" s="62"/>
      <c r="J108" s="62"/>
      <c r="K108" s="62"/>
      <c r="L108" s="62"/>
      <c r="M108" s="62"/>
      <c r="N108" s="62"/>
      <c r="O108" s="62"/>
      <c r="P108" s="62"/>
      <c r="Q108" s="62"/>
      <c r="R108" s="62"/>
      <c r="S108" s="62"/>
      <c r="T108" s="62"/>
      <c r="U108" s="62"/>
      <c r="V108" s="62"/>
      <c r="W108" s="62"/>
      <c r="X108" s="62"/>
      <c r="Y108" s="58"/>
      <c r="Z108" s="58"/>
      <c r="AA108" s="58"/>
      <c r="AB108" s="58"/>
      <c r="AC108" s="58"/>
      <c r="AD108" s="58"/>
      <c r="AE108" s="58"/>
      <c r="AF108" s="58"/>
      <c r="AG108" s="668"/>
      <c r="AH108" s="668"/>
      <c r="AI108" s="668"/>
      <c r="AJ108" s="668"/>
      <c r="AK108" s="785"/>
      <c r="AL108" s="785"/>
      <c r="AM108" s="785"/>
      <c r="AN108" s="785"/>
      <c r="AO108" s="785"/>
      <c r="AP108" s="785"/>
      <c r="AQ108" s="785"/>
      <c r="AR108" s="785"/>
      <c r="AS108" s="785"/>
      <c r="AT108" s="785"/>
      <c r="AU108" s="785"/>
      <c r="AV108" s="785"/>
      <c r="AW108" s="31"/>
      <c r="AX108" s="31"/>
      <c r="AY108" s="31"/>
      <c r="AZ108" s="31"/>
      <c r="BA108" s="31"/>
    </row>
    <row r="109" spans="1:55" s="38" customFormat="1" ht="24" thickBot="1">
      <c r="A109" s="411" t="s">
        <v>6</v>
      </c>
      <c r="B109" s="32" t="s">
        <v>3</v>
      </c>
      <c r="C109" s="5" t="s">
        <v>11</v>
      </c>
      <c r="D109" s="5" t="s">
        <v>3</v>
      </c>
      <c r="E109" s="55">
        <v>97.96</v>
      </c>
      <c r="F109" s="55">
        <f>79+2</f>
        <v>81</v>
      </c>
      <c r="G109" s="55">
        <v>71</v>
      </c>
      <c r="H109" s="55">
        <f>67.5-0.5</f>
        <v>67</v>
      </c>
      <c r="I109" s="245">
        <f>61.5+0.5</f>
        <v>62</v>
      </c>
      <c r="J109" s="55">
        <v>63</v>
      </c>
      <c r="K109" s="55">
        <f>57+4+2+2</f>
        <v>65</v>
      </c>
      <c r="L109" s="98">
        <f>(59.5+5.5+1.5+2)-3</f>
        <v>65.5</v>
      </c>
      <c r="M109" s="55">
        <v>47</v>
      </c>
      <c r="N109" s="55">
        <v>22</v>
      </c>
      <c r="O109" s="98">
        <v>39</v>
      </c>
      <c r="P109" s="98">
        <f t="shared" ref="P109:X109" si="224">P111+P112</f>
        <v>44.5</v>
      </c>
      <c r="Q109" s="98">
        <f t="shared" si="224"/>
        <v>43.5</v>
      </c>
      <c r="R109" s="245">
        <f t="shared" si="224"/>
        <v>55.5</v>
      </c>
      <c r="S109" s="245">
        <f t="shared" si="224"/>
        <v>47.93</v>
      </c>
      <c r="T109" s="245">
        <f t="shared" si="224"/>
        <v>56.379999999999995</v>
      </c>
      <c r="U109" s="245">
        <f t="shared" si="224"/>
        <v>42.91</v>
      </c>
      <c r="V109" s="245">
        <f t="shared" si="224"/>
        <v>43</v>
      </c>
      <c r="W109" s="245">
        <f t="shared" si="224"/>
        <v>48.4</v>
      </c>
      <c r="X109" s="245">
        <f t="shared" si="224"/>
        <v>58.5</v>
      </c>
      <c r="Y109" s="245">
        <f t="shared" ref="Y109:AD109" si="225">Y111+Y112</f>
        <v>56.42</v>
      </c>
      <c r="Z109" s="245">
        <f t="shared" si="225"/>
        <v>40.159999999999997</v>
      </c>
      <c r="AA109" s="245">
        <f t="shared" si="225"/>
        <v>51.32</v>
      </c>
      <c r="AB109" s="245">
        <f t="shared" si="225"/>
        <v>33.5</v>
      </c>
      <c r="AC109" s="245">
        <f t="shared" si="225"/>
        <v>63</v>
      </c>
      <c r="AD109" s="245">
        <f t="shared" si="225"/>
        <v>59.579000000000008</v>
      </c>
      <c r="AE109" s="659">
        <f>AE111+AE112</f>
        <v>94.679000000000002</v>
      </c>
      <c r="AF109" s="679">
        <f>AF111+AF112</f>
        <v>64.073999999999998</v>
      </c>
      <c r="AG109" s="679">
        <f>AG111+AG112</f>
        <v>64.5</v>
      </c>
      <c r="AH109" s="679">
        <f>AH111+AH112</f>
        <v>41.120000000000005</v>
      </c>
      <c r="AI109" s="245">
        <f t="shared" ref="AI109:AK109" si="226">AI111+AI112</f>
        <v>29.6</v>
      </c>
      <c r="AJ109" s="245">
        <f>AJ111+AJ112</f>
        <v>34.6</v>
      </c>
      <c r="AK109" s="245">
        <f t="shared" si="226"/>
        <v>47.32</v>
      </c>
      <c r="AL109" s="245">
        <f t="shared" ref="AL109:AM109" si="227">AL111+AL112</f>
        <v>43.16</v>
      </c>
      <c r="AM109" s="245">
        <f t="shared" si="227"/>
        <v>57.779000000000003</v>
      </c>
      <c r="AN109" s="245">
        <f t="shared" ref="AN109:AO109" si="228">AN111+AN112</f>
        <v>76.795999999999992</v>
      </c>
      <c r="AO109" s="245">
        <f t="shared" si="228"/>
        <v>69.640458958306908</v>
      </c>
      <c r="AP109" s="245">
        <f t="shared" ref="AP109:AQ109" si="229">AP111+AP112</f>
        <v>48.765535553896413</v>
      </c>
      <c r="AQ109" s="245">
        <f t="shared" si="229"/>
        <v>49.505057299118029</v>
      </c>
      <c r="AR109" s="245">
        <f t="shared" ref="AR109:AS109" si="230">AR111+AR112</f>
        <v>49.134854878187248</v>
      </c>
      <c r="AS109" s="245">
        <f t="shared" si="230"/>
        <v>44.268745275139779</v>
      </c>
      <c r="AT109" s="245">
        <f t="shared" ref="AT109:AU109" si="231">AT111+AT112</f>
        <v>54.562108314633385</v>
      </c>
      <c r="AU109" s="245">
        <f t="shared" si="231"/>
        <v>52.657201307117887</v>
      </c>
      <c r="AV109" s="245">
        <f t="shared" ref="AV109" si="232">AV111+AV112</f>
        <v>44.450519286513313</v>
      </c>
      <c r="AZ109" s="31"/>
    </row>
    <row r="110" spans="1:55" s="75" customFormat="1" ht="15" thickBot="1">
      <c r="A110" s="81" t="s">
        <v>31</v>
      </c>
      <c r="B110" s="523" t="s">
        <v>7</v>
      </c>
      <c r="C110" s="524" t="s">
        <v>6</v>
      </c>
      <c r="D110" s="400" t="s">
        <v>10</v>
      </c>
      <c r="E110" s="410">
        <f t="shared" ref="E110:AV110" si="233">E3</f>
        <v>43587</v>
      </c>
      <c r="F110" s="410">
        <f t="shared" si="233"/>
        <v>43618</v>
      </c>
      <c r="G110" s="410">
        <f t="shared" si="233"/>
        <v>43648</v>
      </c>
      <c r="H110" s="410">
        <f t="shared" si="233"/>
        <v>43679</v>
      </c>
      <c r="I110" s="410">
        <f t="shared" si="233"/>
        <v>43710</v>
      </c>
      <c r="J110" s="410">
        <f t="shared" si="233"/>
        <v>43740</v>
      </c>
      <c r="K110" s="410">
        <f t="shared" si="233"/>
        <v>43771</v>
      </c>
      <c r="L110" s="410">
        <f t="shared" si="233"/>
        <v>43801</v>
      </c>
      <c r="M110" s="410">
        <f t="shared" si="233"/>
        <v>43832</v>
      </c>
      <c r="N110" s="410">
        <f t="shared" si="233"/>
        <v>43863</v>
      </c>
      <c r="O110" s="410">
        <f t="shared" si="233"/>
        <v>43892</v>
      </c>
      <c r="P110" s="410">
        <f t="shared" si="233"/>
        <v>43923</v>
      </c>
      <c r="Q110" s="410">
        <f t="shared" si="233"/>
        <v>43953</v>
      </c>
      <c r="R110" s="77">
        <f t="shared" si="233"/>
        <v>43984</v>
      </c>
      <c r="S110" s="78">
        <f t="shared" si="233"/>
        <v>44014</v>
      </c>
      <c r="T110" s="78">
        <f t="shared" si="233"/>
        <v>44045</v>
      </c>
      <c r="U110" s="78">
        <f t="shared" si="233"/>
        <v>44076</v>
      </c>
      <c r="V110" s="78">
        <f t="shared" si="233"/>
        <v>44106</v>
      </c>
      <c r="W110" s="78">
        <f t="shared" si="233"/>
        <v>44137</v>
      </c>
      <c r="X110" s="78">
        <f t="shared" si="233"/>
        <v>44167</v>
      </c>
      <c r="Y110" s="79">
        <f t="shared" si="233"/>
        <v>44198</v>
      </c>
      <c r="Z110" s="80">
        <f t="shared" si="233"/>
        <v>44229</v>
      </c>
      <c r="AA110" s="80">
        <f t="shared" si="233"/>
        <v>44257</v>
      </c>
      <c r="AB110" s="80">
        <f t="shared" si="233"/>
        <v>44288</v>
      </c>
      <c r="AC110" s="80">
        <f t="shared" si="233"/>
        <v>44318</v>
      </c>
      <c r="AD110" s="80">
        <f t="shared" si="233"/>
        <v>44349</v>
      </c>
      <c r="AE110" s="80">
        <f t="shared" si="233"/>
        <v>44379</v>
      </c>
      <c r="AF110" s="80">
        <f t="shared" si="233"/>
        <v>44410</v>
      </c>
      <c r="AG110" s="80">
        <f t="shared" si="233"/>
        <v>44441</v>
      </c>
      <c r="AH110" s="80">
        <f t="shared" si="233"/>
        <v>44471</v>
      </c>
      <c r="AI110" s="80">
        <f t="shared" si="233"/>
        <v>44502</v>
      </c>
      <c r="AJ110" s="80">
        <f t="shared" si="233"/>
        <v>44532</v>
      </c>
      <c r="AK110" s="77">
        <f t="shared" si="233"/>
        <v>44563</v>
      </c>
      <c r="AL110" s="618">
        <f t="shared" si="233"/>
        <v>44594</v>
      </c>
      <c r="AM110" s="618">
        <f t="shared" si="233"/>
        <v>44622</v>
      </c>
      <c r="AN110" s="618">
        <f t="shared" si="233"/>
        <v>44653</v>
      </c>
      <c r="AO110" s="618">
        <f t="shared" si="233"/>
        <v>44683</v>
      </c>
      <c r="AP110" s="618">
        <f t="shared" si="233"/>
        <v>44714</v>
      </c>
      <c r="AQ110" s="618">
        <f t="shared" si="233"/>
        <v>44744</v>
      </c>
      <c r="AR110" s="618">
        <f t="shared" si="233"/>
        <v>44775</v>
      </c>
      <c r="AS110" s="618">
        <f t="shared" si="233"/>
        <v>44806</v>
      </c>
      <c r="AT110" s="618">
        <f t="shared" si="233"/>
        <v>44836</v>
      </c>
      <c r="AU110" s="618">
        <f t="shared" si="233"/>
        <v>44867</v>
      </c>
      <c r="AV110" s="812">
        <f t="shared" si="233"/>
        <v>44897</v>
      </c>
      <c r="AW110" s="73"/>
      <c r="AX110" s="462" t="s">
        <v>228</v>
      </c>
      <c r="AY110" s="31"/>
      <c r="AZ110" s="462" t="s">
        <v>351</v>
      </c>
      <c r="BA110" s="31"/>
    </row>
    <row r="111" spans="1:55" ht="14.75" customHeight="1">
      <c r="A111" s="408" t="s">
        <v>8</v>
      </c>
      <c r="B111" s="357" t="s">
        <v>3</v>
      </c>
      <c r="C111" s="409" t="s">
        <v>190</v>
      </c>
      <c r="D111" s="4" t="s">
        <v>3</v>
      </c>
      <c r="E111" s="62"/>
      <c r="F111" s="62"/>
      <c r="G111" s="62"/>
      <c r="H111" s="62"/>
      <c r="I111" s="62"/>
      <c r="J111" s="62"/>
      <c r="K111" s="62"/>
      <c r="L111" s="62"/>
      <c r="M111" s="62"/>
      <c r="N111" s="62"/>
      <c r="O111" s="62"/>
      <c r="P111" s="368">
        <v>29</v>
      </c>
      <c r="Q111" s="368">
        <v>26</v>
      </c>
      <c r="R111" s="368">
        <v>26</v>
      </c>
      <c r="S111" s="442">
        <v>20.72</v>
      </c>
      <c r="T111" s="442">
        <v>20.38</v>
      </c>
      <c r="U111" s="442">
        <v>22.41</v>
      </c>
      <c r="V111" s="442">
        <v>27</v>
      </c>
      <c r="W111" s="491">
        <f>23+1.4</f>
        <v>24.4</v>
      </c>
      <c r="X111" s="491">
        <v>29</v>
      </c>
      <c r="Y111" s="543">
        <f>720*Y1/1000</f>
        <v>22.32</v>
      </c>
      <c r="Z111" s="542">
        <f>720*Z1/1000</f>
        <v>20.16</v>
      </c>
      <c r="AA111" s="568">
        <f>(720*AA1/1000)-2.5-1</f>
        <v>18.82</v>
      </c>
      <c r="AB111" s="630">
        <v>12</v>
      </c>
      <c r="AC111" s="637">
        <v>24</v>
      </c>
      <c r="AD111" s="542">
        <v>18.3</v>
      </c>
      <c r="AE111" s="630">
        <v>17</v>
      </c>
      <c r="AF111" s="542">
        <v>22.32</v>
      </c>
      <c r="AG111" s="542">
        <f>21.6-3.4</f>
        <v>18.200000000000003</v>
      </c>
      <c r="AH111" s="542">
        <f>22.32-5.208+0.008</f>
        <v>17.12</v>
      </c>
      <c r="AI111" s="542">
        <f>21.6-3.6-7.2</f>
        <v>10.8</v>
      </c>
      <c r="AJ111" s="542">
        <f>22.32-9.32</f>
        <v>13</v>
      </c>
      <c r="AK111" s="797">
        <f>22.32</f>
        <v>22.32</v>
      </c>
      <c r="AL111" s="798">
        <v>20.16</v>
      </c>
      <c r="AM111" s="798">
        <v>22.32</v>
      </c>
      <c r="AN111" s="798">
        <v>21.6</v>
      </c>
      <c r="AO111" s="864">
        <v>20.696458958306906</v>
      </c>
      <c r="AP111" s="782">
        <v>21.495000612044336</v>
      </c>
      <c r="AQ111" s="782">
        <v>22.208400882482515</v>
      </c>
      <c r="AR111" s="782">
        <v>22.208400882482515</v>
      </c>
      <c r="AS111" s="782">
        <v>21.492000854015362</v>
      </c>
      <c r="AT111" s="782">
        <v>22.208400882482515</v>
      </c>
      <c r="AU111" s="782">
        <v>21.493800128102269</v>
      </c>
      <c r="AV111" s="783">
        <v>22.208687557995255</v>
      </c>
      <c r="AW111" s="38"/>
      <c r="AX111" s="463">
        <f>SUM(Y111:AJ111)</f>
        <v>214.04000000000002</v>
      </c>
      <c r="AY111" s="31"/>
      <c r="AZ111" s="919">
        <f>SUM(AK111:AV111)</f>
        <v>260.41115075791168</v>
      </c>
      <c r="BA111" s="31"/>
      <c r="BB111" s="775">
        <v>260000</v>
      </c>
      <c r="BC111" s="776">
        <f>BB111/(BB120)</f>
        <v>0.25742574257425743</v>
      </c>
    </row>
    <row r="112" spans="1:55" s="31" customFormat="1">
      <c r="A112" s="37"/>
      <c r="B112" s="357" t="s">
        <v>3</v>
      </c>
      <c r="C112" s="32" t="s">
        <v>206</v>
      </c>
      <c r="D112" s="4" t="s">
        <v>3</v>
      </c>
      <c r="E112" s="91"/>
      <c r="F112" s="91"/>
      <c r="G112" s="91"/>
      <c r="H112" s="91"/>
      <c r="I112" s="91"/>
      <c r="J112" s="91"/>
      <c r="K112" s="91"/>
      <c r="L112" s="91"/>
      <c r="M112" s="91"/>
      <c r="N112" s="91"/>
      <c r="O112" s="91"/>
      <c r="P112" s="369">
        <v>15.5</v>
      </c>
      <c r="Q112" s="380">
        <v>17.5</v>
      </c>
      <c r="R112" s="384">
        <v>29.5</v>
      </c>
      <c r="S112" s="447">
        <f>31.21-4</f>
        <v>27.21</v>
      </c>
      <c r="T112" s="369">
        <f>31.25+7.5-2.75</f>
        <v>36</v>
      </c>
      <c r="U112" s="447">
        <v>20.5</v>
      </c>
      <c r="V112" s="369">
        <v>16</v>
      </c>
      <c r="W112" s="447">
        <v>24</v>
      </c>
      <c r="X112" s="495">
        <v>29.5</v>
      </c>
      <c r="Y112" s="466">
        <f>34.1</f>
        <v>34.1</v>
      </c>
      <c r="Z112" s="245">
        <f>25-5</f>
        <v>20</v>
      </c>
      <c r="AA112" s="98">
        <f>31.5+1</f>
        <v>32.5</v>
      </c>
      <c r="AB112" s="636">
        <v>21.5</v>
      </c>
      <c r="AC112" s="638">
        <v>39</v>
      </c>
      <c r="AD112" s="657">
        <f>35.032+3+3.24700000000001</f>
        <v>41.279000000000003</v>
      </c>
      <c r="AE112" s="674">
        <f>78.668-0.989000000000004</f>
        <v>77.679000000000002</v>
      </c>
      <c r="AF112" s="657">
        <f>41.754</f>
        <v>41.753999999999998</v>
      </c>
      <c r="AG112" s="657">
        <f>46.6-0.3</f>
        <v>46.300000000000004</v>
      </c>
      <c r="AH112" s="670">
        <f>46.626-11.626-5-4.2-1.8</f>
        <v>24</v>
      </c>
      <c r="AI112" s="657">
        <f>38.783-13.783+5-5-4-1-1.2</f>
        <v>18.8</v>
      </c>
      <c r="AJ112" s="670">
        <f>20+1.6</f>
        <v>21.6</v>
      </c>
      <c r="AK112" s="861">
        <v>25</v>
      </c>
      <c r="AL112" s="657">
        <v>23</v>
      </c>
      <c r="AM112" s="657">
        <v>35.459000000000003</v>
      </c>
      <c r="AN112" s="657">
        <v>55.195999999999998</v>
      </c>
      <c r="AO112" s="657">
        <v>48.944000000000003</v>
      </c>
      <c r="AP112" s="670">
        <v>27.270534941852073</v>
      </c>
      <c r="AQ112" s="670">
        <v>27.296656416635514</v>
      </c>
      <c r="AR112" s="670">
        <v>26.926453995704733</v>
      </c>
      <c r="AS112" s="670">
        <v>22.77674442112442</v>
      </c>
      <c r="AT112" s="670">
        <v>32.35370743215087</v>
      </c>
      <c r="AU112" s="670">
        <v>31.163401179015615</v>
      </c>
      <c r="AV112" s="830">
        <v>22.241831728518061</v>
      </c>
      <c r="AW112" s="38"/>
      <c r="AX112" s="463">
        <f t="shared" ref="AX112:AX120" si="234">SUM(Y112:AJ112)</f>
        <v>418.51200000000006</v>
      </c>
      <c r="AZ112" s="919">
        <f t="shared" ref="AZ112:AZ174" si="235">SUM(AK112:AV112)</f>
        <v>377.62833011500129</v>
      </c>
      <c r="BB112" s="777"/>
      <c r="BC112" s="778"/>
    </row>
    <row r="113" spans="1:61">
      <c r="A113" s="352"/>
      <c r="B113" s="357" t="s">
        <v>3</v>
      </c>
      <c r="C113" s="5" t="s">
        <v>191</v>
      </c>
      <c r="D113" s="4" t="s">
        <v>3</v>
      </c>
      <c r="E113" s="55"/>
      <c r="F113" s="55"/>
      <c r="G113" s="55"/>
      <c r="H113" s="55"/>
      <c r="I113" s="245"/>
      <c r="J113" s="55"/>
      <c r="K113" s="55"/>
      <c r="L113" s="289"/>
      <c r="M113" s="55"/>
      <c r="N113" s="55"/>
      <c r="O113" s="98"/>
      <c r="P113" s="98"/>
      <c r="Q113" s="98"/>
      <c r="R113" s="98"/>
      <c r="S113" s="98"/>
      <c r="T113" s="98"/>
      <c r="U113" s="98"/>
      <c r="V113" s="98"/>
      <c r="W113" s="98"/>
      <c r="X113" s="98"/>
      <c r="Y113" s="459">
        <v>0</v>
      </c>
      <c r="Z113" s="345">
        <f>10.8-1.8</f>
        <v>9</v>
      </c>
      <c r="AA113" s="489">
        <v>10.8</v>
      </c>
      <c r="AB113" s="615">
        <v>10.6</v>
      </c>
      <c r="AC113" s="621">
        <v>10.5</v>
      </c>
      <c r="AD113" s="653">
        <f>11-1</f>
        <v>10</v>
      </c>
      <c r="AE113" s="557"/>
      <c r="AF113" s="687">
        <v>0.73099999999999998</v>
      </c>
      <c r="AG113" s="687">
        <v>4.9909999999999997</v>
      </c>
      <c r="AH113" s="714">
        <v>6.7</v>
      </c>
      <c r="AI113" s="714">
        <f>9.4-0.85</f>
        <v>8.5500000000000007</v>
      </c>
      <c r="AJ113" s="809"/>
      <c r="AK113" s="865">
        <f>12.204-AK98</f>
        <v>5.2040000000000006</v>
      </c>
      <c r="AL113" s="786"/>
      <c r="AM113" s="786"/>
      <c r="AN113" s="786"/>
      <c r="AO113" s="786"/>
      <c r="AP113" s="786"/>
      <c r="AQ113" s="786"/>
      <c r="AR113" s="824">
        <v>10</v>
      </c>
      <c r="AS113" s="786"/>
      <c r="AT113" s="786"/>
      <c r="AU113" s="786"/>
      <c r="AV113" s="787"/>
      <c r="AW113" s="38"/>
      <c r="AX113" s="463">
        <f t="shared" si="234"/>
        <v>71.872</v>
      </c>
      <c r="AY113" s="31"/>
      <c r="AZ113" s="919">
        <f t="shared" si="235"/>
        <v>15.204000000000001</v>
      </c>
      <c r="BA113" s="31"/>
      <c r="BB113" s="777"/>
      <c r="BC113" s="779"/>
    </row>
    <row r="114" spans="1:61">
      <c r="A114" s="352"/>
      <c r="B114" s="357" t="s">
        <v>3</v>
      </c>
      <c r="C114" s="5" t="s">
        <v>248</v>
      </c>
      <c r="D114" s="4" t="s">
        <v>3</v>
      </c>
      <c r="E114" s="55"/>
      <c r="F114" s="55"/>
      <c r="G114" s="55"/>
      <c r="H114" s="55"/>
      <c r="I114" s="245"/>
      <c r="J114" s="55"/>
      <c r="K114" s="55"/>
      <c r="L114" s="289"/>
      <c r="M114" s="55"/>
      <c r="N114" s="55"/>
      <c r="O114" s="98"/>
      <c r="P114" s="98"/>
      <c r="Q114" s="98"/>
      <c r="R114" s="98"/>
      <c r="S114" s="98"/>
      <c r="T114" s="98"/>
      <c r="U114" s="98"/>
      <c r="V114" s="98"/>
      <c r="W114" s="98"/>
      <c r="X114" s="98"/>
      <c r="Y114" s="459"/>
      <c r="Z114" s="489"/>
      <c r="AA114" s="489"/>
      <c r="AB114" s="454">
        <v>0</v>
      </c>
      <c r="AC114" s="345"/>
      <c r="AD114" s="345"/>
      <c r="AE114" s="557"/>
      <c r="AF114" s="687">
        <f>8.197</f>
        <v>8.1969999999999992</v>
      </c>
      <c r="AG114" s="687">
        <v>6.8310000000000004</v>
      </c>
      <c r="AH114" s="714">
        <v>7.3</v>
      </c>
      <c r="AI114" s="714">
        <f>2.5-0.25</f>
        <v>2.25</v>
      </c>
      <c r="AJ114" s="809">
        <f>13.784-AJ100-2.984</f>
        <v>10.8</v>
      </c>
      <c r="AK114" s="866">
        <v>1.58</v>
      </c>
      <c r="AL114" s="345"/>
      <c r="AM114" s="345"/>
      <c r="AN114" s="454"/>
      <c r="AO114" s="454"/>
      <c r="AP114" s="454"/>
      <c r="AQ114" s="454"/>
      <c r="AR114" s="454"/>
      <c r="AS114" s="454"/>
      <c r="AT114" s="454"/>
      <c r="AU114" s="454"/>
      <c r="AV114" s="813"/>
      <c r="AW114" s="38"/>
      <c r="AX114" s="463">
        <f t="shared" si="234"/>
        <v>35.378</v>
      </c>
      <c r="AY114" s="31"/>
      <c r="AZ114" s="919">
        <f t="shared" si="235"/>
        <v>1.58</v>
      </c>
      <c r="BA114" s="31"/>
      <c r="BB114" s="777"/>
      <c r="BC114" s="779"/>
    </row>
    <row r="115" spans="1:61">
      <c r="A115" s="352"/>
      <c r="B115" s="357" t="s">
        <v>3</v>
      </c>
      <c r="C115" s="5" t="s">
        <v>12</v>
      </c>
      <c r="D115" s="4" t="s">
        <v>3</v>
      </c>
      <c r="E115" s="55">
        <v>22.7</v>
      </c>
      <c r="F115" s="55">
        <v>32</v>
      </c>
      <c r="G115" s="124">
        <f>15+1</f>
        <v>16</v>
      </c>
      <c r="H115" s="124">
        <f>13+1</f>
        <v>14</v>
      </c>
      <c r="I115" s="245">
        <f>6+2</f>
        <v>8</v>
      </c>
      <c r="J115" s="245">
        <v>6</v>
      </c>
      <c r="K115" s="245">
        <v>6</v>
      </c>
      <c r="L115" s="245">
        <v>13</v>
      </c>
      <c r="M115" s="245">
        <v>12</v>
      </c>
      <c r="N115" s="245">
        <v>12</v>
      </c>
      <c r="O115" s="245">
        <f>12+25</f>
        <v>37</v>
      </c>
      <c r="P115" s="245">
        <f>12+9+5+6</f>
        <v>32</v>
      </c>
      <c r="Q115" s="370">
        <v>0</v>
      </c>
      <c r="R115" s="98"/>
      <c r="S115" s="245"/>
      <c r="T115" s="245"/>
      <c r="U115" s="245"/>
      <c r="V115" s="479"/>
      <c r="W115" s="245"/>
      <c r="X115" s="244"/>
      <c r="Y115" s="460"/>
      <c r="Z115" s="245">
        <f>15+2.5</f>
        <v>17.5</v>
      </c>
      <c r="AA115" s="245">
        <v>3.24</v>
      </c>
      <c r="AB115" s="98">
        <f>23+4.5+0.6</f>
        <v>28.1</v>
      </c>
      <c r="AC115" s="377">
        <v>30.8</v>
      </c>
      <c r="AD115" s="245">
        <f>17+2</f>
        <v>19</v>
      </c>
      <c r="AE115" s="382">
        <v>6</v>
      </c>
      <c r="AF115" s="657">
        <f>3+2+4.6</f>
        <v>9.6</v>
      </c>
      <c r="AG115" s="657">
        <f>3+6.7+4.3+4.2</f>
        <v>18.2</v>
      </c>
      <c r="AH115" s="657">
        <f>14+6+2</f>
        <v>22</v>
      </c>
      <c r="AI115" s="382">
        <f>16.7-0.9</f>
        <v>15.799999999999999</v>
      </c>
      <c r="AJ115" s="382">
        <v>11.7</v>
      </c>
      <c r="AK115" s="861">
        <v>20</v>
      </c>
      <c r="AL115" s="670">
        <v>19</v>
      </c>
      <c r="AM115" s="668">
        <v>20</v>
      </c>
      <c r="AN115" s="668"/>
      <c r="AO115" s="670">
        <f>54-AO112</f>
        <v>5.0559999999999974</v>
      </c>
      <c r="AP115" s="670">
        <v>26</v>
      </c>
      <c r="AQ115" s="670">
        <v>26</v>
      </c>
      <c r="AR115" s="670">
        <v>27</v>
      </c>
      <c r="AS115" s="670">
        <v>29</v>
      </c>
      <c r="AT115" s="670">
        <v>22</v>
      </c>
      <c r="AU115" s="670">
        <v>22</v>
      </c>
      <c r="AV115" s="814">
        <v>29</v>
      </c>
      <c r="AW115" s="38"/>
      <c r="AX115" s="463">
        <f t="shared" si="234"/>
        <v>181.94</v>
      </c>
      <c r="AY115" s="31"/>
      <c r="AZ115" s="919">
        <f t="shared" si="235"/>
        <v>245.05599999999998</v>
      </c>
      <c r="BA115" s="31"/>
      <c r="BB115" s="777"/>
      <c r="BC115" s="779"/>
    </row>
    <row r="116" spans="1:61">
      <c r="A116" s="352"/>
      <c r="B116" s="357" t="s">
        <v>3</v>
      </c>
      <c r="C116" s="5" t="s">
        <v>398</v>
      </c>
      <c r="D116" s="4" t="s">
        <v>3</v>
      </c>
      <c r="E116" s="55"/>
      <c r="F116" s="55"/>
      <c r="G116" s="124"/>
      <c r="H116" s="124"/>
      <c r="I116" s="245"/>
      <c r="J116" s="245"/>
      <c r="K116" s="245"/>
      <c r="L116" s="245"/>
      <c r="M116" s="245"/>
      <c r="N116" s="245"/>
      <c r="O116" s="245"/>
      <c r="P116" s="245"/>
      <c r="Q116" s="370"/>
      <c r="R116" s="98"/>
      <c r="S116" s="245"/>
      <c r="T116" s="245"/>
      <c r="U116" s="245"/>
      <c r="V116" s="479"/>
      <c r="W116" s="245"/>
      <c r="X116" s="244"/>
      <c r="Y116" s="460"/>
      <c r="Z116" s="245"/>
      <c r="AA116" s="245"/>
      <c r="AB116" s="98"/>
      <c r="AC116" s="377"/>
      <c r="AD116" s="245"/>
      <c r="AE116" s="382"/>
      <c r="AF116" s="657"/>
      <c r="AG116" s="657"/>
      <c r="AH116" s="657"/>
      <c r="AI116" s="382"/>
      <c r="AJ116" s="382"/>
      <c r="AK116" s="861"/>
      <c r="AL116" s="670"/>
      <c r="AM116" s="668"/>
      <c r="AN116" s="668"/>
      <c r="AO116" s="670"/>
      <c r="AP116" s="670"/>
      <c r="AQ116" s="670"/>
      <c r="AR116" s="670"/>
      <c r="AS116" s="670"/>
      <c r="AT116" s="670"/>
      <c r="AU116" s="670"/>
      <c r="AV116" s="814"/>
      <c r="AW116" s="38"/>
      <c r="AX116" s="463"/>
      <c r="AY116" s="31"/>
      <c r="AZ116" s="919"/>
      <c r="BA116" s="31"/>
      <c r="BB116" s="777"/>
      <c r="BC116" s="779"/>
    </row>
    <row r="117" spans="1:61">
      <c r="A117" s="352"/>
      <c r="B117" s="357" t="s">
        <v>3</v>
      </c>
      <c r="C117" s="5" t="s">
        <v>399</v>
      </c>
      <c r="D117" s="4" t="s">
        <v>3</v>
      </c>
      <c r="E117" s="55"/>
      <c r="F117" s="55"/>
      <c r="G117" s="124"/>
      <c r="H117" s="124"/>
      <c r="I117" s="245"/>
      <c r="J117" s="245"/>
      <c r="K117" s="245"/>
      <c r="L117" s="245"/>
      <c r="M117" s="245"/>
      <c r="N117" s="245"/>
      <c r="O117" s="245"/>
      <c r="P117" s="245"/>
      <c r="Q117" s="370"/>
      <c r="R117" s="98"/>
      <c r="S117" s="245"/>
      <c r="T117" s="245"/>
      <c r="U117" s="245"/>
      <c r="V117" s="479"/>
      <c r="W117" s="245"/>
      <c r="X117" s="244"/>
      <c r="Y117" s="460"/>
      <c r="Z117" s="245"/>
      <c r="AA117" s="245"/>
      <c r="AB117" s="98"/>
      <c r="AC117" s="377"/>
      <c r="AD117" s="245"/>
      <c r="AE117" s="382"/>
      <c r="AF117" s="657"/>
      <c r="AG117" s="657"/>
      <c r="AH117" s="657"/>
      <c r="AI117" s="382"/>
      <c r="AJ117" s="382"/>
      <c r="AK117" s="861"/>
      <c r="AL117" s="670"/>
      <c r="AM117" s="668"/>
      <c r="AN117" s="668"/>
      <c r="AO117" s="670"/>
      <c r="AP117" s="670"/>
      <c r="AQ117" s="670"/>
      <c r="AR117" s="670"/>
      <c r="AS117" s="670"/>
      <c r="AT117" s="670"/>
      <c r="AU117" s="670"/>
      <c r="AV117" s="814"/>
      <c r="AW117" s="38"/>
      <c r="AX117" s="463"/>
      <c r="AY117" s="31"/>
      <c r="AZ117" s="919"/>
      <c r="BA117" s="31"/>
      <c r="BB117" s="777"/>
      <c r="BC117" s="779"/>
    </row>
    <row r="118" spans="1:61">
      <c r="A118" s="352"/>
      <c r="B118" s="357" t="s">
        <v>3</v>
      </c>
      <c r="C118" s="5" t="s">
        <v>13</v>
      </c>
      <c r="D118" s="4" t="s">
        <v>3</v>
      </c>
      <c r="E118" s="55">
        <v>25.201000000000001</v>
      </c>
      <c r="F118" s="55">
        <v>1.85</v>
      </c>
      <c r="G118" s="55">
        <v>24.5</v>
      </c>
      <c r="H118" s="245">
        <v>25</v>
      </c>
      <c r="I118" s="244">
        <v>26.736999999999998</v>
      </c>
      <c r="J118" s="244">
        <v>33.479999999999997</v>
      </c>
      <c r="K118" s="244">
        <v>31.632000000000001</v>
      </c>
      <c r="L118" s="289">
        <v>25</v>
      </c>
      <c r="M118" s="55">
        <v>32.86</v>
      </c>
      <c r="N118" s="345">
        <v>25.4</v>
      </c>
      <c r="O118" s="345">
        <v>16.645</v>
      </c>
      <c r="P118" s="98">
        <v>24</v>
      </c>
      <c r="Q118" s="378">
        <v>21.957999999999998</v>
      </c>
      <c r="R118" s="98">
        <v>23.643999999999998</v>
      </c>
      <c r="S118" s="377">
        <v>25.8</v>
      </c>
      <c r="T118" s="245">
        <v>31.132362637362636</v>
      </c>
      <c r="U118" s="377">
        <v>30.3</v>
      </c>
      <c r="V118" s="245">
        <f>1060*31/1000</f>
        <v>32.86</v>
      </c>
      <c r="W118" s="245">
        <f>1040*30/1000</f>
        <v>31.2</v>
      </c>
      <c r="X118" s="98">
        <v>25.673999999999999</v>
      </c>
      <c r="Y118" s="484">
        <f>1040*Y1/1000</f>
        <v>32.24</v>
      </c>
      <c r="Z118" s="345">
        <v>28.1</v>
      </c>
      <c r="AA118" s="489">
        <f>1040*AA1/1000</f>
        <v>32.24</v>
      </c>
      <c r="AB118" s="345">
        <v>24.491</v>
      </c>
      <c r="AC118" s="345">
        <v>26.954999999999998</v>
      </c>
      <c r="AD118" s="489">
        <v>30.1</v>
      </c>
      <c r="AE118" s="345">
        <f>30.38+0.2-0.2</f>
        <v>30.38</v>
      </c>
      <c r="AF118" s="687">
        <f>32.55-3.698+1.67-1.577+0.46</f>
        <v>29.405000000000001</v>
      </c>
      <c r="AG118" s="687">
        <v>23.1</v>
      </c>
      <c r="AH118" s="714">
        <f>0+3-1.55-0.43</f>
        <v>1.02</v>
      </c>
      <c r="AI118" s="855">
        <v>21.297000000000001</v>
      </c>
      <c r="AJ118" s="855">
        <v>26.97</v>
      </c>
      <c r="AK118" s="863">
        <v>26.97</v>
      </c>
      <c r="AL118" s="714">
        <v>29.4</v>
      </c>
      <c r="AM118" s="786">
        <v>32.549999999999997</v>
      </c>
      <c r="AN118" s="786">
        <v>31.5</v>
      </c>
      <c r="AO118" s="824">
        <v>30.33400575990245</v>
      </c>
      <c r="AP118" s="786">
        <v>31.5</v>
      </c>
      <c r="AQ118" s="786">
        <v>32.549999999999997</v>
      </c>
      <c r="AR118" s="829">
        <v>13.65</v>
      </c>
      <c r="AS118" s="786">
        <v>31.5</v>
      </c>
      <c r="AT118" s="786">
        <v>32.549999999999997</v>
      </c>
      <c r="AU118" s="786">
        <v>31.5</v>
      </c>
      <c r="AV118" s="787">
        <v>32.549999999999997</v>
      </c>
      <c r="AW118" s="38"/>
      <c r="AX118" s="463">
        <f>SUM(Y118:AJ118)</f>
        <v>306.298</v>
      </c>
      <c r="AY118" s="31"/>
      <c r="AZ118" s="919">
        <f t="shared" si="235"/>
        <v>356.55400575990245</v>
      </c>
      <c r="BA118" s="31"/>
      <c r="BB118" s="777">
        <v>400000</v>
      </c>
      <c r="BC118" s="779">
        <f>BB118/(BB120)</f>
        <v>0.39603960396039606</v>
      </c>
    </row>
    <row r="119" spans="1:61" ht="15" thickBot="1">
      <c r="A119" s="352"/>
      <c r="B119" s="357" t="s">
        <v>3</v>
      </c>
      <c r="C119" s="5" t="s">
        <v>14</v>
      </c>
      <c r="D119" s="4" t="s">
        <v>3</v>
      </c>
      <c r="E119" s="55">
        <v>8.1080000000000005</v>
      </c>
      <c r="F119" s="98">
        <v>11.057</v>
      </c>
      <c r="G119" s="55">
        <f>30.837+1</f>
        <v>31.837</v>
      </c>
      <c r="H119" s="55">
        <v>31.837</v>
      </c>
      <c r="I119" s="55">
        <v>30.81</v>
      </c>
      <c r="J119" s="55">
        <v>31.837</v>
      </c>
      <c r="K119" s="55">
        <v>30.81</v>
      </c>
      <c r="L119" s="289">
        <v>23.632999999999999</v>
      </c>
      <c r="M119" s="289">
        <v>17.95</v>
      </c>
      <c r="N119" s="55">
        <f>26.179-0.873</f>
        <v>25.305999999999997</v>
      </c>
      <c r="O119" s="98">
        <f>28.022-0.417-0.922</f>
        <v>26.682999999999996</v>
      </c>
      <c r="P119" s="289">
        <v>20.55</v>
      </c>
      <c r="Q119" s="373">
        <v>8</v>
      </c>
      <c r="R119" s="55">
        <v>20</v>
      </c>
      <c r="S119" s="377">
        <v>22</v>
      </c>
      <c r="T119" s="458">
        <v>21.2</v>
      </c>
      <c r="U119" s="265">
        <v>21.2</v>
      </c>
      <c r="V119" s="265">
        <v>21.2</v>
      </c>
      <c r="W119" s="485">
        <v>21.2</v>
      </c>
      <c r="X119" s="522">
        <f>21.2+7.5</f>
        <v>28.7</v>
      </c>
      <c r="Y119" s="535">
        <f>21.672+1.635+2.9</f>
        <v>26.207000000000001</v>
      </c>
      <c r="Z119" s="245">
        <f>21.276</f>
        <v>21.276</v>
      </c>
      <c r="AA119" s="245">
        <v>23.556000000000001</v>
      </c>
      <c r="AB119" s="98">
        <f>18.7-22.796+22.796+1</f>
        <v>19.7</v>
      </c>
      <c r="AC119" s="634">
        <v>20.771999999999998</v>
      </c>
      <c r="AD119" s="245">
        <v>22.036000000000001</v>
      </c>
      <c r="AE119" s="245">
        <v>0</v>
      </c>
      <c r="AF119" s="703">
        <f>19.128-9.5+1.469</f>
        <v>11.097</v>
      </c>
      <c r="AG119" s="657">
        <v>21.884</v>
      </c>
      <c r="AH119" s="657">
        <f>31.844-11.586</f>
        <v>20.258000000000003</v>
      </c>
      <c r="AI119" s="670">
        <f>21.659+2</f>
        <v>23.658999999999999</v>
      </c>
      <c r="AJ119" s="915">
        <v>18.224</v>
      </c>
      <c r="AK119" s="860">
        <f>(220/365)*AK1</f>
        <v>18.684931506849313</v>
      </c>
      <c r="AL119" s="657">
        <f>(220/365)*AL1-AL106</f>
        <v>16.876712328767123</v>
      </c>
      <c r="AM119" s="670">
        <f>(220/365)*AM1-AM106</f>
        <v>18.684931506849313</v>
      </c>
      <c r="AN119" s="670">
        <f>(220/365)*AN1-AN106</f>
        <v>18.082191780821915</v>
      </c>
      <c r="AO119" s="823">
        <v>17.452999999999999</v>
      </c>
      <c r="AP119" s="670">
        <f>(220/365)*AP1-AP106+(AP107*BC119)</f>
        <v>18.082191780821915</v>
      </c>
      <c r="AQ119" s="828">
        <f>(220/365)*AQ1-AQ106+(AQ107*BC119)</f>
        <v>18.684931506849313</v>
      </c>
      <c r="AR119" s="828">
        <f>(220/365)*AR1-AR106+(AR107*BC119)</f>
        <v>18.684931506849313</v>
      </c>
      <c r="AS119" s="828">
        <f>(220/365)*AS1-AS106+(AS107*BC118)</f>
        <v>18.082191780821915</v>
      </c>
      <c r="AT119" s="670">
        <f>(220/365)*AT1-AT106+(AT107*BD118)</f>
        <v>18.684931506849313</v>
      </c>
      <c r="AU119" s="670">
        <f>(220/365)*AU1-AU106+(AU107*BE118)</f>
        <v>18.082191780821915</v>
      </c>
      <c r="AV119" s="814">
        <f>(220/365)*AV1-AV106+(AV107*BF118)</f>
        <v>18.684931506849313</v>
      </c>
      <c r="AW119" s="38"/>
      <c r="AX119" s="463">
        <f t="shared" si="234"/>
        <v>228.66900000000001</v>
      </c>
      <c r="AY119" s="31"/>
      <c r="AZ119" s="919">
        <f t="shared" si="235"/>
        <v>218.76806849315068</v>
      </c>
      <c r="BA119" s="31"/>
      <c r="BB119" s="777">
        <v>350000</v>
      </c>
      <c r="BC119" s="779">
        <f>BB119/(BB120)</f>
        <v>0.34653465346534651</v>
      </c>
    </row>
    <row r="120" spans="1:61" ht="15" thickBot="1">
      <c r="A120" s="355"/>
      <c r="B120" s="357" t="s">
        <v>3</v>
      </c>
      <c r="C120" s="5" t="s">
        <v>251</v>
      </c>
      <c r="D120" s="4" t="s">
        <v>3</v>
      </c>
      <c r="E120" s="55"/>
      <c r="F120" s="98"/>
      <c r="G120" s="55"/>
      <c r="H120" s="55"/>
      <c r="I120" s="55"/>
      <c r="J120" s="55"/>
      <c r="K120" s="55"/>
      <c r="L120" s="289"/>
      <c r="M120" s="289"/>
      <c r="N120" s="55"/>
      <c r="O120" s="98"/>
      <c r="P120" s="289"/>
      <c r="Q120" s="373"/>
      <c r="R120" s="55"/>
      <c r="S120" s="377"/>
      <c r="T120" s="458"/>
      <c r="U120" s="265"/>
      <c r="V120" s="265"/>
      <c r="W120" s="485"/>
      <c r="X120" s="522"/>
      <c r="Y120" s="558"/>
      <c r="Z120" s="98">
        <v>4.5</v>
      </c>
      <c r="AA120" s="98">
        <f>4+2.5+1</f>
        <v>7.5</v>
      </c>
      <c r="AB120" s="98">
        <f>7.2-7.2</f>
        <v>0</v>
      </c>
      <c r="AC120" s="635">
        <v>2</v>
      </c>
      <c r="AD120" s="245">
        <v>7.3249999999999993</v>
      </c>
      <c r="AE120" s="245"/>
      <c r="AF120" s="657"/>
      <c r="AG120" s="657">
        <f>5+3.4</f>
        <v>8.4</v>
      </c>
      <c r="AH120" s="668">
        <f>4+5.208</f>
        <v>9.2080000000000002</v>
      </c>
      <c r="AI120" s="917">
        <f>4.384+0.2-3.2</f>
        <v>1.3840000000000003</v>
      </c>
      <c r="AJ120" s="916">
        <v>0</v>
      </c>
      <c r="AK120" s="870">
        <f>29.76-AK119</f>
        <v>11.075068493150688</v>
      </c>
      <c r="AL120" s="870">
        <f>22.77-AL119</f>
        <v>5.8932876712328763</v>
      </c>
      <c r="AM120" s="808">
        <f>25.86-AM119-2</f>
        <v>5.1750684931506861</v>
      </c>
      <c r="AN120" s="808">
        <f>25.18-AN119-1</f>
        <v>6.0978082191780842</v>
      </c>
      <c r="AO120" s="808"/>
      <c r="AP120" s="825">
        <v>2.5</v>
      </c>
      <c r="AQ120" s="825">
        <v>2.5</v>
      </c>
      <c r="AR120" s="825">
        <f>25.724-AR119</f>
        <v>7.0390684931506868</v>
      </c>
      <c r="AS120" s="825">
        <v>6</v>
      </c>
      <c r="AT120" s="825">
        <v>6</v>
      </c>
      <c r="AU120" s="825">
        <v>5.5</v>
      </c>
      <c r="AV120" s="826">
        <v>6</v>
      </c>
      <c r="AW120" s="38"/>
      <c r="AX120" s="463">
        <f t="shared" si="234"/>
        <v>40.317</v>
      </c>
      <c r="AY120" s="31"/>
      <c r="AZ120" s="919">
        <f t="shared" si="235"/>
        <v>63.780301369863018</v>
      </c>
      <c r="BA120" s="31"/>
      <c r="BB120" s="780">
        <f>SUM(BB111:BB119)</f>
        <v>1010000</v>
      </c>
      <c r="BC120" s="781"/>
    </row>
    <row r="121" spans="1:61">
      <c r="A121" s="354" t="s">
        <v>9</v>
      </c>
      <c r="B121" s="358" t="s">
        <v>3</v>
      </c>
      <c r="C121" s="110" t="s">
        <v>51</v>
      </c>
      <c r="D121" s="111" t="s">
        <v>392</v>
      </c>
      <c r="E121" s="100"/>
      <c r="F121" s="100">
        <v>0.3</v>
      </c>
      <c r="G121" s="100">
        <v>0.6</v>
      </c>
      <c r="H121" s="100">
        <v>0.65355300000000005</v>
      </c>
      <c r="I121" s="100">
        <v>0.8</v>
      </c>
      <c r="J121" s="100">
        <v>0.64030200000000004</v>
      </c>
      <c r="K121" s="100">
        <v>0.60816493999999999</v>
      </c>
      <c r="L121" s="100">
        <v>0.60244565000000005</v>
      </c>
      <c r="M121" s="100">
        <v>0.8</v>
      </c>
      <c r="N121" s="100">
        <v>0.94</v>
      </c>
      <c r="O121" s="100">
        <v>0.65</v>
      </c>
      <c r="P121" s="268">
        <v>0.7</v>
      </c>
      <c r="Q121" s="100">
        <v>0.60859381000000001</v>
      </c>
      <c r="R121" s="100">
        <v>0.37617381999999999</v>
      </c>
      <c r="S121" s="268">
        <v>0.5</v>
      </c>
      <c r="T121" s="100">
        <v>0.27</v>
      </c>
      <c r="U121" s="268">
        <v>0.7</v>
      </c>
      <c r="V121" s="268">
        <v>0.65</v>
      </c>
      <c r="W121" s="100">
        <v>0.6</v>
      </c>
      <c r="X121" s="100">
        <v>0.6</v>
      </c>
      <c r="Y121" s="528">
        <v>0.6</v>
      </c>
      <c r="Z121" s="529">
        <v>0.6</v>
      </c>
      <c r="AA121" s="529">
        <v>0.6</v>
      </c>
      <c r="AB121" s="529">
        <v>0.6</v>
      </c>
      <c r="AC121" s="529">
        <v>0.6</v>
      </c>
      <c r="AD121" s="529">
        <v>0.85</v>
      </c>
      <c r="AE121" s="529">
        <v>0.5</v>
      </c>
      <c r="AF121" s="529">
        <f>0.6+0.08</f>
        <v>0.67999999999999994</v>
      </c>
      <c r="AG121" s="529">
        <f>0.55+0.18</f>
        <v>0.73</v>
      </c>
      <c r="AH121" s="529">
        <v>0.6</v>
      </c>
      <c r="AI121" s="529">
        <v>0.6</v>
      </c>
      <c r="AJ121" s="529">
        <v>0.65</v>
      </c>
      <c r="AK121" s="559">
        <v>0.5</v>
      </c>
      <c r="AL121" s="53">
        <v>0.5</v>
      </c>
      <c r="AM121" s="53">
        <v>0.5</v>
      </c>
      <c r="AN121" s="53">
        <v>0.5</v>
      </c>
      <c r="AO121" s="53">
        <v>0.5</v>
      </c>
      <c r="AP121" s="53">
        <v>0.5</v>
      </c>
      <c r="AQ121" s="53">
        <v>0.5</v>
      </c>
      <c r="AR121" s="53">
        <v>0.5</v>
      </c>
      <c r="AS121" s="53">
        <v>0.5</v>
      </c>
      <c r="AT121" s="53">
        <v>0.5</v>
      </c>
      <c r="AU121" s="53">
        <v>0.5</v>
      </c>
      <c r="AV121" s="53">
        <v>0.5</v>
      </c>
      <c r="AW121" s="38"/>
      <c r="AX121" s="463">
        <f>SUM(Y121:AJ121)</f>
        <v>7.6099999999999994</v>
      </c>
      <c r="AY121" s="463"/>
      <c r="AZ121" s="919">
        <f t="shared" si="235"/>
        <v>6</v>
      </c>
      <c r="BA121" s="31"/>
    </row>
    <row r="122" spans="1:61">
      <c r="A122" s="355"/>
      <c r="B122" s="358" t="s">
        <v>3</v>
      </c>
      <c r="C122" s="284" t="s">
        <v>155</v>
      </c>
      <c r="D122" s="111" t="s">
        <v>392</v>
      </c>
      <c r="E122" s="100"/>
      <c r="F122" s="100"/>
      <c r="G122" s="100"/>
      <c r="H122" s="100"/>
      <c r="I122" s="100"/>
      <c r="J122" s="100"/>
      <c r="K122" s="100"/>
      <c r="L122" s="100">
        <v>0.5</v>
      </c>
      <c r="M122" s="100">
        <v>0.5</v>
      </c>
      <c r="N122" s="100">
        <v>0.62</v>
      </c>
      <c r="O122" s="100">
        <v>0.65</v>
      </c>
      <c r="P122" s="364">
        <v>0.75</v>
      </c>
      <c r="Q122" s="100">
        <v>0.75</v>
      </c>
      <c r="R122" s="100">
        <v>0.75</v>
      </c>
      <c r="S122" s="268">
        <v>0.9</v>
      </c>
      <c r="T122" s="100">
        <v>0.75</v>
      </c>
      <c r="U122" s="268">
        <v>0.75</v>
      </c>
      <c r="V122" s="100">
        <v>0.8</v>
      </c>
      <c r="W122" s="100">
        <v>0.8</v>
      </c>
      <c r="X122" s="100">
        <v>0.6</v>
      </c>
      <c r="Y122" s="465">
        <v>0.8</v>
      </c>
      <c r="Z122" s="100">
        <v>0.7</v>
      </c>
      <c r="AA122" s="100">
        <v>0.75</v>
      </c>
      <c r="AB122" s="100">
        <v>0.6</v>
      </c>
      <c r="AC122" s="268">
        <v>0.85</v>
      </c>
      <c r="AD122" s="100">
        <v>0.62</v>
      </c>
      <c r="AE122" s="268">
        <f>0.6+0.16</f>
        <v>0.76</v>
      </c>
      <c r="AF122" s="100">
        <v>0.65</v>
      </c>
      <c r="AG122" s="100">
        <v>0.5</v>
      </c>
      <c r="AH122" s="100">
        <v>0.45</v>
      </c>
      <c r="AI122" s="100">
        <v>0.9</v>
      </c>
      <c r="AJ122" s="100">
        <v>0.9</v>
      </c>
      <c r="AK122" s="465">
        <v>0.91</v>
      </c>
      <c r="AL122" s="100">
        <v>0.88</v>
      </c>
      <c r="AM122" s="100">
        <v>0.4</v>
      </c>
      <c r="AN122" s="100">
        <v>0.45</v>
      </c>
      <c r="AO122" s="100">
        <v>0.45</v>
      </c>
      <c r="AP122" s="100">
        <v>0.4</v>
      </c>
      <c r="AQ122" s="100">
        <v>0.6</v>
      </c>
      <c r="AR122" s="100">
        <v>0.6</v>
      </c>
      <c r="AS122" s="100">
        <v>0.6</v>
      </c>
      <c r="AT122" s="100">
        <v>0.6</v>
      </c>
      <c r="AU122" s="100">
        <v>0.6</v>
      </c>
      <c r="AV122" s="100">
        <v>0.6</v>
      </c>
      <c r="AW122" s="38"/>
      <c r="AX122" s="463">
        <f t="shared" ref="AX122:AX174" si="236">SUM(Y122:AJ122)</f>
        <v>8.48</v>
      </c>
      <c r="AY122" s="463"/>
      <c r="AZ122" s="919">
        <f t="shared" si="235"/>
        <v>7.0899999999999981</v>
      </c>
      <c r="BA122" s="31"/>
    </row>
    <row r="123" spans="1:61">
      <c r="A123" s="352"/>
      <c r="B123" s="357" t="s">
        <v>3</v>
      </c>
      <c r="C123" s="7" t="s">
        <v>21</v>
      </c>
      <c r="D123" s="26" t="s">
        <v>224</v>
      </c>
      <c r="E123" s="112">
        <v>64.069999999999993</v>
      </c>
      <c r="F123" s="120">
        <f>66.43791165-3</f>
        <v>63.437911650000004</v>
      </c>
      <c r="G123" s="233">
        <f>67.84931687-2</f>
        <v>65.849316869999996</v>
      </c>
      <c r="H123" s="112">
        <v>62.71</v>
      </c>
      <c r="I123" s="112">
        <v>69.459999999999994</v>
      </c>
      <c r="J123" s="112">
        <v>74.149546740000005</v>
      </c>
      <c r="K123" s="277">
        <v>64.84</v>
      </c>
      <c r="L123" s="277">
        <v>73.87</v>
      </c>
      <c r="M123" s="277">
        <v>70.308482029999993</v>
      </c>
      <c r="N123" s="277">
        <f>66.30012878+1.27-2</f>
        <v>65.57012877999999</v>
      </c>
      <c r="O123" s="120">
        <v>67.39</v>
      </c>
      <c r="P123" s="379">
        <v>52.08</v>
      </c>
      <c r="Q123" s="120">
        <v>47.18</v>
      </c>
      <c r="R123" s="120">
        <v>52.57</v>
      </c>
      <c r="S123" s="120">
        <v>56.54</v>
      </c>
      <c r="T123" s="120">
        <v>59.6</v>
      </c>
      <c r="U123" s="120">
        <v>57.42</v>
      </c>
      <c r="V123" s="120">
        <f>62.54</f>
        <v>62.54</v>
      </c>
      <c r="W123" s="277">
        <v>59.382407709999995</v>
      </c>
      <c r="X123" s="120">
        <v>56.1</v>
      </c>
      <c r="Y123" s="493">
        <f>51.21+3</f>
        <v>54.21</v>
      </c>
      <c r="Z123" s="98">
        <f>52.25</f>
        <v>52.25</v>
      </c>
      <c r="AA123" s="98">
        <v>56.88</v>
      </c>
      <c r="AB123" s="98">
        <v>48.78</v>
      </c>
      <c r="AC123" s="98">
        <v>51.8</v>
      </c>
      <c r="AD123" s="245">
        <f>49.86+0.76+0.62</f>
        <v>51.239999999999995</v>
      </c>
      <c r="AE123" s="98">
        <f>53.06+1.4-1.08-2.5+3.43</f>
        <v>54.31</v>
      </c>
      <c r="AF123" s="245">
        <f>51.73-1.56</f>
        <v>50.169999999999995</v>
      </c>
      <c r="AG123" s="245">
        <f>53.74-2.92</f>
        <v>50.82</v>
      </c>
      <c r="AH123" s="98">
        <f>50.45+2.33-0.12</f>
        <v>52.660000000000004</v>
      </c>
      <c r="AI123" s="98">
        <v>53.8</v>
      </c>
      <c r="AJ123" s="245">
        <v>56.197444320000002</v>
      </c>
      <c r="AK123" s="560">
        <v>63.850714359999998</v>
      </c>
      <c r="AL123" s="263">
        <v>61.617314239999999</v>
      </c>
      <c r="AM123" s="263">
        <v>60.290979539999995</v>
      </c>
      <c r="AN123" s="263">
        <v>57.802225450000009</v>
      </c>
      <c r="AO123" s="263">
        <v>59.217310670000003</v>
      </c>
      <c r="AP123" s="263">
        <v>60.470735329999997</v>
      </c>
      <c r="AQ123" s="263">
        <v>60.911559339999997</v>
      </c>
      <c r="AR123" s="263">
        <v>60.989999999999995</v>
      </c>
      <c r="AS123" s="263">
        <v>63.319999999999993</v>
      </c>
      <c r="AT123" s="263">
        <v>64.187326659999997</v>
      </c>
      <c r="AU123" s="263">
        <v>61.184418080000007</v>
      </c>
      <c r="AV123" s="263">
        <v>61.18</v>
      </c>
      <c r="AW123" s="38"/>
      <c r="AX123" s="463">
        <f t="shared" si="236"/>
        <v>633.11744432</v>
      </c>
      <c r="AY123" s="463"/>
      <c r="AZ123" s="919">
        <f t="shared" si="235"/>
        <v>735.0225836699999</v>
      </c>
      <c r="BA123" s="31"/>
      <c r="BB123" s="31"/>
      <c r="BC123" s="31"/>
      <c r="BD123" s="31"/>
      <c r="BE123" s="31"/>
      <c r="BF123" s="31"/>
      <c r="BG123" s="31"/>
      <c r="BH123" s="31"/>
      <c r="BI123" s="31"/>
    </row>
    <row r="124" spans="1:61">
      <c r="A124" s="352"/>
      <c r="B124" s="357" t="s">
        <v>3</v>
      </c>
      <c r="C124" s="7" t="s">
        <v>21</v>
      </c>
      <c r="D124" s="22" t="s">
        <v>22</v>
      </c>
      <c r="E124" s="50">
        <v>70.61</v>
      </c>
      <c r="F124" s="50">
        <v>67.131</v>
      </c>
      <c r="G124" s="50">
        <v>68.07940004999999</v>
      </c>
      <c r="H124" s="50">
        <f>67.46768497-1.17</f>
        <v>66.297684969999992</v>
      </c>
      <c r="I124" s="50">
        <v>68.81</v>
      </c>
      <c r="J124" s="50">
        <v>68.09418556</v>
      </c>
      <c r="K124" s="50">
        <v>70.55</v>
      </c>
      <c r="L124" s="50">
        <v>67.655677449999999</v>
      </c>
      <c r="M124" s="50">
        <v>67.334808789999997</v>
      </c>
      <c r="N124" s="50">
        <v>64.025330750000009</v>
      </c>
      <c r="O124" s="120">
        <v>61.08</v>
      </c>
      <c r="P124" s="120">
        <v>50.41</v>
      </c>
      <c r="Q124" s="120">
        <v>54.68</v>
      </c>
      <c r="R124" s="120">
        <v>53.87</v>
      </c>
      <c r="S124" s="120">
        <v>60.69</v>
      </c>
      <c r="T124" s="120">
        <v>61.18</v>
      </c>
      <c r="U124" s="120">
        <v>60.42</v>
      </c>
      <c r="V124" s="50">
        <v>61.37</v>
      </c>
      <c r="W124" s="120">
        <v>60.32</v>
      </c>
      <c r="X124" s="120">
        <v>64.62</v>
      </c>
      <c r="Y124" s="493">
        <v>61.92</v>
      </c>
      <c r="Z124" s="55">
        <v>56.777439450000003</v>
      </c>
      <c r="AA124" s="98">
        <v>62.23</v>
      </c>
      <c r="AB124" s="98">
        <v>53.05</v>
      </c>
      <c r="AC124" s="98">
        <v>53.03</v>
      </c>
      <c r="AD124" s="245">
        <f>53.29-0.05+1.46-0.62</f>
        <v>54.080000000000005</v>
      </c>
      <c r="AE124" s="98">
        <f>52.94-0.95-0.18+1.15+1</f>
        <v>53.959999999999994</v>
      </c>
      <c r="AF124" s="245">
        <f>53.53-1.47</f>
        <v>52.06</v>
      </c>
      <c r="AG124" s="55">
        <f>52.31-0.18</f>
        <v>52.13</v>
      </c>
      <c r="AH124" s="98">
        <f>51.24-0.8+0.279+4.11+0.27</f>
        <v>55.099000000000011</v>
      </c>
      <c r="AI124" s="98">
        <v>53.53</v>
      </c>
      <c r="AJ124" s="55">
        <v>54.742669990000003</v>
      </c>
      <c r="AK124" s="54">
        <v>57.149695229999999</v>
      </c>
      <c r="AL124" s="55">
        <v>52.046293659999996</v>
      </c>
      <c r="AM124" s="55">
        <v>53.668959759999993</v>
      </c>
      <c r="AN124" s="55">
        <v>52.264837319999998</v>
      </c>
      <c r="AO124" s="55">
        <v>53.813492189999991</v>
      </c>
      <c r="AP124" s="55">
        <v>52.008330149999992</v>
      </c>
      <c r="AQ124" s="55">
        <v>53.470047659999992</v>
      </c>
      <c r="AR124" s="55">
        <v>54.12</v>
      </c>
      <c r="AS124" s="55">
        <v>53.319999999999993</v>
      </c>
      <c r="AT124" s="55">
        <v>54.723862669999995</v>
      </c>
      <c r="AU124" s="55">
        <v>53.862929569999999</v>
      </c>
      <c r="AV124" s="55">
        <v>53.86</v>
      </c>
      <c r="AW124" s="38"/>
      <c r="AX124" s="463">
        <f t="shared" si="236"/>
        <v>662.60910943999988</v>
      </c>
      <c r="AY124" s="463"/>
      <c r="AZ124" s="919">
        <f t="shared" si="235"/>
        <v>644.30844820999994</v>
      </c>
      <c r="BA124" s="31"/>
      <c r="BB124" s="31"/>
      <c r="BC124" s="31"/>
      <c r="BD124" s="31"/>
      <c r="BE124" s="31"/>
      <c r="BF124" s="31"/>
      <c r="BG124" s="31"/>
      <c r="BH124" s="31"/>
      <c r="BI124" s="31"/>
    </row>
    <row r="125" spans="1:61">
      <c r="A125" s="352"/>
      <c r="B125" s="359" t="s">
        <v>3</v>
      </c>
      <c r="C125" s="8" t="s">
        <v>21</v>
      </c>
      <c r="D125" s="23" t="s">
        <v>20</v>
      </c>
      <c r="E125" s="50"/>
      <c r="F125" s="120"/>
      <c r="G125" s="50"/>
      <c r="H125" s="50">
        <v>2</v>
      </c>
      <c r="I125" s="50"/>
      <c r="J125" s="50"/>
      <c r="K125" s="264">
        <v>13.6</v>
      </c>
      <c r="L125" s="50"/>
      <c r="M125" s="50">
        <v>0.41</v>
      </c>
      <c r="N125" s="50">
        <v>1.27</v>
      </c>
      <c r="O125" s="50">
        <v>3.8000000000000003</v>
      </c>
      <c r="P125" s="50">
        <v>1.2</v>
      </c>
      <c r="Q125" s="50">
        <v>1.55</v>
      </c>
      <c r="R125" s="120">
        <v>4.0999999999999996</v>
      </c>
      <c r="S125" s="120">
        <v>7.4</v>
      </c>
      <c r="T125" s="120">
        <v>14.3</v>
      </c>
      <c r="U125" s="120">
        <v>12</v>
      </c>
      <c r="V125" s="120">
        <f>10.3-0.7</f>
        <v>9.6000000000000014</v>
      </c>
      <c r="W125" s="120">
        <v>13</v>
      </c>
      <c r="X125" s="120">
        <v>11.47</v>
      </c>
      <c r="Y125" s="493">
        <v>4.5</v>
      </c>
      <c r="Z125" s="98">
        <v>6.4</v>
      </c>
      <c r="AA125" s="98">
        <v>19.46</v>
      </c>
      <c r="AB125" s="98">
        <v>15.950000000000001</v>
      </c>
      <c r="AC125" s="55">
        <v>17</v>
      </c>
      <c r="AD125" s="245">
        <f>16+2+1.5</f>
        <v>19.5</v>
      </c>
      <c r="AE125" s="55">
        <v>21.6</v>
      </c>
      <c r="AF125" s="245">
        <f>18+1.6</f>
        <v>19.600000000000001</v>
      </c>
      <c r="AG125" s="55">
        <f>20.6-1.5-0.1</f>
        <v>19</v>
      </c>
      <c r="AH125" s="98">
        <f>18-1.95-1-0.27</f>
        <v>14.780000000000001</v>
      </c>
      <c r="AI125" s="98">
        <f>18.5-2.5-1.5-0.2</f>
        <v>14.3</v>
      </c>
      <c r="AJ125" s="55">
        <v>20</v>
      </c>
      <c r="AK125" s="54">
        <v>15</v>
      </c>
      <c r="AL125" s="55">
        <v>15</v>
      </c>
      <c r="AM125" s="55">
        <v>15</v>
      </c>
      <c r="AN125" s="55">
        <v>20.7</v>
      </c>
      <c r="AO125" s="55">
        <v>15</v>
      </c>
      <c r="AP125" s="55">
        <v>15</v>
      </c>
      <c r="AQ125" s="55">
        <v>25.06</v>
      </c>
      <c r="AR125" s="55">
        <v>23.8</v>
      </c>
      <c r="AS125" s="55">
        <v>25.7</v>
      </c>
      <c r="AT125" s="55">
        <v>26.67</v>
      </c>
      <c r="AU125" s="55">
        <v>26.68</v>
      </c>
      <c r="AV125" s="55">
        <v>26.68</v>
      </c>
      <c r="AW125" s="38"/>
      <c r="AX125" s="463">
        <f t="shared" si="236"/>
        <v>192.09</v>
      </c>
      <c r="AY125" s="463"/>
      <c r="AZ125" s="919">
        <f t="shared" si="235"/>
        <v>250.29000000000002</v>
      </c>
      <c r="BA125" s="31"/>
      <c r="BB125" s="31"/>
      <c r="BC125" s="31"/>
      <c r="BD125" s="31"/>
      <c r="BE125" s="31"/>
      <c r="BF125" s="31"/>
      <c r="BG125" s="31"/>
      <c r="BH125" s="31"/>
      <c r="BI125" s="31"/>
    </row>
    <row r="126" spans="1:61">
      <c r="A126" s="352"/>
      <c r="B126" s="359" t="s">
        <v>3</v>
      </c>
      <c r="C126" s="8" t="s">
        <v>21</v>
      </c>
      <c r="D126" s="23" t="s">
        <v>23</v>
      </c>
      <c r="E126" s="50"/>
      <c r="F126" s="120"/>
      <c r="G126" s="50"/>
      <c r="H126" s="50"/>
      <c r="I126" s="50"/>
      <c r="J126" s="50"/>
      <c r="K126" s="264"/>
      <c r="L126" s="50"/>
      <c r="M126" s="50"/>
      <c r="N126" s="50"/>
      <c r="O126" s="50"/>
      <c r="P126" s="50"/>
      <c r="Q126" s="50"/>
      <c r="R126" s="120"/>
      <c r="S126" s="120"/>
      <c r="T126" s="120"/>
      <c r="U126" s="50">
        <v>0.3</v>
      </c>
      <c r="V126" s="120">
        <v>0.6</v>
      </c>
      <c r="W126" s="50">
        <v>0.6</v>
      </c>
      <c r="X126" s="50">
        <v>0.6</v>
      </c>
      <c r="Y126" s="493">
        <v>0.25</v>
      </c>
      <c r="Z126" s="98">
        <v>0.4</v>
      </c>
      <c r="AA126" s="98">
        <v>0.5</v>
      </c>
      <c r="AB126" s="98">
        <v>0.5</v>
      </c>
      <c r="AC126" s="98">
        <v>0.4</v>
      </c>
      <c r="AD126" s="55">
        <f>0.4+0.15</f>
        <v>0.55000000000000004</v>
      </c>
      <c r="AE126" s="98">
        <f>0.5-0.05</f>
        <v>0.45</v>
      </c>
      <c r="AF126" s="245">
        <v>0.5</v>
      </c>
      <c r="AG126" s="55">
        <f>0.5+0.1+0.05</f>
        <v>0.65</v>
      </c>
      <c r="AH126" s="55">
        <v>0.5</v>
      </c>
      <c r="AI126" s="98">
        <v>0.85</v>
      </c>
      <c r="AJ126" s="55">
        <v>0.8</v>
      </c>
      <c r="AK126" s="464">
        <v>0.8</v>
      </c>
      <c r="AL126" s="72">
        <v>0.75</v>
      </c>
      <c r="AM126" s="72">
        <v>0.7</v>
      </c>
      <c r="AN126" s="72">
        <v>0.7</v>
      </c>
      <c r="AO126" s="72">
        <v>0.7</v>
      </c>
      <c r="AP126" s="72">
        <v>0.7</v>
      </c>
      <c r="AQ126" s="72">
        <v>0.7</v>
      </c>
      <c r="AR126" s="72">
        <v>0.7</v>
      </c>
      <c r="AS126" s="72">
        <v>0.7</v>
      </c>
      <c r="AT126" s="72">
        <v>0.7</v>
      </c>
      <c r="AU126" s="72">
        <v>0.7</v>
      </c>
      <c r="AV126" s="72">
        <v>0.7</v>
      </c>
      <c r="AW126" s="38"/>
      <c r="AX126" s="463">
        <f t="shared" si="236"/>
        <v>6.35</v>
      </c>
      <c r="AY126" s="463"/>
      <c r="AZ126" s="919">
        <f t="shared" si="235"/>
        <v>8.5500000000000007</v>
      </c>
      <c r="BA126" s="31"/>
      <c r="BB126" s="31"/>
      <c r="BC126" s="31"/>
      <c r="BD126" s="31"/>
      <c r="BE126" s="31"/>
      <c r="BF126" s="31"/>
      <c r="BG126" s="31"/>
      <c r="BH126" s="31"/>
      <c r="BI126" s="31"/>
    </row>
    <row r="127" spans="1:61">
      <c r="A127" s="352"/>
      <c r="B127" s="360" t="s">
        <v>3</v>
      </c>
      <c r="C127" s="9" t="s">
        <v>16</v>
      </c>
      <c r="D127" s="24" t="s">
        <v>15</v>
      </c>
      <c r="E127" s="71">
        <v>22</v>
      </c>
      <c r="F127" s="71">
        <v>22</v>
      </c>
      <c r="G127" s="71">
        <v>32</v>
      </c>
      <c r="H127" s="71">
        <v>32</v>
      </c>
      <c r="I127" s="254">
        <v>33.28</v>
      </c>
      <c r="J127" s="263">
        <v>33.6</v>
      </c>
      <c r="K127" s="263">
        <v>33.6</v>
      </c>
      <c r="L127" s="263">
        <v>33.6</v>
      </c>
      <c r="M127" s="263">
        <v>32</v>
      </c>
      <c r="N127" s="263">
        <v>32</v>
      </c>
      <c r="O127" s="344">
        <v>22</v>
      </c>
      <c r="P127" s="344">
        <v>20</v>
      </c>
      <c r="Q127" s="263">
        <v>20</v>
      </c>
      <c r="R127" s="344">
        <v>23</v>
      </c>
      <c r="S127" s="344">
        <v>27</v>
      </c>
      <c r="T127" s="344">
        <v>26</v>
      </c>
      <c r="U127" s="263">
        <v>26</v>
      </c>
      <c r="V127" s="263">
        <v>26</v>
      </c>
      <c r="W127" s="344">
        <v>25</v>
      </c>
      <c r="X127" s="344">
        <v>26</v>
      </c>
      <c r="Y127" s="469">
        <v>25</v>
      </c>
      <c r="Z127" s="344">
        <f>25-0.6</f>
        <v>24.4</v>
      </c>
      <c r="AA127" s="263">
        <v>26</v>
      </c>
      <c r="AB127" s="344">
        <v>23.5</v>
      </c>
      <c r="AC127" s="344">
        <v>22</v>
      </c>
      <c r="AD127" s="344">
        <f>13+0.5</f>
        <v>13.5</v>
      </c>
      <c r="AE127" s="263">
        <v>13</v>
      </c>
      <c r="AF127" s="263">
        <v>12</v>
      </c>
      <c r="AG127" s="263">
        <v>12</v>
      </c>
      <c r="AH127" s="263">
        <f>13</f>
        <v>13</v>
      </c>
      <c r="AI127" s="344">
        <v>13</v>
      </c>
      <c r="AJ127" s="263">
        <v>14</v>
      </c>
      <c r="AK127" s="466">
        <v>14</v>
      </c>
      <c r="AL127" s="245">
        <v>11.5</v>
      </c>
      <c r="AM127" s="245">
        <v>14</v>
      </c>
      <c r="AN127" s="245">
        <v>14</v>
      </c>
      <c r="AO127" s="245">
        <v>14</v>
      </c>
      <c r="AP127" s="245">
        <v>14</v>
      </c>
      <c r="AQ127" s="245">
        <v>14</v>
      </c>
      <c r="AR127" s="245">
        <v>14</v>
      </c>
      <c r="AS127" s="245">
        <v>14</v>
      </c>
      <c r="AT127" s="245">
        <v>14</v>
      </c>
      <c r="AU127" s="245">
        <v>14</v>
      </c>
      <c r="AV127" s="245">
        <v>14</v>
      </c>
      <c r="AW127" s="38"/>
      <c r="AX127" s="463">
        <f t="shared" si="236"/>
        <v>211.4</v>
      </c>
      <c r="AY127" s="463"/>
      <c r="AZ127" s="919">
        <f t="shared" si="235"/>
        <v>165.5</v>
      </c>
      <c r="BA127" s="31"/>
      <c r="BB127" s="31"/>
      <c r="BC127" s="31"/>
      <c r="BD127" s="31"/>
      <c r="BE127" s="31"/>
      <c r="BF127" s="31"/>
      <c r="BG127" s="31"/>
      <c r="BH127" s="31"/>
      <c r="BI127" s="31"/>
    </row>
    <row r="128" spans="1:61">
      <c r="A128" s="352"/>
      <c r="B128" s="359" t="s">
        <v>3</v>
      </c>
      <c r="C128" s="10" t="s">
        <v>17</v>
      </c>
      <c r="D128" s="25" t="s">
        <v>15</v>
      </c>
      <c r="E128" s="72">
        <v>0</v>
      </c>
      <c r="F128" s="72">
        <v>14</v>
      </c>
      <c r="G128" s="72">
        <v>20</v>
      </c>
      <c r="H128" s="72">
        <v>14</v>
      </c>
      <c r="I128" s="255">
        <v>12.48</v>
      </c>
      <c r="J128" s="123">
        <v>12.6</v>
      </c>
      <c r="K128" s="123">
        <v>12.6</v>
      </c>
      <c r="L128" s="123">
        <v>12.6</v>
      </c>
      <c r="M128" s="123">
        <v>12</v>
      </c>
      <c r="N128" s="123">
        <v>12</v>
      </c>
      <c r="O128" s="118">
        <v>11</v>
      </c>
      <c r="P128" s="118">
        <v>10</v>
      </c>
      <c r="Q128" s="123">
        <v>11</v>
      </c>
      <c r="R128" s="118">
        <v>12</v>
      </c>
      <c r="S128" s="118">
        <v>12</v>
      </c>
      <c r="T128" s="118">
        <v>14</v>
      </c>
      <c r="U128" s="118">
        <v>15</v>
      </c>
      <c r="V128" s="123">
        <v>17</v>
      </c>
      <c r="W128" s="118">
        <v>16</v>
      </c>
      <c r="X128" s="118">
        <v>16</v>
      </c>
      <c r="Y128" s="118">
        <v>15</v>
      </c>
      <c r="Z128" s="118">
        <v>15</v>
      </c>
      <c r="AA128" s="123">
        <v>17</v>
      </c>
      <c r="AB128" s="118">
        <v>12.5</v>
      </c>
      <c r="AC128" s="118">
        <v>14</v>
      </c>
      <c r="AD128" s="118">
        <f>23-0.5</f>
        <v>22.5</v>
      </c>
      <c r="AE128" s="123">
        <v>24</v>
      </c>
      <c r="AF128" s="123">
        <v>24</v>
      </c>
      <c r="AG128" s="123">
        <v>24</v>
      </c>
      <c r="AH128" s="123">
        <v>24</v>
      </c>
      <c r="AI128" s="118">
        <v>26</v>
      </c>
      <c r="AJ128" s="123">
        <v>29</v>
      </c>
      <c r="AK128" s="466">
        <v>30</v>
      </c>
      <c r="AL128" s="245">
        <v>25.5</v>
      </c>
      <c r="AM128" s="245">
        <v>30</v>
      </c>
      <c r="AN128" s="245">
        <v>30</v>
      </c>
      <c r="AO128" s="245">
        <v>30</v>
      </c>
      <c r="AP128" s="245">
        <v>30</v>
      </c>
      <c r="AQ128" s="245">
        <v>30</v>
      </c>
      <c r="AR128" s="245">
        <v>30</v>
      </c>
      <c r="AS128" s="245">
        <v>30</v>
      </c>
      <c r="AT128" s="245">
        <v>30</v>
      </c>
      <c r="AU128" s="245">
        <v>30</v>
      </c>
      <c r="AV128" s="245">
        <v>30</v>
      </c>
      <c r="AW128" s="38"/>
      <c r="AX128" s="463">
        <f t="shared" si="236"/>
        <v>247</v>
      </c>
      <c r="AY128" s="463"/>
      <c r="AZ128" s="919">
        <f t="shared" si="235"/>
        <v>355.5</v>
      </c>
      <c r="BA128" s="31"/>
      <c r="BB128" s="31"/>
      <c r="BC128" s="31"/>
      <c r="BD128" s="31"/>
      <c r="BE128" s="31"/>
      <c r="BF128" s="31"/>
      <c r="BG128" s="31"/>
      <c r="BH128" s="31"/>
      <c r="BI128" s="31"/>
    </row>
    <row r="129" spans="1:61">
      <c r="A129" s="352"/>
      <c r="B129" s="360" t="s">
        <v>3</v>
      </c>
      <c r="C129" s="11" t="s">
        <v>18</v>
      </c>
      <c r="D129" s="24" t="s">
        <v>15</v>
      </c>
      <c r="E129" s="71"/>
      <c r="F129" s="71"/>
      <c r="G129" s="71"/>
      <c r="H129" s="71"/>
      <c r="I129" s="71"/>
      <c r="J129" s="71"/>
      <c r="K129" s="71"/>
      <c r="L129" s="71"/>
      <c r="M129" s="71"/>
      <c r="N129" s="71"/>
      <c r="O129" s="71"/>
      <c r="P129" s="71"/>
      <c r="Q129" s="71"/>
      <c r="R129" s="71"/>
      <c r="S129" s="263"/>
      <c r="T129" s="71"/>
      <c r="U129" s="71"/>
      <c r="V129" s="71"/>
      <c r="W129" s="71"/>
      <c r="X129" s="496"/>
      <c r="Y129" s="468"/>
      <c r="Z129" s="71"/>
      <c r="AA129" s="71"/>
      <c r="AB129" s="71"/>
      <c r="AC129" s="71"/>
      <c r="AD129" s="71"/>
      <c r="AE129" s="71"/>
      <c r="AF129" s="71"/>
      <c r="AG129" s="71"/>
      <c r="AH129" s="71"/>
      <c r="AI129" s="71"/>
      <c r="AJ129" s="71"/>
      <c r="AK129" s="468"/>
      <c r="AL129" s="71"/>
      <c r="AM129" s="71"/>
      <c r="AN129" s="71"/>
      <c r="AO129" s="71"/>
      <c r="AP129" s="71"/>
      <c r="AQ129" s="71"/>
      <c r="AR129" s="71"/>
      <c r="AS129" s="71"/>
      <c r="AT129" s="71"/>
      <c r="AU129" s="71"/>
      <c r="AV129" s="843"/>
      <c r="AW129" s="38"/>
      <c r="AX129" s="463">
        <f t="shared" si="236"/>
        <v>0</v>
      </c>
      <c r="AY129" s="463"/>
      <c r="AZ129" s="919">
        <f t="shared" si="235"/>
        <v>0</v>
      </c>
      <c r="BA129" s="31"/>
      <c r="BB129" s="31"/>
      <c r="BC129" s="31"/>
      <c r="BD129" s="31"/>
      <c r="BE129" s="31"/>
      <c r="BF129" s="31"/>
      <c r="BG129" s="31"/>
      <c r="BH129" s="31"/>
      <c r="BI129" s="31"/>
    </row>
    <row r="130" spans="1:61">
      <c r="A130" s="352"/>
      <c r="B130" s="359" t="s">
        <v>3</v>
      </c>
      <c r="C130" s="12" t="s">
        <v>18</v>
      </c>
      <c r="D130" s="23" t="s">
        <v>20</v>
      </c>
      <c r="E130" s="72"/>
      <c r="F130" s="72"/>
      <c r="G130" s="118"/>
      <c r="H130" s="72"/>
      <c r="I130" s="72"/>
      <c r="J130" s="72"/>
      <c r="K130" s="72"/>
      <c r="L130" s="72"/>
      <c r="M130" s="72"/>
      <c r="N130" s="72"/>
      <c r="O130" s="72"/>
      <c r="P130" s="72"/>
      <c r="Q130" s="72"/>
      <c r="R130" s="72"/>
      <c r="S130" s="72"/>
      <c r="T130" s="72"/>
      <c r="U130" s="72"/>
      <c r="V130" s="72"/>
      <c r="W130" s="72"/>
      <c r="X130" s="72">
        <v>0</v>
      </c>
      <c r="Y130" s="464">
        <v>0</v>
      </c>
      <c r="Z130" s="72"/>
      <c r="AA130" s="72"/>
      <c r="AB130" s="72">
        <v>0</v>
      </c>
      <c r="AC130" s="72">
        <v>0</v>
      </c>
      <c r="AD130" s="72">
        <v>0</v>
      </c>
      <c r="AE130" s="72">
        <v>0</v>
      </c>
      <c r="AF130" s="72">
        <v>0</v>
      </c>
      <c r="AG130" s="72"/>
      <c r="AH130" s="72">
        <v>0</v>
      </c>
      <c r="AI130" s="72">
        <v>0</v>
      </c>
      <c r="AJ130" s="72"/>
      <c r="AK130" s="464"/>
      <c r="AL130" s="72"/>
      <c r="AM130" s="72"/>
      <c r="AN130" s="72"/>
      <c r="AO130" s="72"/>
      <c r="AP130" s="72"/>
      <c r="AQ130" s="72"/>
      <c r="AR130" s="72"/>
      <c r="AS130" s="72"/>
      <c r="AT130" s="72"/>
      <c r="AU130" s="72"/>
      <c r="AV130" s="844">
        <v>0</v>
      </c>
      <c r="AW130" s="38"/>
      <c r="AX130" s="463">
        <f t="shared" si="236"/>
        <v>0</v>
      </c>
      <c r="AY130" s="463"/>
      <c r="AZ130" s="919">
        <f t="shared" si="235"/>
        <v>0</v>
      </c>
      <c r="BA130" s="31"/>
      <c r="BB130" s="31"/>
      <c r="BC130" s="31"/>
      <c r="BD130" s="31"/>
      <c r="BE130" s="31"/>
      <c r="BF130" s="31"/>
      <c r="BG130" s="31"/>
      <c r="BH130" s="31"/>
      <c r="BI130" s="31"/>
    </row>
    <row r="131" spans="1:61">
      <c r="A131" s="352"/>
      <c r="B131" s="360" t="s">
        <v>3</v>
      </c>
      <c r="C131" s="13" t="s">
        <v>19</v>
      </c>
      <c r="D131" s="24" t="s">
        <v>15</v>
      </c>
      <c r="E131" s="50"/>
      <c r="F131" s="50"/>
      <c r="G131" s="50"/>
      <c r="H131" s="50"/>
      <c r="I131" s="50"/>
      <c r="J131" s="50"/>
      <c r="K131" s="50"/>
      <c r="L131" s="50"/>
      <c r="M131" s="50"/>
      <c r="N131" s="50"/>
      <c r="O131" s="50"/>
      <c r="P131" s="50"/>
      <c r="Q131" s="50"/>
      <c r="R131" s="50"/>
      <c r="S131" s="50"/>
      <c r="T131" s="50"/>
      <c r="U131" s="50"/>
      <c r="V131" s="50"/>
      <c r="W131" s="50"/>
      <c r="X131" s="50"/>
      <c r="Y131" s="54"/>
      <c r="Z131" s="55"/>
      <c r="AA131" s="55"/>
      <c r="AB131" s="55"/>
      <c r="AC131" s="55"/>
      <c r="AD131" s="55"/>
      <c r="AE131" s="55"/>
      <c r="AF131" s="55"/>
      <c r="AG131" s="55"/>
      <c r="AH131" s="55"/>
      <c r="AI131" s="55"/>
      <c r="AJ131" s="55"/>
      <c r="AK131" s="468"/>
      <c r="AL131" s="71"/>
      <c r="AM131" s="71"/>
      <c r="AN131" s="71"/>
      <c r="AO131" s="71"/>
      <c r="AP131" s="71"/>
      <c r="AQ131" s="71"/>
      <c r="AR131" s="71"/>
      <c r="AS131" s="71"/>
      <c r="AT131" s="71"/>
      <c r="AU131" s="71"/>
      <c r="AV131" s="843"/>
      <c r="AW131" s="38"/>
      <c r="AX131" s="463">
        <f t="shared" si="236"/>
        <v>0</v>
      </c>
      <c r="AY131" s="463"/>
      <c r="AZ131" s="919">
        <f t="shared" si="235"/>
        <v>0</v>
      </c>
      <c r="BA131" s="31"/>
      <c r="BB131" s="31"/>
      <c r="BC131" s="31"/>
      <c r="BD131" s="31"/>
      <c r="BE131" s="31"/>
      <c r="BF131" s="31"/>
      <c r="BG131" s="31"/>
      <c r="BH131" s="31"/>
      <c r="BI131" s="31"/>
    </row>
    <row r="132" spans="1:61">
      <c r="A132" s="352"/>
      <c r="B132" s="357" t="s">
        <v>3</v>
      </c>
      <c r="C132" s="472" t="s">
        <v>19</v>
      </c>
      <c r="D132" s="27" t="s">
        <v>20</v>
      </c>
      <c r="E132" s="50"/>
      <c r="F132" s="50"/>
      <c r="G132" s="50"/>
      <c r="H132" s="50"/>
      <c r="I132" s="50"/>
      <c r="J132" s="50"/>
      <c r="K132" s="50"/>
      <c r="L132" s="50"/>
      <c r="M132" s="50"/>
      <c r="N132" s="50"/>
      <c r="O132" s="50"/>
      <c r="P132" s="50"/>
      <c r="Q132" s="50"/>
      <c r="R132" s="50"/>
      <c r="S132" s="50"/>
      <c r="T132" s="50"/>
      <c r="U132" s="50"/>
      <c r="V132" s="50"/>
      <c r="W132" s="50"/>
      <c r="X132" s="50"/>
      <c r="Y132" s="54"/>
      <c r="Z132" s="55"/>
      <c r="AA132" s="55"/>
      <c r="AB132" s="55"/>
      <c r="AC132" s="55"/>
      <c r="AD132" s="55"/>
      <c r="AE132" s="55"/>
      <c r="AF132" s="55"/>
      <c r="AG132" s="55"/>
      <c r="AH132" s="55"/>
      <c r="AI132" s="55"/>
      <c r="AJ132" s="55"/>
      <c r="AK132" s="464"/>
      <c r="AL132" s="72"/>
      <c r="AM132" s="72"/>
      <c r="AN132" s="72"/>
      <c r="AO132" s="72"/>
      <c r="AP132" s="72"/>
      <c r="AQ132" s="72"/>
      <c r="AR132" s="72"/>
      <c r="AS132" s="72"/>
      <c r="AT132" s="72"/>
      <c r="AU132" s="72"/>
      <c r="AV132" s="844"/>
      <c r="AW132" s="38"/>
      <c r="AX132" s="463">
        <f t="shared" si="236"/>
        <v>0</v>
      </c>
      <c r="AY132" s="463"/>
      <c r="AZ132" s="919">
        <f t="shared" si="235"/>
        <v>0</v>
      </c>
      <c r="BA132" s="31"/>
      <c r="BB132" s="31"/>
      <c r="BC132" s="31"/>
      <c r="BD132" s="31"/>
      <c r="BE132" s="31"/>
      <c r="BF132" s="31"/>
      <c r="BG132" s="31"/>
      <c r="BH132" s="31"/>
      <c r="BI132" s="31"/>
    </row>
    <row r="133" spans="1:61">
      <c r="A133" s="352"/>
      <c r="B133" s="360" t="s">
        <v>3</v>
      </c>
      <c r="C133" s="14" t="s">
        <v>24</v>
      </c>
      <c r="D133" s="24" t="s">
        <v>15</v>
      </c>
      <c r="E133" s="71"/>
      <c r="F133" s="71"/>
      <c r="G133" s="71"/>
      <c r="H133" s="71"/>
      <c r="I133" s="71"/>
      <c r="J133" s="71"/>
      <c r="K133" s="71"/>
      <c r="L133" s="71"/>
      <c r="M133" s="71"/>
      <c r="N133" s="71"/>
      <c r="O133" s="71"/>
      <c r="P133" s="71"/>
      <c r="Q133" s="71"/>
      <c r="R133" s="71"/>
      <c r="S133" s="71"/>
      <c r="T133" s="71"/>
      <c r="U133" s="71"/>
      <c r="V133" s="71"/>
      <c r="W133" s="71"/>
      <c r="X133" s="71"/>
      <c r="Y133" s="468"/>
      <c r="Z133" s="71"/>
      <c r="AA133" s="71"/>
      <c r="AB133" s="71"/>
      <c r="AC133" s="71"/>
      <c r="AD133" s="71"/>
      <c r="AE133" s="71"/>
      <c r="AF133" s="71"/>
      <c r="AG133" s="71"/>
      <c r="AH133" s="71"/>
      <c r="AI133" s="71"/>
      <c r="AJ133" s="71"/>
      <c r="AK133" s="54"/>
      <c r="AL133" s="55"/>
      <c r="AM133" s="55"/>
      <c r="AN133" s="55"/>
      <c r="AO133" s="55"/>
      <c r="AP133" s="55"/>
      <c r="AQ133" s="55"/>
      <c r="AR133" s="55"/>
      <c r="AS133" s="55"/>
      <c r="AT133" s="55"/>
      <c r="AU133" s="55"/>
      <c r="AV133" s="845"/>
      <c r="AW133" s="38"/>
      <c r="AX133" s="463">
        <f t="shared" si="236"/>
        <v>0</v>
      </c>
      <c r="AY133" s="463"/>
      <c r="AZ133" s="919">
        <f t="shared" si="235"/>
        <v>0</v>
      </c>
      <c r="BA133" s="31"/>
      <c r="BB133" s="31"/>
      <c r="BC133" s="31"/>
      <c r="BD133" s="31"/>
      <c r="BE133" s="31"/>
      <c r="BF133" s="31"/>
      <c r="BG133" s="31"/>
      <c r="BH133" s="31"/>
      <c r="BI133" s="31"/>
    </row>
    <row r="134" spans="1:61">
      <c r="A134" s="352"/>
      <c r="B134" s="357" t="s">
        <v>3</v>
      </c>
      <c r="C134" s="353" t="s">
        <v>24</v>
      </c>
      <c r="D134" s="27" t="s">
        <v>20</v>
      </c>
      <c r="E134" s="72"/>
      <c r="F134" s="72"/>
      <c r="G134" s="72"/>
      <c r="H134" s="72"/>
      <c r="I134" s="72"/>
      <c r="J134" s="72"/>
      <c r="K134" s="72"/>
      <c r="L134" s="72"/>
      <c r="M134" s="72"/>
      <c r="N134" s="72"/>
      <c r="O134" s="72"/>
      <c r="P134" s="72"/>
      <c r="Q134" s="72"/>
      <c r="R134" s="72">
        <v>1.8</v>
      </c>
      <c r="S134" s="72">
        <v>0.40000000000000013</v>
      </c>
      <c r="T134" s="72">
        <v>1.8</v>
      </c>
      <c r="U134" s="118">
        <v>2.4</v>
      </c>
      <c r="V134" s="72">
        <v>2.6</v>
      </c>
      <c r="W134" s="72">
        <v>3.6</v>
      </c>
      <c r="X134" s="72">
        <v>3.6</v>
      </c>
      <c r="Y134" s="464"/>
      <c r="Z134" s="72">
        <v>4.2</v>
      </c>
      <c r="AA134" s="118">
        <v>3</v>
      </c>
      <c r="AB134" s="72">
        <v>3</v>
      </c>
      <c r="AC134" s="118">
        <v>2.4</v>
      </c>
      <c r="AD134" s="72">
        <v>3</v>
      </c>
      <c r="AE134" s="72">
        <v>3</v>
      </c>
      <c r="AF134" s="72">
        <v>3</v>
      </c>
      <c r="AG134" s="72">
        <v>3.6</v>
      </c>
      <c r="AH134" s="72">
        <v>3</v>
      </c>
      <c r="AI134" s="72">
        <v>3</v>
      </c>
      <c r="AJ134" s="72">
        <v>2.4</v>
      </c>
      <c r="AK134" s="54">
        <v>3</v>
      </c>
      <c r="AL134" s="55">
        <v>3</v>
      </c>
      <c r="AM134" s="55">
        <v>3</v>
      </c>
      <c r="AN134" s="55">
        <v>3</v>
      </c>
      <c r="AO134" s="55">
        <v>3</v>
      </c>
      <c r="AP134" s="55">
        <v>3</v>
      </c>
      <c r="AQ134" s="55">
        <v>3</v>
      </c>
      <c r="AR134" s="55">
        <v>3</v>
      </c>
      <c r="AS134" s="55">
        <v>3</v>
      </c>
      <c r="AT134" s="55">
        <v>3</v>
      </c>
      <c r="AU134" s="55">
        <v>3</v>
      </c>
      <c r="AV134" s="845">
        <v>3</v>
      </c>
      <c r="AW134" s="38"/>
      <c r="AX134" s="463">
        <f t="shared" si="236"/>
        <v>33.6</v>
      </c>
      <c r="AY134" s="463"/>
      <c r="AZ134" s="919">
        <f t="shared" si="235"/>
        <v>36</v>
      </c>
      <c r="BA134" s="31"/>
      <c r="BB134" s="31"/>
      <c r="BC134" s="31"/>
      <c r="BD134" s="31"/>
      <c r="BE134" s="31"/>
      <c r="BF134" s="31"/>
      <c r="BG134" s="31"/>
      <c r="BH134" s="31"/>
      <c r="BI134" s="31"/>
    </row>
    <row r="135" spans="1:61">
      <c r="A135" s="352"/>
      <c r="B135" s="359" t="s">
        <v>3</v>
      </c>
      <c r="C135" s="15" t="s">
        <v>24</v>
      </c>
      <c r="D135" s="23" t="s">
        <v>23</v>
      </c>
      <c r="E135" s="55"/>
      <c r="F135" s="55"/>
      <c r="G135" s="55"/>
      <c r="H135" s="55"/>
      <c r="I135" s="55"/>
      <c r="J135" s="55"/>
      <c r="K135" s="55"/>
      <c r="L135" s="55"/>
      <c r="M135" s="55"/>
      <c r="N135" s="55"/>
      <c r="O135" s="55"/>
      <c r="P135" s="55"/>
      <c r="Q135" s="55"/>
      <c r="R135" s="55"/>
      <c r="S135" s="55"/>
      <c r="T135" s="55"/>
      <c r="U135" s="98"/>
      <c r="V135" s="55"/>
      <c r="W135" s="55">
        <v>0.6</v>
      </c>
      <c r="X135" s="55">
        <v>0.6</v>
      </c>
      <c r="Y135" s="54"/>
      <c r="Z135" s="55">
        <v>0.8</v>
      </c>
      <c r="AA135" s="98">
        <v>1.2</v>
      </c>
      <c r="AB135" s="55">
        <v>1.2</v>
      </c>
      <c r="AC135" s="98">
        <v>1.2</v>
      </c>
      <c r="AD135" s="55">
        <v>1.2</v>
      </c>
      <c r="AE135" s="55">
        <v>1.2</v>
      </c>
      <c r="AF135" s="55">
        <v>1.2</v>
      </c>
      <c r="AG135" s="55">
        <v>1.2</v>
      </c>
      <c r="AH135" s="55">
        <v>1.2</v>
      </c>
      <c r="AI135" s="55">
        <v>1.2</v>
      </c>
      <c r="AJ135" s="55">
        <v>1.8</v>
      </c>
      <c r="AK135" s="468">
        <v>1.2</v>
      </c>
      <c r="AL135" s="71">
        <v>1.2</v>
      </c>
      <c r="AM135" s="71">
        <v>1.2</v>
      </c>
      <c r="AN135" s="71">
        <v>1.2</v>
      </c>
      <c r="AO135" s="71">
        <v>1.2</v>
      </c>
      <c r="AP135" s="71">
        <v>1.2</v>
      </c>
      <c r="AQ135" s="71">
        <v>1.2</v>
      </c>
      <c r="AR135" s="71">
        <v>1.2</v>
      </c>
      <c r="AS135" s="71">
        <v>1.2</v>
      </c>
      <c r="AT135" s="71">
        <v>1.2</v>
      </c>
      <c r="AU135" s="71">
        <v>1.2</v>
      </c>
      <c r="AV135" s="843">
        <v>1.2</v>
      </c>
      <c r="AW135" s="38"/>
      <c r="AX135" s="463">
        <f t="shared" si="236"/>
        <v>13.399999999999999</v>
      </c>
      <c r="AY135" s="463"/>
      <c r="AZ135" s="919">
        <f t="shared" si="235"/>
        <v>14.399999999999997</v>
      </c>
      <c r="BA135" s="31"/>
      <c r="BB135" s="31"/>
      <c r="BC135" s="31"/>
      <c r="BD135" s="31"/>
      <c r="BE135" s="31"/>
      <c r="BF135" s="31"/>
      <c r="BG135" s="31"/>
      <c r="BH135" s="31"/>
      <c r="BI135" s="31"/>
    </row>
    <row r="136" spans="1:61">
      <c r="A136" s="352"/>
      <c r="B136" s="357" t="s">
        <v>3</v>
      </c>
      <c r="C136" s="16" t="s">
        <v>25</v>
      </c>
      <c r="D136" s="26" t="s">
        <v>15</v>
      </c>
      <c r="E136" s="50"/>
      <c r="F136" s="50"/>
      <c r="G136" s="50"/>
      <c r="H136" s="50"/>
      <c r="I136" s="50"/>
      <c r="J136" s="50"/>
      <c r="K136" s="50"/>
      <c r="L136" s="50"/>
      <c r="M136" s="50"/>
      <c r="N136" s="50"/>
      <c r="O136" s="50"/>
      <c r="P136" s="50"/>
      <c r="Q136" s="50"/>
      <c r="R136" s="50"/>
      <c r="S136" s="50"/>
      <c r="T136" s="50"/>
      <c r="U136" s="50"/>
      <c r="V136" s="50"/>
      <c r="W136" s="50"/>
      <c r="X136" s="50"/>
      <c r="Y136" s="54"/>
      <c r="Z136" s="55"/>
      <c r="AA136" s="55"/>
      <c r="AB136" s="55"/>
      <c r="AC136" s="55"/>
      <c r="AD136" s="55"/>
      <c r="AE136" s="55"/>
      <c r="AF136" s="55"/>
      <c r="AG136" s="55"/>
      <c r="AH136" s="55"/>
      <c r="AI136" s="55"/>
      <c r="AJ136" s="55"/>
      <c r="AK136" s="54"/>
      <c r="AL136" s="55"/>
      <c r="AM136" s="55"/>
      <c r="AN136" s="55"/>
      <c r="AO136" s="55"/>
      <c r="AP136" s="55"/>
      <c r="AQ136" s="55"/>
      <c r="AR136" s="55"/>
      <c r="AS136" s="55"/>
      <c r="AT136" s="55"/>
      <c r="AU136" s="55"/>
      <c r="AV136" s="845"/>
      <c r="AW136" s="38"/>
      <c r="AX136" s="463">
        <f t="shared" si="236"/>
        <v>0</v>
      </c>
      <c r="AY136" s="463"/>
      <c r="AZ136" s="919">
        <f t="shared" si="235"/>
        <v>0</v>
      </c>
      <c r="BA136" s="31"/>
      <c r="BB136" s="31"/>
      <c r="BC136" s="31"/>
      <c r="BD136" s="31"/>
      <c r="BE136" s="31"/>
      <c r="BF136" s="31"/>
      <c r="BG136" s="31"/>
      <c r="BH136" s="31"/>
      <c r="BI136" s="31"/>
    </row>
    <row r="137" spans="1:61">
      <c r="A137" s="352"/>
      <c r="B137" s="357" t="s">
        <v>3</v>
      </c>
      <c r="C137" s="16" t="s">
        <v>25</v>
      </c>
      <c r="D137" s="27" t="s">
        <v>20</v>
      </c>
      <c r="E137" s="50"/>
      <c r="F137" s="50"/>
      <c r="G137" s="50"/>
      <c r="H137" s="50"/>
      <c r="I137" s="50"/>
      <c r="J137" s="50"/>
      <c r="K137" s="50"/>
      <c r="L137" s="50"/>
      <c r="M137" s="50">
        <f>0.22+0.83</f>
        <v>1.05</v>
      </c>
      <c r="N137" s="50">
        <v>0.82000000000000206</v>
      </c>
      <c r="O137" s="120">
        <v>6.43</v>
      </c>
      <c r="P137" s="120">
        <v>7.3999999999999995</v>
      </c>
      <c r="Q137" s="50">
        <v>5.15</v>
      </c>
      <c r="R137" s="120">
        <v>11.98</v>
      </c>
      <c r="S137" s="120">
        <v>11.4</v>
      </c>
      <c r="T137" s="120">
        <v>13.8</v>
      </c>
      <c r="U137" s="50">
        <v>13.8</v>
      </c>
      <c r="V137" s="120">
        <v>17.5</v>
      </c>
      <c r="W137" s="120">
        <f>3.4-2</f>
        <v>1.4</v>
      </c>
      <c r="X137" s="120">
        <f>0.4+3-1.2+0.6+0.7-0.6</f>
        <v>2.9</v>
      </c>
      <c r="Y137" s="493">
        <v>2.8</v>
      </c>
      <c r="Z137" s="98">
        <f>4.52+0.6+0.6</f>
        <v>5.7199999999999989</v>
      </c>
      <c r="AA137" s="98">
        <f>9.17+1.5</f>
        <v>10.67</v>
      </c>
      <c r="AB137" s="98">
        <v>6.42</v>
      </c>
      <c r="AC137" s="98">
        <v>7.52</v>
      </c>
      <c r="AD137" s="245">
        <f>6.42+1.2+1.5+1.5+0.81+0.11+0.5</f>
        <v>12.040000000000001</v>
      </c>
      <c r="AE137" s="98">
        <f>10.88+0.72</f>
        <v>11.600000000000001</v>
      </c>
      <c r="AF137" s="98">
        <f>10.28-3-1</f>
        <v>6.2799999999999994</v>
      </c>
      <c r="AG137" s="55">
        <f>9.4+0.6-1</f>
        <v>9</v>
      </c>
      <c r="AH137" s="98">
        <f>7.8+0.4+0.8</f>
        <v>9</v>
      </c>
      <c r="AI137" s="98">
        <f>8.4+1.7</f>
        <v>10.1</v>
      </c>
      <c r="AJ137" s="98">
        <f>9.68-0.6</f>
        <v>9.08</v>
      </c>
      <c r="AK137" s="54">
        <v>9.84</v>
      </c>
      <c r="AL137" s="55">
        <v>9.84</v>
      </c>
      <c r="AM137" s="55">
        <v>9.84</v>
      </c>
      <c r="AN137" s="55">
        <v>9.84</v>
      </c>
      <c r="AO137" s="55">
        <v>9.84</v>
      </c>
      <c r="AP137" s="55">
        <v>10.38</v>
      </c>
      <c r="AQ137" s="55">
        <v>10.38</v>
      </c>
      <c r="AR137" s="55">
        <v>10.38</v>
      </c>
      <c r="AS137" s="55">
        <v>10.38</v>
      </c>
      <c r="AT137" s="55">
        <v>10.38</v>
      </c>
      <c r="AU137" s="55">
        <v>10.38</v>
      </c>
      <c r="AV137" s="845">
        <v>10.38</v>
      </c>
      <c r="AW137" s="38"/>
      <c r="AX137" s="463">
        <f t="shared" si="236"/>
        <v>100.22999999999999</v>
      </c>
      <c r="AY137" s="463"/>
      <c r="AZ137" s="919">
        <f t="shared" si="235"/>
        <v>121.85999999999999</v>
      </c>
      <c r="BA137" s="31"/>
      <c r="BB137" s="31"/>
      <c r="BC137" s="31"/>
      <c r="BD137" s="31"/>
      <c r="BE137" s="31"/>
      <c r="BF137" s="31"/>
      <c r="BG137" s="31"/>
      <c r="BH137" s="31"/>
      <c r="BI137" s="31"/>
    </row>
    <row r="138" spans="1:61">
      <c r="A138" s="352"/>
      <c r="B138" s="358" t="s">
        <v>3</v>
      </c>
      <c r="C138" s="477" t="s">
        <v>229</v>
      </c>
      <c r="D138" s="122" t="s">
        <v>20</v>
      </c>
      <c r="E138" s="50"/>
      <c r="F138" s="50"/>
      <c r="G138" s="50"/>
      <c r="H138" s="50"/>
      <c r="I138" s="50"/>
      <c r="J138" s="50"/>
      <c r="K138" s="50"/>
      <c r="L138" s="50"/>
      <c r="M138" s="50"/>
      <c r="N138" s="50"/>
      <c r="O138" s="120"/>
      <c r="P138" s="120"/>
      <c r="Q138" s="50"/>
      <c r="R138" s="120"/>
      <c r="S138" s="120"/>
      <c r="T138" s="120"/>
      <c r="U138" s="50"/>
      <c r="V138" s="50"/>
      <c r="W138" s="50"/>
      <c r="X138" s="50"/>
      <c r="Y138" s="54"/>
      <c r="Z138" s="55"/>
      <c r="AA138" s="55"/>
      <c r="AB138" s="55"/>
      <c r="AC138" s="55"/>
      <c r="AD138" s="55"/>
      <c r="AE138" s="55"/>
      <c r="AF138" s="55"/>
      <c r="AG138" s="55"/>
      <c r="AH138" s="55"/>
      <c r="AI138" s="55"/>
      <c r="AJ138" s="55"/>
      <c r="AK138" s="464"/>
      <c r="AL138" s="72"/>
      <c r="AM138" s="72"/>
      <c r="AN138" s="72"/>
      <c r="AO138" s="72"/>
      <c r="AP138" s="72"/>
      <c r="AQ138" s="72"/>
      <c r="AR138" s="72"/>
      <c r="AS138" s="72"/>
      <c r="AT138" s="72"/>
      <c r="AU138" s="72"/>
      <c r="AV138" s="844"/>
      <c r="AW138" s="38"/>
      <c r="AX138" s="463">
        <f t="shared" si="236"/>
        <v>0</v>
      </c>
      <c r="AY138" s="463"/>
      <c r="AZ138" s="919">
        <f t="shared" si="235"/>
        <v>0</v>
      </c>
      <c r="BA138" s="31"/>
      <c r="BB138" s="31"/>
      <c r="BC138" s="31"/>
      <c r="BD138" s="31"/>
      <c r="BE138" s="31"/>
      <c r="BF138" s="31"/>
      <c r="BG138" s="31"/>
      <c r="BH138" s="31"/>
      <c r="BI138" s="31"/>
    </row>
    <row r="139" spans="1:61">
      <c r="A139" s="352"/>
      <c r="B139" s="360" t="s">
        <v>3</v>
      </c>
      <c r="C139" s="17" t="s">
        <v>29</v>
      </c>
      <c r="D139" s="24" t="s">
        <v>15</v>
      </c>
      <c r="E139" s="71"/>
      <c r="F139" s="71"/>
      <c r="G139" s="71"/>
      <c r="H139" s="71"/>
      <c r="I139" s="71"/>
      <c r="J139" s="71"/>
      <c r="K139" s="71"/>
      <c r="L139" s="71"/>
      <c r="M139" s="71"/>
      <c r="N139" s="71"/>
      <c r="O139" s="71"/>
      <c r="P139" s="71"/>
      <c r="Q139" s="71"/>
      <c r="R139" s="71"/>
      <c r="S139" s="71"/>
      <c r="T139" s="71"/>
      <c r="U139" s="71"/>
      <c r="V139" s="71"/>
      <c r="W139" s="71"/>
      <c r="X139" s="71"/>
      <c r="Y139" s="468"/>
      <c r="Z139" s="71"/>
      <c r="AA139" s="71"/>
      <c r="AB139" s="71"/>
      <c r="AC139" s="71"/>
      <c r="AD139" s="71"/>
      <c r="AE139" s="71"/>
      <c r="AF139" s="71"/>
      <c r="AG139" s="71"/>
      <c r="AH139" s="71"/>
      <c r="AI139" s="71"/>
      <c r="AJ139" s="71"/>
      <c r="AK139" s="54"/>
      <c r="AL139" s="55"/>
      <c r="AM139" s="55"/>
      <c r="AN139" s="55"/>
      <c r="AO139" s="55"/>
      <c r="AP139" s="55"/>
      <c r="AQ139" s="55"/>
      <c r="AR139" s="55"/>
      <c r="AS139" s="55"/>
      <c r="AT139" s="55"/>
      <c r="AU139" s="55"/>
      <c r="AV139" s="845"/>
      <c r="AW139" s="38"/>
      <c r="AX139" s="463">
        <f t="shared" si="236"/>
        <v>0</v>
      </c>
      <c r="AY139" s="463"/>
      <c r="AZ139" s="919">
        <f t="shared" si="235"/>
        <v>0</v>
      </c>
      <c r="BA139" s="31"/>
      <c r="BB139" s="31"/>
      <c r="BC139" s="31"/>
      <c r="BD139" s="31"/>
      <c r="BE139" s="31"/>
      <c r="BF139" s="31"/>
      <c r="BG139" s="31"/>
      <c r="BH139" s="31"/>
      <c r="BI139" s="31"/>
    </row>
    <row r="140" spans="1:61">
      <c r="A140" s="352"/>
      <c r="B140" s="359" t="s">
        <v>3</v>
      </c>
      <c r="C140" s="18" t="s">
        <v>29</v>
      </c>
      <c r="D140" s="23" t="s">
        <v>20</v>
      </c>
      <c r="E140" s="72"/>
      <c r="F140" s="72"/>
      <c r="G140" s="72"/>
      <c r="H140" s="72"/>
      <c r="I140" s="72"/>
      <c r="J140" s="253">
        <v>1.2</v>
      </c>
      <c r="K140" s="123">
        <v>3.4</v>
      </c>
      <c r="L140" s="123">
        <v>3.1</v>
      </c>
      <c r="M140" s="123">
        <v>1.2</v>
      </c>
      <c r="N140" s="72"/>
      <c r="O140" s="72"/>
      <c r="P140" s="72"/>
      <c r="Q140" s="72"/>
      <c r="R140" s="72"/>
      <c r="S140" s="72"/>
      <c r="T140" s="72"/>
      <c r="U140" s="72"/>
      <c r="V140" s="118">
        <v>1.2</v>
      </c>
      <c r="W140" s="72"/>
      <c r="X140" s="72"/>
      <c r="Y140" s="464"/>
      <c r="Z140" s="72"/>
      <c r="AA140" s="72"/>
      <c r="AB140" s="72"/>
      <c r="AC140" s="72"/>
      <c r="AD140" s="72"/>
      <c r="AE140" s="708">
        <v>0.6</v>
      </c>
      <c r="AF140" s="708">
        <f>1.2+0.65</f>
        <v>1.85</v>
      </c>
      <c r="AG140" s="72">
        <v>0</v>
      </c>
      <c r="AH140" s="72">
        <v>0</v>
      </c>
      <c r="AI140" s="72">
        <v>0</v>
      </c>
      <c r="AJ140" s="72"/>
      <c r="AK140" s="54"/>
      <c r="AL140" s="55"/>
      <c r="AM140" s="55"/>
      <c r="AN140" s="55"/>
      <c r="AO140" s="55"/>
      <c r="AP140" s="55"/>
      <c r="AQ140" s="55"/>
      <c r="AR140" s="55"/>
      <c r="AS140" s="55"/>
      <c r="AT140" s="55"/>
      <c r="AU140" s="55"/>
      <c r="AV140" s="845">
        <v>0</v>
      </c>
      <c r="AW140" s="38"/>
      <c r="AX140" s="463">
        <f t="shared" si="236"/>
        <v>2.4500000000000002</v>
      </c>
      <c r="AY140" s="463"/>
      <c r="AZ140" s="919">
        <f t="shared" si="235"/>
        <v>0</v>
      </c>
      <c r="BA140" s="31"/>
      <c r="BB140" s="31"/>
      <c r="BC140" s="31"/>
      <c r="BD140" s="31"/>
      <c r="BE140" s="31"/>
      <c r="BF140" s="31"/>
      <c r="BG140" s="31"/>
      <c r="BH140" s="31"/>
      <c r="BI140" s="31"/>
    </row>
    <row r="141" spans="1:61">
      <c r="A141" s="352"/>
      <c r="B141" s="360" t="s">
        <v>3</v>
      </c>
      <c r="C141" s="17" t="s">
        <v>232</v>
      </c>
      <c r="D141" s="24" t="s">
        <v>15</v>
      </c>
      <c r="E141" s="50"/>
      <c r="F141" s="50"/>
      <c r="G141" s="50"/>
      <c r="H141" s="50"/>
      <c r="I141" s="50"/>
      <c r="J141" s="50"/>
      <c r="K141" s="50"/>
      <c r="L141" s="50"/>
      <c r="M141" s="50"/>
      <c r="N141" s="50"/>
      <c r="O141" s="50"/>
      <c r="P141" s="50"/>
      <c r="Q141" s="50"/>
      <c r="R141" s="50"/>
      <c r="S141" s="50"/>
      <c r="T141" s="50"/>
      <c r="U141" s="50"/>
      <c r="V141" s="50"/>
      <c r="W141" s="50"/>
      <c r="X141" s="50"/>
      <c r="Y141" s="54"/>
      <c r="Z141" s="55"/>
      <c r="AA141" s="55"/>
      <c r="AB141" s="55"/>
      <c r="AC141" s="55"/>
      <c r="AD141" s="55"/>
      <c r="AE141" s="55"/>
      <c r="AF141" s="55"/>
      <c r="AG141" s="55"/>
      <c r="AH141" s="55"/>
      <c r="AI141" s="55"/>
      <c r="AJ141" s="55"/>
      <c r="AK141" s="468"/>
      <c r="AL141" s="71"/>
      <c r="AM141" s="71"/>
      <c r="AN141" s="71"/>
      <c r="AO141" s="71"/>
      <c r="AP141" s="71"/>
      <c r="AQ141" s="71"/>
      <c r="AR141" s="71"/>
      <c r="AS141" s="71"/>
      <c r="AT141" s="71"/>
      <c r="AU141" s="71"/>
      <c r="AV141" s="843"/>
      <c r="AW141" s="38"/>
      <c r="AX141" s="463">
        <f t="shared" si="236"/>
        <v>0</v>
      </c>
      <c r="AY141" s="463"/>
      <c r="AZ141" s="919">
        <f t="shared" si="235"/>
        <v>0</v>
      </c>
      <c r="BA141" s="31"/>
      <c r="BB141" s="31"/>
      <c r="BC141" s="31"/>
      <c r="BD141" s="31"/>
      <c r="BE141" s="31"/>
      <c r="BF141" s="31"/>
      <c r="BG141" s="31"/>
      <c r="BH141" s="31"/>
      <c r="BI141" s="31"/>
    </row>
    <row r="142" spans="1:61">
      <c r="A142" s="352"/>
      <c r="B142" s="359" t="s">
        <v>3</v>
      </c>
      <c r="C142" s="18" t="s">
        <v>232</v>
      </c>
      <c r="D142" s="23" t="s">
        <v>20</v>
      </c>
      <c r="E142" s="50"/>
      <c r="F142" s="50"/>
      <c r="G142" s="50"/>
      <c r="H142" s="50"/>
      <c r="I142" s="50"/>
      <c r="J142" s="50"/>
      <c r="K142" s="50"/>
      <c r="L142" s="50"/>
      <c r="M142" s="50"/>
      <c r="N142" s="50"/>
      <c r="O142" s="50"/>
      <c r="P142" s="50">
        <v>0.65</v>
      </c>
      <c r="Q142" s="50"/>
      <c r="R142" s="50"/>
      <c r="S142" s="50"/>
      <c r="T142" s="50"/>
      <c r="U142" s="50"/>
      <c r="V142" s="50"/>
      <c r="W142" s="50"/>
      <c r="X142" s="50"/>
      <c r="Y142" s="54">
        <v>0</v>
      </c>
      <c r="Z142" s="55">
        <v>0</v>
      </c>
      <c r="AA142" s="55"/>
      <c r="AB142" s="55"/>
      <c r="AC142" s="55"/>
      <c r="AD142" s="55"/>
      <c r="AE142" s="55"/>
      <c r="AF142" s="55"/>
      <c r="AG142" s="55"/>
      <c r="AH142" s="55"/>
      <c r="AI142" s="55"/>
      <c r="AJ142" s="55">
        <v>0</v>
      </c>
      <c r="AK142" s="464"/>
      <c r="AL142" s="72">
        <v>7.9</v>
      </c>
      <c r="AM142" s="72">
        <v>8.75</v>
      </c>
      <c r="AN142" s="72">
        <v>8.4700000000000006</v>
      </c>
      <c r="AO142" s="72">
        <v>8.75</v>
      </c>
      <c r="AP142" s="72">
        <v>8.4700000000000006</v>
      </c>
      <c r="AQ142" s="72">
        <v>8.75</v>
      </c>
      <c r="AR142" s="72">
        <v>8.75</v>
      </c>
      <c r="AS142" s="72">
        <v>8.4700000000000006</v>
      </c>
      <c r="AT142" s="72">
        <v>8.75</v>
      </c>
      <c r="AU142" s="72">
        <v>8.4700000000000006</v>
      </c>
      <c r="AV142" s="72">
        <v>8.4700000000000006</v>
      </c>
      <c r="AW142" s="38"/>
      <c r="AX142" s="463">
        <f t="shared" si="236"/>
        <v>0</v>
      </c>
      <c r="AY142" s="463"/>
      <c r="AZ142" s="919">
        <f t="shared" si="235"/>
        <v>94</v>
      </c>
      <c r="BA142" s="31"/>
      <c r="BB142" s="31"/>
      <c r="BC142" s="31"/>
      <c r="BD142" s="31"/>
      <c r="BE142" s="31"/>
      <c r="BF142" s="31"/>
      <c r="BG142" s="31"/>
      <c r="BH142" s="31"/>
      <c r="BI142" s="31"/>
    </row>
    <row r="143" spans="1:61">
      <c r="A143" s="352"/>
      <c r="B143" s="357" t="s">
        <v>3</v>
      </c>
      <c r="C143" s="19" t="s">
        <v>30</v>
      </c>
      <c r="D143" s="26" t="s">
        <v>15</v>
      </c>
      <c r="E143" s="71"/>
      <c r="F143" s="71"/>
      <c r="G143" s="71"/>
      <c r="H143" s="71"/>
      <c r="I143" s="71"/>
      <c r="J143" s="71"/>
      <c r="K143" s="71"/>
      <c r="L143" s="71"/>
      <c r="M143" s="71"/>
      <c r="N143" s="71"/>
      <c r="O143" s="71"/>
      <c r="P143" s="71"/>
      <c r="Q143" s="71"/>
      <c r="R143" s="71"/>
      <c r="S143" s="71"/>
      <c r="T143" s="71"/>
      <c r="U143" s="71"/>
      <c r="V143" s="71"/>
      <c r="W143" s="71"/>
      <c r="X143" s="71"/>
      <c r="Y143" s="468"/>
      <c r="Z143" s="71"/>
      <c r="AA143" s="71"/>
      <c r="AB143" s="71"/>
      <c r="AC143" s="71"/>
      <c r="AD143" s="71"/>
      <c r="AE143" s="71"/>
      <c r="AF143" s="71"/>
      <c r="AG143" s="71"/>
      <c r="AH143" s="71"/>
      <c r="AI143" s="71"/>
      <c r="AJ143" s="71"/>
      <c r="AK143" s="54"/>
      <c r="AL143" s="55"/>
      <c r="AM143" s="55"/>
      <c r="AN143" s="55"/>
      <c r="AO143" s="55"/>
      <c r="AP143" s="55"/>
      <c r="AQ143" s="55"/>
      <c r="AR143" s="55"/>
      <c r="AS143" s="55"/>
      <c r="AT143" s="55"/>
      <c r="AU143" s="55"/>
      <c r="AV143" s="845"/>
      <c r="AW143" s="38"/>
      <c r="AX143" s="463">
        <f t="shared" si="236"/>
        <v>0</v>
      </c>
      <c r="AY143" s="463"/>
      <c r="AZ143" s="919">
        <f t="shared" si="235"/>
        <v>0</v>
      </c>
      <c r="BA143" s="31"/>
      <c r="BB143" s="31"/>
      <c r="BC143" s="31"/>
      <c r="BD143" s="31"/>
      <c r="BE143" s="31"/>
      <c r="BF143" s="31"/>
      <c r="BG143" s="31"/>
      <c r="BH143" s="31"/>
      <c r="BI143" s="31"/>
    </row>
    <row r="144" spans="1:61">
      <c r="A144" s="352"/>
      <c r="B144" s="357" t="s">
        <v>3</v>
      </c>
      <c r="C144" s="19" t="s">
        <v>30</v>
      </c>
      <c r="D144" s="22" t="s">
        <v>22</v>
      </c>
      <c r="E144" s="55"/>
      <c r="F144" s="55"/>
      <c r="G144" s="55"/>
      <c r="H144" s="98"/>
      <c r="I144" s="98"/>
      <c r="J144" s="98"/>
      <c r="K144" s="98"/>
      <c r="L144" s="55"/>
      <c r="M144" s="55"/>
      <c r="N144" s="55"/>
      <c r="O144" s="55"/>
      <c r="P144" s="55"/>
      <c r="Q144" s="55"/>
      <c r="R144" s="55"/>
      <c r="S144" s="55"/>
      <c r="T144" s="55"/>
      <c r="U144" s="55"/>
      <c r="V144" s="55"/>
      <c r="W144" s="55"/>
      <c r="X144" s="55"/>
      <c r="Y144" s="54"/>
      <c r="Z144" s="55"/>
      <c r="AA144" s="55"/>
      <c r="AB144" s="55"/>
      <c r="AC144" s="55"/>
      <c r="AD144" s="55"/>
      <c r="AE144" s="55"/>
      <c r="AF144" s="55"/>
      <c r="AG144" s="55"/>
      <c r="AH144" s="55"/>
      <c r="AI144" s="55"/>
      <c r="AJ144" s="55"/>
      <c r="AK144" s="54"/>
      <c r="AL144" s="55"/>
      <c r="AM144" s="55"/>
      <c r="AN144" s="55"/>
      <c r="AO144" s="55"/>
      <c r="AP144" s="55"/>
      <c r="AQ144" s="55"/>
      <c r="AR144" s="55"/>
      <c r="AS144" s="55"/>
      <c r="AT144" s="55"/>
      <c r="AU144" s="55"/>
      <c r="AV144" s="845"/>
      <c r="AW144" s="38"/>
      <c r="AX144" s="463">
        <f t="shared" si="236"/>
        <v>0</v>
      </c>
      <c r="AY144" s="463"/>
      <c r="AZ144" s="919">
        <f t="shared" si="235"/>
        <v>0</v>
      </c>
      <c r="BA144" s="31"/>
      <c r="BB144" s="31"/>
      <c r="BC144" s="31"/>
      <c r="BD144" s="31"/>
      <c r="BE144" s="31"/>
      <c r="BF144" s="31"/>
      <c r="BG144" s="31"/>
      <c r="BH144" s="31"/>
      <c r="BI144" s="31"/>
    </row>
    <row r="145" spans="1:61">
      <c r="A145" s="352"/>
      <c r="B145" s="359" t="s">
        <v>3</v>
      </c>
      <c r="C145" s="19" t="s">
        <v>30</v>
      </c>
      <c r="D145" s="27" t="s">
        <v>20</v>
      </c>
      <c r="E145" s="72"/>
      <c r="F145" s="72"/>
      <c r="G145" s="72"/>
      <c r="H145" s="72"/>
      <c r="I145" s="118">
        <v>3.9</v>
      </c>
      <c r="J145" s="255">
        <v>4.2</v>
      </c>
      <c r="K145" s="72"/>
      <c r="L145" s="72"/>
      <c r="M145" s="72"/>
      <c r="N145" s="72"/>
      <c r="O145" s="72"/>
      <c r="P145" s="72"/>
      <c r="Q145" s="72"/>
      <c r="R145" s="72"/>
      <c r="S145" s="72"/>
      <c r="T145" s="72"/>
      <c r="U145" s="72"/>
      <c r="V145" s="72"/>
      <c r="W145" s="72"/>
      <c r="X145" s="72"/>
      <c r="Y145" s="464"/>
      <c r="Z145" s="72"/>
      <c r="AA145" s="72"/>
      <c r="AB145" s="72"/>
      <c r="AC145" s="72"/>
      <c r="AD145" s="72"/>
      <c r="AE145" s="72"/>
      <c r="AF145" s="72"/>
      <c r="AG145" s="72"/>
      <c r="AH145" s="72"/>
      <c r="AI145" s="72"/>
      <c r="AJ145" s="72"/>
      <c r="AK145" s="54"/>
      <c r="AL145" s="55"/>
      <c r="AM145" s="55"/>
      <c r="AN145" s="55"/>
      <c r="AO145" s="55"/>
      <c r="AP145" s="55"/>
      <c r="AQ145" s="55"/>
      <c r="AR145" s="55"/>
      <c r="AS145" s="55"/>
      <c r="AT145" s="55"/>
      <c r="AU145" s="55"/>
      <c r="AV145" s="845"/>
      <c r="AW145" s="38"/>
      <c r="AX145" s="463">
        <f t="shared" si="236"/>
        <v>0</v>
      </c>
      <c r="AY145" s="463"/>
      <c r="AZ145" s="919">
        <f t="shared" si="235"/>
        <v>0</v>
      </c>
      <c r="BA145" s="31"/>
      <c r="BB145" s="31"/>
      <c r="BC145" s="31"/>
      <c r="BD145" s="31"/>
      <c r="BE145" s="31"/>
      <c r="BF145" s="31"/>
      <c r="BG145" s="31"/>
      <c r="BH145" s="31"/>
      <c r="BI145" s="31"/>
    </row>
    <row r="146" spans="1:61">
      <c r="A146" s="352"/>
      <c r="B146" s="359" t="s">
        <v>3</v>
      </c>
      <c r="C146" s="121" t="s">
        <v>53</v>
      </c>
      <c r="D146" s="122" t="s">
        <v>20</v>
      </c>
      <c r="E146" s="55"/>
      <c r="F146" s="55"/>
      <c r="G146" s="55"/>
      <c r="H146" s="55"/>
      <c r="I146" s="55"/>
      <c r="J146" s="55"/>
      <c r="K146" s="55"/>
      <c r="L146" s="55"/>
      <c r="M146" s="55"/>
      <c r="N146" s="55"/>
      <c r="O146" s="55"/>
      <c r="P146" s="55"/>
      <c r="Q146" s="55"/>
      <c r="R146" s="55"/>
      <c r="S146" s="55"/>
      <c r="T146" s="55"/>
      <c r="U146" s="55"/>
      <c r="V146" s="55"/>
      <c r="W146" s="55"/>
      <c r="X146" s="55"/>
      <c r="Y146" s="54"/>
      <c r="Z146" s="55"/>
      <c r="AA146" s="55"/>
      <c r="AB146" s="55"/>
      <c r="AC146" s="55"/>
      <c r="AD146" s="55"/>
      <c r="AE146" s="55"/>
      <c r="AF146" s="55"/>
      <c r="AG146" s="55"/>
      <c r="AH146" s="55"/>
      <c r="AI146" s="55"/>
      <c r="AJ146" s="55"/>
      <c r="AK146" s="465"/>
      <c r="AL146" s="100"/>
      <c r="AM146" s="100"/>
      <c r="AN146" s="100"/>
      <c r="AO146" s="100"/>
      <c r="AP146" s="100"/>
      <c r="AQ146" s="100"/>
      <c r="AR146" s="100"/>
      <c r="AS146" s="100"/>
      <c r="AT146" s="100"/>
      <c r="AU146" s="100"/>
      <c r="AV146" s="846"/>
      <c r="AW146" s="38"/>
      <c r="AX146" s="463">
        <f t="shared" si="236"/>
        <v>0</v>
      </c>
      <c r="AY146" s="463"/>
      <c r="AZ146" s="919">
        <f t="shared" si="235"/>
        <v>0</v>
      </c>
      <c r="BA146" s="31"/>
      <c r="BB146" s="31"/>
      <c r="BC146" s="31"/>
      <c r="BD146" s="31"/>
      <c r="BE146" s="31"/>
      <c r="BF146" s="31"/>
      <c r="BG146" s="31"/>
      <c r="BH146" s="31"/>
      <c r="BI146" s="31"/>
    </row>
    <row r="147" spans="1:61" ht="15" thickBot="1">
      <c r="A147" s="352"/>
      <c r="B147" s="357" t="s">
        <v>3</v>
      </c>
      <c r="C147" s="17" t="s">
        <v>150</v>
      </c>
      <c r="D147" s="544" t="s">
        <v>20</v>
      </c>
      <c r="E147" s="55"/>
      <c r="F147" s="55"/>
      <c r="G147" s="55"/>
      <c r="H147" s="55"/>
      <c r="I147" s="55"/>
      <c r="J147" s="55"/>
      <c r="K147" s="100"/>
      <c r="L147" s="100"/>
      <c r="M147" s="268"/>
      <c r="N147" s="268"/>
      <c r="O147" s="268"/>
      <c r="P147" s="268"/>
      <c r="Q147" s="344"/>
      <c r="R147" s="344"/>
      <c r="S147" s="344"/>
      <c r="T147" s="344"/>
      <c r="U147" s="344"/>
      <c r="V147" s="344"/>
      <c r="W147" s="344"/>
      <c r="X147" s="344"/>
      <c r="Y147" s="469"/>
      <c r="Z147" s="344"/>
      <c r="AA147" s="344"/>
      <c r="AB147" s="344"/>
      <c r="AC147" s="344"/>
      <c r="AD147" s="344"/>
      <c r="AE147" s="344"/>
      <c r="AF147" s="344"/>
      <c r="AG147" s="344"/>
      <c r="AH147" s="344"/>
      <c r="AI147" s="344"/>
      <c r="AJ147" s="344"/>
      <c r="AK147" s="469"/>
      <c r="AL147" s="344"/>
      <c r="AM147" s="344"/>
      <c r="AN147" s="344"/>
      <c r="AO147" s="344"/>
      <c r="AP147" s="344"/>
      <c r="AQ147" s="344"/>
      <c r="AR147" s="344"/>
      <c r="AS147" s="344"/>
      <c r="AT147" s="344"/>
      <c r="AU147" s="344"/>
      <c r="AV147" s="847"/>
      <c r="AW147" s="38"/>
      <c r="AX147" s="463">
        <f t="shared" si="236"/>
        <v>0</v>
      </c>
      <c r="AY147" s="463"/>
      <c r="AZ147" s="919">
        <f t="shared" si="235"/>
        <v>0</v>
      </c>
      <c r="BA147" s="31"/>
    </row>
    <row r="148" spans="1:61">
      <c r="A148" s="352"/>
      <c r="B148" s="49" t="s">
        <v>29</v>
      </c>
      <c r="C148" s="545" t="s">
        <v>21</v>
      </c>
      <c r="D148" s="540" t="s">
        <v>29</v>
      </c>
      <c r="E148" s="55"/>
      <c r="F148" s="55"/>
      <c r="G148" s="55"/>
      <c r="H148" s="55"/>
      <c r="I148" s="55"/>
      <c r="J148" s="55"/>
      <c r="K148" s="71"/>
      <c r="L148" s="71"/>
      <c r="M148" s="344"/>
      <c r="N148" s="344"/>
      <c r="O148" s="259">
        <f>O60</f>
        <v>0.68</v>
      </c>
      <c r="P148" s="263">
        <v>0.7</v>
      </c>
      <c r="Q148" s="263">
        <v>0</v>
      </c>
      <c r="R148" s="263"/>
      <c r="S148" s="263">
        <v>0</v>
      </c>
      <c r="T148" s="263"/>
      <c r="U148" s="263"/>
      <c r="V148" s="344">
        <v>0</v>
      </c>
      <c r="W148" s="263"/>
      <c r="X148" s="344">
        <v>0.68</v>
      </c>
      <c r="Y148" s="548"/>
      <c r="Z148" s="549"/>
      <c r="AA148" s="549"/>
      <c r="AB148" s="549"/>
      <c r="AC148" s="549"/>
      <c r="AD148" s="549"/>
      <c r="AE148" s="549"/>
      <c r="AF148" s="549"/>
      <c r="AG148" s="549"/>
      <c r="AH148" s="549"/>
      <c r="AI148" s="549"/>
      <c r="AJ148" s="53"/>
      <c r="AK148" s="559"/>
      <c r="AL148" s="53"/>
      <c r="AM148" s="53"/>
      <c r="AN148" s="53"/>
      <c r="AO148" s="53"/>
      <c r="AP148" s="53">
        <v>0</v>
      </c>
      <c r="AQ148" s="53">
        <v>0</v>
      </c>
      <c r="AR148" s="53">
        <v>0</v>
      </c>
      <c r="AS148" s="53">
        <v>0</v>
      </c>
      <c r="AT148" s="53">
        <v>0</v>
      </c>
      <c r="AU148" s="53">
        <v>0</v>
      </c>
      <c r="AV148" s="848">
        <v>0</v>
      </c>
      <c r="AW148" s="38"/>
      <c r="AX148" s="463">
        <f t="shared" si="236"/>
        <v>0</v>
      </c>
      <c r="AY148" s="463"/>
      <c r="AZ148" s="919">
        <f t="shared" si="235"/>
        <v>0</v>
      </c>
      <c r="BA148" s="31"/>
    </row>
    <row r="149" spans="1:61">
      <c r="A149" s="352"/>
      <c r="B149" s="36" t="s">
        <v>29</v>
      </c>
      <c r="C149" s="16" t="s">
        <v>25</v>
      </c>
      <c r="D149" s="541" t="s">
        <v>29</v>
      </c>
      <c r="E149" s="55"/>
      <c r="F149" s="55"/>
      <c r="G149" s="55"/>
      <c r="H149" s="55"/>
      <c r="I149" s="55"/>
      <c r="J149" s="55"/>
      <c r="K149" s="71"/>
      <c r="L149" s="71"/>
      <c r="M149" s="344"/>
      <c r="N149" s="344"/>
      <c r="O149" s="259"/>
      <c r="P149" s="123"/>
      <c r="Q149" s="123">
        <v>0.6</v>
      </c>
      <c r="R149" s="123">
        <v>0</v>
      </c>
      <c r="S149" s="123">
        <v>0.6</v>
      </c>
      <c r="T149" s="123">
        <v>0.6</v>
      </c>
      <c r="U149" s="118">
        <v>1.2</v>
      </c>
      <c r="V149" s="123"/>
      <c r="W149" s="123">
        <v>0.6</v>
      </c>
      <c r="X149" s="118">
        <f>0.6+0.6</f>
        <v>1.2</v>
      </c>
      <c r="Y149" s="466">
        <v>0</v>
      </c>
      <c r="Z149" s="98">
        <f>1.2+1.2</f>
        <v>2.4</v>
      </c>
      <c r="AA149" s="245">
        <v>1.2</v>
      </c>
      <c r="AB149" s="245">
        <v>1.2</v>
      </c>
      <c r="AC149" s="245">
        <v>1.2</v>
      </c>
      <c r="AD149" s="245"/>
      <c r="AE149" s="245">
        <v>0</v>
      </c>
      <c r="AF149" s="245">
        <v>0.6</v>
      </c>
      <c r="AG149" s="245">
        <f>1.2-0.6</f>
        <v>0.6</v>
      </c>
      <c r="AH149" s="245">
        <v>1.8</v>
      </c>
      <c r="AI149" s="245">
        <v>1.2</v>
      </c>
      <c r="AJ149" s="98">
        <f>1.2+0.6</f>
        <v>1.7999999999999998</v>
      </c>
      <c r="AK149" s="466">
        <v>0</v>
      </c>
      <c r="AL149" s="245">
        <v>0</v>
      </c>
      <c r="AM149" s="245">
        <v>0</v>
      </c>
      <c r="AN149" s="245">
        <v>0</v>
      </c>
      <c r="AO149" s="245">
        <v>0</v>
      </c>
      <c r="AP149" s="245">
        <v>0</v>
      </c>
      <c r="AQ149" s="245">
        <v>0</v>
      </c>
      <c r="AR149" s="245">
        <v>0</v>
      </c>
      <c r="AS149" s="245">
        <v>0</v>
      </c>
      <c r="AT149" s="245">
        <v>0</v>
      </c>
      <c r="AU149" s="245">
        <v>0</v>
      </c>
      <c r="AV149" s="849">
        <v>0</v>
      </c>
      <c r="AW149" s="31"/>
      <c r="AX149" s="463">
        <f t="shared" si="236"/>
        <v>12</v>
      </c>
      <c r="AY149" s="463"/>
      <c r="AZ149" s="919">
        <f t="shared" si="235"/>
        <v>0</v>
      </c>
      <c r="BA149" s="31"/>
    </row>
    <row r="150" spans="1:61" ht="15" thickBot="1">
      <c r="B150" s="546" t="s">
        <v>29</v>
      </c>
      <c r="C150" s="547" t="s">
        <v>232</v>
      </c>
      <c r="D150" s="539" t="s">
        <v>29</v>
      </c>
      <c r="Y150" s="550">
        <f>Y60-Y148-Y149</f>
        <v>0</v>
      </c>
      <c r="Z150" s="551">
        <f>Z60-Z148-Z149</f>
        <v>0</v>
      </c>
      <c r="AA150" s="551">
        <f>AA60-AA148-AA149</f>
        <v>0</v>
      </c>
      <c r="AB150" s="551"/>
      <c r="AC150" s="551"/>
      <c r="AD150" s="551"/>
      <c r="AE150" s="551"/>
      <c r="AF150" s="551"/>
      <c r="AG150" s="551"/>
      <c r="AH150" s="551"/>
      <c r="AI150" s="551"/>
      <c r="AJ150" s="551"/>
      <c r="AK150" s="550"/>
      <c r="AL150" s="551"/>
      <c r="AM150" s="551"/>
      <c r="AN150" s="551"/>
      <c r="AO150" s="551"/>
      <c r="AP150" s="551"/>
      <c r="AQ150" s="551"/>
      <c r="AR150" s="551"/>
      <c r="AS150" s="551"/>
      <c r="AT150" s="551"/>
      <c r="AU150" s="551"/>
      <c r="AV150" s="850"/>
      <c r="AW150" s="31"/>
      <c r="AX150" s="463">
        <f t="shared" si="236"/>
        <v>0</v>
      </c>
      <c r="AY150" s="463"/>
      <c r="AZ150" s="919">
        <f t="shared" si="235"/>
        <v>0</v>
      </c>
    </row>
    <row r="151" spans="1:61">
      <c r="A151" s="352"/>
      <c r="B151" s="36" t="s">
        <v>0</v>
      </c>
      <c r="C151" s="7" t="s">
        <v>21</v>
      </c>
      <c r="D151" s="26" t="s">
        <v>15</v>
      </c>
      <c r="E151" s="71">
        <v>2.7899999999999983</v>
      </c>
      <c r="F151" s="71">
        <v>0.69</v>
      </c>
      <c r="G151" s="234">
        <f t="shared" ref="G151:X151" si="237">G61-G152-G153-G154-G155-G156-G157-G159-G160-G161-G162-G163-G164-G165-G166</f>
        <v>1.9996938300000009</v>
      </c>
      <c r="H151" s="119">
        <f t="shared" si="237"/>
        <v>4.1000000000000005</v>
      </c>
      <c r="I151" s="119">
        <f t="shared" si="237"/>
        <v>5.8</v>
      </c>
      <c r="J151" s="119">
        <f t="shared" si="237"/>
        <v>1.7999999999999989</v>
      </c>
      <c r="K151" s="119">
        <f t="shared" si="237"/>
        <v>1.6500000000000021</v>
      </c>
      <c r="L151" s="119">
        <f t="shared" si="237"/>
        <v>2.7800000000000002</v>
      </c>
      <c r="M151" s="119">
        <f t="shared" si="237"/>
        <v>0</v>
      </c>
      <c r="N151" s="119">
        <f t="shared" si="237"/>
        <v>2.0000000000000036</v>
      </c>
      <c r="O151" s="119">
        <f t="shared" si="237"/>
        <v>0</v>
      </c>
      <c r="P151" s="119">
        <f t="shared" si="237"/>
        <v>-2.2204460492503131E-16</v>
      </c>
      <c r="Q151" s="119">
        <f t="shared" si="237"/>
        <v>0.59999999999999898</v>
      </c>
      <c r="R151" s="119">
        <f t="shared" si="237"/>
        <v>0</v>
      </c>
      <c r="S151" s="119">
        <f t="shared" si="237"/>
        <v>4.4408920985006262E-16</v>
      </c>
      <c r="T151" s="119">
        <f t="shared" si="237"/>
        <v>-5.5511151231257827E-17</v>
      </c>
      <c r="U151" s="119">
        <f t="shared" si="237"/>
        <v>0</v>
      </c>
      <c r="V151" s="119">
        <f t="shared" si="237"/>
        <v>0</v>
      </c>
      <c r="W151" s="119">
        <f t="shared" si="237"/>
        <v>0</v>
      </c>
      <c r="X151" s="119">
        <f t="shared" si="237"/>
        <v>0</v>
      </c>
      <c r="Y151" s="460">
        <f t="shared" ref="Y151:AV151" si="238">Y61-Y152-Y153-Y154-Y155-Y156-Y157-Y159-Y160-Y161-Y162-Y163-Y164-Y165-Y166-Y158</f>
        <v>0</v>
      </c>
      <c r="Z151" s="455">
        <f t="shared" si="238"/>
        <v>0</v>
      </c>
      <c r="AA151" s="455">
        <f t="shared" si="238"/>
        <v>0</v>
      </c>
      <c r="AB151" s="455">
        <f t="shared" si="238"/>
        <v>0</v>
      </c>
      <c r="AC151" s="455">
        <f t="shared" si="238"/>
        <v>0</v>
      </c>
      <c r="AD151" s="455">
        <f t="shared" si="238"/>
        <v>0</v>
      </c>
      <c r="AE151" s="455">
        <f t="shared" si="238"/>
        <v>0</v>
      </c>
      <c r="AF151" s="455">
        <f t="shared" si="238"/>
        <v>0</v>
      </c>
      <c r="AG151" s="455">
        <f t="shared" si="238"/>
        <v>0</v>
      </c>
      <c r="AH151" s="455">
        <f t="shared" si="238"/>
        <v>0</v>
      </c>
      <c r="AI151" s="455">
        <f t="shared" si="238"/>
        <v>0</v>
      </c>
      <c r="AJ151" s="455">
        <f t="shared" si="238"/>
        <v>0</v>
      </c>
      <c r="AK151" s="460">
        <f t="shared" si="238"/>
        <v>0</v>
      </c>
      <c r="AL151" s="455">
        <f t="shared" si="238"/>
        <v>0</v>
      </c>
      <c r="AM151" s="455">
        <f t="shared" si="238"/>
        <v>0</v>
      </c>
      <c r="AN151" s="455">
        <f t="shared" si="238"/>
        <v>0</v>
      </c>
      <c r="AO151" s="455">
        <f t="shared" si="238"/>
        <v>0</v>
      </c>
      <c r="AP151" s="455">
        <f t="shared" si="238"/>
        <v>0</v>
      </c>
      <c r="AQ151" s="455">
        <f t="shared" si="238"/>
        <v>0</v>
      </c>
      <c r="AR151" s="455">
        <f t="shared" si="238"/>
        <v>0</v>
      </c>
      <c r="AS151" s="455">
        <f t="shared" si="238"/>
        <v>0</v>
      </c>
      <c r="AT151" s="455">
        <f t="shared" si="238"/>
        <v>0</v>
      </c>
      <c r="AU151" s="455">
        <f t="shared" si="238"/>
        <v>0</v>
      </c>
      <c r="AV151" s="851">
        <f t="shared" si="238"/>
        <v>0</v>
      </c>
      <c r="AW151" s="31"/>
      <c r="AX151" s="463">
        <f t="shared" si="236"/>
        <v>0</v>
      </c>
      <c r="AY151" s="463"/>
      <c r="AZ151" s="919">
        <f t="shared" si="235"/>
        <v>0</v>
      </c>
      <c r="BA151" s="31"/>
    </row>
    <row r="152" spans="1:61">
      <c r="A152" s="352"/>
      <c r="B152" s="36" t="s">
        <v>0</v>
      </c>
      <c r="C152" s="7" t="s">
        <v>21</v>
      </c>
      <c r="D152" s="27" t="s">
        <v>20</v>
      </c>
      <c r="E152" s="55">
        <v>7.9961773800000016</v>
      </c>
      <c r="F152" s="55">
        <v>11.397207600000003</v>
      </c>
      <c r="G152" s="55">
        <v>12.68643397</v>
      </c>
      <c r="H152" s="98">
        <v>12</v>
      </c>
      <c r="I152" s="98">
        <v>12.8</v>
      </c>
      <c r="J152" s="98">
        <v>12</v>
      </c>
      <c r="K152" s="265">
        <v>12.499999999999998</v>
      </c>
      <c r="L152" s="265">
        <v>13</v>
      </c>
      <c r="M152" s="245">
        <v>5.59</v>
      </c>
      <c r="N152" s="245">
        <v>1.7200000000000002</v>
      </c>
      <c r="O152" s="245"/>
      <c r="P152" s="245">
        <v>0</v>
      </c>
      <c r="Q152" s="245">
        <v>2.35</v>
      </c>
      <c r="R152" s="245"/>
      <c r="S152" s="98">
        <f>6.6-4</f>
        <v>2.5999999999999996</v>
      </c>
      <c r="T152" s="245">
        <v>0.9</v>
      </c>
      <c r="U152" s="245"/>
      <c r="V152" s="245"/>
      <c r="W152" s="245"/>
      <c r="X152" s="245">
        <v>0.6</v>
      </c>
      <c r="Y152" s="493">
        <v>10.93</v>
      </c>
      <c r="Z152" s="98">
        <v>15</v>
      </c>
      <c r="AA152" s="245"/>
      <c r="AB152" s="245">
        <v>2</v>
      </c>
      <c r="AC152" s="245"/>
      <c r="AD152" s="245"/>
      <c r="AE152" s="245"/>
      <c r="AF152" s="245"/>
      <c r="AG152" s="245"/>
      <c r="AH152" s="245">
        <v>1</v>
      </c>
      <c r="AI152" s="98">
        <v>4</v>
      </c>
      <c r="AJ152" s="245"/>
      <c r="AK152" s="466"/>
      <c r="AL152" s="245"/>
      <c r="AM152" s="245"/>
      <c r="AN152" s="245"/>
      <c r="AO152" s="245"/>
      <c r="AP152" s="245"/>
      <c r="AQ152" s="245"/>
      <c r="AR152" s="245"/>
      <c r="AS152" s="245"/>
      <c r="AT152" s="245"/>
      <c r="AU152" s="245"/>
      <c r="AV152" s="849"/>
      <c r="AW152" s="38"/>
      <c r="AX152" s="463">
        <f t="shared" si="236"/>
        <v>32.93</v>
      </c>
      <c r="AY152" s="463"/>
      <c r="AZ152" s="919">
        <f t="shared" si="235"/>
        <v>0</v>
      </c>
      <c r="BA152" s="31"/>
    </row>
    <row r="153" spans="1:61">
      <c r="A153" s="352"/>
      <c r="B153" s="102" t="s">
        <v>0</v>
      </c>
      <c r="C153" s="8" t="s">
        <v>21</v>
      </c>
      <c r="D153" s="23" t="s">
        <v>23</v>
      </c>
      <c r="E153" s="72">
        <v>1.3822620000000001E-2</v>
      </c>
      <c r="F153" s="72">
        <v>1.388581E-2</v>
      </c>
      <c r="G153" s="72">
        <v>1.3872200000000001E-2</v>
      </c>
      <c r="H153" s="72">
        <v>0.2</v>
      </c>
      <c r="I153" s="72">
        <v>0.2</v>
      </c>
      <c r="J153" s="72">
        <v>0</v>
      </c>
      <c r="K153" s="123">
        <v>0.85</v>
      </c>
      <c r="L153" s="123">
        <v>0.42</v>
      </c>
      <c r="M153" s="123">
        <v>0</v>
      </c>
      <c r="N153" s="123">
        <v>0</v>
      </c>
      <c r="O153" s="123">
        <v>0</v>
      </c>
      <c r="P153" s="123">
        <v>0</v>
      </c>
      <c r="Q153" s="123"/>
      <c r="R153" s="123"/>
      <c r="S153" s="123"/>
      <c r="T153" s="123">
        <v>0.3</v>
      </c>
      <c r="U153" s="123"/>
      <c r="V153" s="123"/>
      <c r="W153" s="72"/>
      <c r="X153" s="72"/>
      <c r="Y153" s="464"/>
      <c r="Z153" s="72"/>
      <c r="AA153" s="72"/>
      <c r="AB153" s="72"/>
      <c r="AC153" s="72"/>
      <c r="AD153" s="72"/>
      <c r="AE153" s="72"/>
      <c r="AF153" s="72"/>
      <c r="AG153" s="72"/>
      <c r="AH153" s="72"/>
      <c r="AI153" s="72"/>
      <c r="AJ153" s="72"/>
      <c r="AK153" s="464"/>
      <c r="AL153" s="72"/>
      <c r="AM153" s="72"/>
      <c r="AN153" s="72"/>
      <c r="AO153" s="72"/>
      <c r="AP153" s="72"/>
      <c r="AQ153" s="72"/>
      <c r="AR153" s="72"/>
      <c r="AS153" s="72"/>
      <c r="AT153" s="72"/>
      <c r="AU153" s="72"/>
      <c r="AV153" s="844"/>
      <c r="AW153" s="38"/>
      <c r="AX153" s="463">
        <f t="shared" si="236"/>
        <v>0</v>
      </c>
      <c r="AY153" s="463"/>
      <c r="AZ153" s="919">
        <f t="shared" si="235"/>
        <v>0</v>
      </c>
      <c r="BA153" s="31"/>
    </row>
    <row r="154" spans="1:61">
      <c r="A154" s="352"/>
      <c r="B154" s="36" t="s">
        <v>0</v>
      </c>
      <c r="C154" s="20" t="s">
        <v>18</v>
      </c>
      <c r="D154" s="26" t="s">
        <v>15</v>
      </c>
      <c r="E154" s="50"/>
      <c r="F154" s="50"/>
      <c r="G154" s="50"/>
      <c r="H154" s="50"/>
      <c r="I154" s="50"/>
      <c r="J154" s="50"/>
      <c r="K154" s="50"/>
      <c r="L154" s="50"/>
      <c r="M154" s="50"/>
      <c r="N154" s="50"/>
      <c r="O154" s="50"/>
      <c r="P154" s="50"/>
      <c r="Q154" s="50"/>
      <c r="R154" s="50"/>
      <c r="S154" s="50"/>
      <c r="T154" s="50"/>
      <c r="U154" s="50"/>
      <c r="V154" s="50"/>
      <c r="W154" s="50"/>
      <c r="X154" s="50"/>
      <c r="Y154" s="54"/>
      <c r="Z154" s="55"/>
      <c r="AA154" s="55"/>
      <c r="AB154" s="55"/>
      <c r="AC154" s="55"/>
      <c r="AD154" s="55"/>
      <c r="AE154" s="55"/>
      <c r="AF154" s="55"/>
      <c r="AG154" s="55"/>
      <c r="AH154" s="55"/>
      <c r="AI154" s="55"/>
      <c r="AJ154" s="55"/>
      <c r="AK154" s="468"/>
      <c r="AL154" s="71"/>
      <c r="AM154" s="71"/>
      <c r="AN154" s="71"/>
      <c r="AO154" s="71"/>
      <c r="AP154" s="71"/>
      <c r="AQ154" s="71"/>
      <c r="AR154" s="71"/>
      <c r="AS154" s="71"/>
      <c r="AT154" s="71"/>
      <c r="AU154" s="71"/>
      <c r="AV154" s="843"/>
      <c r="AW154" s="38"/>
      <c r="AX154" s="463">
        <f t="shared" si="236"/>
        <v>0</v>
      </c>
      <c r="AY154" s="463"/>
      <c r="AZ154" s="919">
        <f t="shared" si="235"/>
        <v>0</v>
      </c>
      <c r="BA154" s="31"/>
    </row>
    <row r="155" spans="1:61">
      <c r="A155" s="352"/>
      <c r="B155" s="36" t="s">
        <v>0</v>
      </c>
      <c r="C155" s="20" t="s">
        <v>18</v>
      </c>
      <c r="D155" s="27" t="s">
        <v>20</v>
      </c>
      <c r="E155" s="50"/>
      <c r="F155" s="50"/>
      <c r="G155" s="50"/>
      <c r="H155" s="50"/>
      <c r="I155" s="50"/>
      <c r="J155" s="50"/>
      <c r="K155" s="50"/>
      <c r="L155" s="50"/>
      <c r="M155" s="50"/>
      <c r="N155" s="50"/>
      <c r="O155" s="50"/>
      <c r="P155" s="50"/>
      <c r="Q155" s="50"/>
      <c r="R155" s="50"/>
      <c r="S155" s="50"/>
      <c r="T155" s="50"/>
      <c r="U155" s="50"/>
      <c r="V155" s="50"/>
      <c r="W155" s="50"/>
      <c r="X155" s="50"/>
      <c r="Y155" s="54"/>
      <c r="Z155" s="55"/>
      <c r="AA155" s="55"/>
      <c r="AB155" s="55"/>
      <c r="AC155" s="55"/>
      <c r="AD155" s="55"/>
      <c r="AE155" s="55"/>
      <c r="AF155" s="55"/>
      <c r="AG155" s="55"/>
      <c r="AH155" s="55"/>
      <c r="AI155" s="55"/>
      <c r="AJ155" s="55"/>
      <c r="AK155" s="464"/>
      <c r="AL155" s="72"/>
      <c r="AM155" s="72"/>
      <c r="AN155" s="72"/>
      <c r="AO155" s="72"/>
      <c r="AP155" s="72"/>
      <c r="AQ155" s="72"/>
      <c r="AR155" s="72"/>
      <c r="AS155" s="72"/>
      <c r="AT155" s="72"/>
      <c r="AU155" s="72"/>
      <c r="AV155" s="844"/>
      <c r="AW155" s="38"/>
      <c r="AX155" s="463">
        <f t="shared" si="236"/>
        <v>0</v>
      </c>
      <c r="AY155" s="463"/>
      <c r="AZ155" s="919">
        <f t="shared" si="235"/>
        <v>0</v>
      </c>
      <c r="BA155" s="31"/>
    </row>
    <row r="156" spans="1:61">
      <c r="A156" s="352"/>
      <c r="B156" s="101" t="s">
        <v>0</v>
      </c>
      <c r="C156" s="14" t="s">
        <v>24</v>
      </c>
      <c r="D156" s="24" t="s">
        <v>15</v>
      </c>
      <c r="E156" s="71"/>
      <c r="F156" s="71"/>
      <c r="G156" s="71"/>
      <c r="H156" s="71"/>
      <c r="I156" s="71"/>
      <c r="J156" s="71"/>
      <c r="K156" s="71"/>
      <c r="L156" s="71"/>
      <c r="M156" s="71"/>
      <c r="N156" s="71"/>
      <c r="O156" s="71"/>
      <c r="P156" s="71"/>
      <c r="Q156" s="71"/>
      <c r="R156" s="71"/>
      <c r="S156" s="71"/>
      <c r="T156" s="71"/>
      <c r="U156" s="71"/>
      <c r="V156" s="71"/>
      <c r="W156" s="71"/>
      <c r="X156" s="525"/>
      <c r="Y156" s="468"/>
      <c r="Z156" s="71"/>
      <c r="AA156" s="71"/>
      <c r="AB156" s="71"/>
      <c r="AC156" s="71"/>
      <c r="AD156" s="71"/>
      <c r="AE156" s="71"/>
      <c r="AF156" s="71"/>
      <c r="AG156" s="71"/>
      <c r="AH156" s="71"/>
      <c r="AI156" s="71"/>
      <c r="AJ156" s="71"/>
      <c r="AK156" s="468"/>
      <c r="AL156" s="71"/>
      <c r="AM156" s="71"/>
      <c r="AN156" s="71"/>
      <c r="AO156" s="71"/>
      <c r="AP156" s="71"/>
      <c r="AQ156" s="71"/>
      <c r="AR156" s="71"/>
      <c r="AS156" s="71"/>
      <c r="AT156" s="71"/>
      <c r="AU156" s="71"/>
      <c r="AV156" s="843"/>
      <c r="AW156" s="38"/>
      <c r="AX156" s="463">
        <f t="shared" si="236"/>
        <v>0</v>
      </c>
      <c r="AY156" s="463"/>
      <c r="AZ156" s="919">
        <f t="shared" si="235"/>
        <v>0</v>
      </c>
      <c r="BA156" s="31"/>
    </row>
    <row r="157" spans="1:61">
      <c r="A157" s="352"/>
      <c r="B157" s="36" t="s">
        <v>0</v>
      </c>
      <c r="C157" s="353" t="s">
        <v>24</v>
      </c>
      <c r="D157" s="27" t="s">
        <v>20</v>
      </c>
      <c r="E157" s="72">
        <v>1.2</v>
      </c>
      <c r="F157" s="72">
        <v>1.2</v>
      </c>
      <c r="G157" s="123">
        <v>0.6</v>
      </c>
      <c r="H157" s="123">
        <v>1.8</v>
      </c>
      <c r="I157" s="249">
        <v>2.4</v>
      </c>
      <c r="J157" s="123">
        <v>1.8</v>
      </c>
      <c r="K157" s="123">
        <v>2.4</v>
      </c>
      <c r="L157" s="123">
        <v>2.4</v>
      </c>
      <c r="M157" s="123">
        <v>4.33</v>
      </c>
      <c r="N157" s="123">
        <v>4.2</v>
      </c>
      <c r="O157" s="118">
        <v>3</v>
      </c>
      <c r="P157" s="118">
        <v>1.8</v>
      </c>
      <c r="Q157" s="123">
        <v>1.8</v>
      </c>
      <c r="R157" s="123"/>
      <c r="S157" s="123">
        <v>1.4</v>
      </c>
      <c r="T157" s="123"/>
      <c r="U157" s="123"/>
      <c r="V157" s="123"/>
      <c r="W157" s="123"/>
      <c r="X157" s="526"/>
      <c r="Y157" s="466">
        <v>3.6</v>
      </c>
      <c r="Z157" s="245"/>
      <c r="AA157" s="245"/>
      <c r="AB157" s="245"/>
      <c r="AC157" s="245"/>
      <c r="AD157" s="245"/>
      <c r="AE157" s="245"/>
      <c r="AF157" s="245"/>
      <c r="AG157" s="245"/>
      <c r="AH157" s="245"/>
      <c r="AI157" s="245"/>
      <c r="AJ157" s="245"/>
      <c r="AK157" s="466"/>
      <c r="AL157" s="245"/>
      <c r="AM157" s="245"/>
      <c r="AN157" s="245"/>
      <c r="AO157" s="245"/>
      <c r="AP157" s="245"/>
      <c r="AQ157" s="245"/>
      <c r="AR157" s="245"/>
      <c r="AS157" s="245"/>
      <c r="AT157" s="245"/>
      <c r="AU157" s="245"/>
      <c r="AV157" s="849"/>
      <c r="AW157" s="38"/>
      <c r="AX157" s="463">
        <f t="shared" si="236"/>
        <v>3.6</v>
      </c>
      <c r="AY157" s="463"/>
      <c r="AZ157" s="919">
        <f t="shared" si="235"/>
        <v>0</v>
      </c>
      <c r="BA157" s="31"/>
    </row>
    <row r="158" spans="1:61">
      <c r="A158" s="352"/>
      <c r="B158" s="102" t="s">
        <v>0</v>
      </c>
      <c r="C158" s="15" t="s">
        <v>24</v>
      </c>
      <c r="D158" s="23" t="s">
        <v>23</v>
      </c>
      <c r="E158" s="55"/>
      <c r="F158" s="55"/>
      <c r="G158" s="245"/>
      <c r="H158" s="245"/>
      <c r="I158" s="265"/>
      <c r="J158" s="245"/>
      <c r="K158" s="245"/>
      <c r="L158" s="245"/>
      <c r="M158" s="245"/>
      <c r="N158" s="245"/>
      <c r="O158" s="98"/>
      <c r="P158" s="98"/>
      <c r="Q158" s="245"/>
      <c r="R158" s="245"/>
      <c r="S158" s="245"/>
      <c r="T158" s="245"/>
      <c r="U158" s="245"/>
      <c r="V158" s="245"/>
      <c r="W158" s="245"/>
      <c r="X158" s="527"/>
      <c r="Y158" s="467">
        <v>0.8</v>
      </c>
      <c r="Z158" s="123"/>
      <c r="AA158" s="123"/>
      <c r="AB158" s="123"/>
      <c r="AC158" s="123"/>
      <c r="AD158" s="123"/>
      <c r="AE158" s="123"/>
      <c r="AF158" s="123"/>
      <c r="AG158" s="123"/>
      <c r="AH158" s="123"/>
      <c r="AI158" s="123"/>
      <c r="AJ158" s="123"/>
      <c r="AK158" s="467"/>
      <c r="AL158" s="123"/>
      <c r="AM158" s="123"/>
      <c r="AN158" s="123"/>
      <c r="AO158" s="123"/>
      <c r="AP158" s="123"/>
      <c r="AQ158" s="123"/>
      <c r="AR158" s="123"/>
      <c r="AS158" s="123"/>
      <c r="AT158" s="123"/>
      <c r="AU158" s="123"/>
      <c r="AV158" s="852"/>
      <c r="AW158" s="38"/>
      <c r="AX158" s="463">
        <f t="shared" si="236"/>
        <v>0.8</v>
      </c>
      <c r="AY158" s="463"/>
      <c r="AZ158" s="919">
        <f t="shared" si="235"/>
        <v>0</v>
      </c>
      <c r="BA158" s="31"/>
    </row>
    <row r="159" spans="1:61">
      <c r="A159" s="352"/>
      <c r="B159" s="36" t="s">
        <v>0</v>
      </c>
      <c r="C159" s="16" t="s">
        <v>25</v>
      </c>
      <c r="D159" s="26" t="s">
        <v>15</v>
      </c>
      <c r="E159" s="50">
        <v>0</v>
      </c>
      <c r="F159" s="50">
        <v>0.7</v>
      </c>
      <c r="G159" s="50">
        <v>0.7</v>
      </c>
      <c r="H159" s="50">
        <v>0.7</v>
      </c>
      <c r="I159" s="50">
        <v>0</v>
      </c>
      <c r="J159" s="50">
        <v>0</v>
      </c>
      <c r="K159" s="50">
        <v>0</v>
      </c>
      <c r="L159" s="50">
        <v>0.7</v>
      </c>
      <c r="M159" s="50">
        <v>0</v>
      </c>
      <c r="N159" s="50">
        <v>0</v>
      </c>
      <c r="O159" s="120">
        <v>0</v>
      </c>
      <c r="P159" s="50">
        <v>0</v>
      </c>
      <c r="Q159" s="50">
        <v>0</v>
      </c>
      <c r="R159" s="50">
        <v>0</v>
      </c>
      <c r="S159" s="50"/>
      <c r="T159" s="50"/>
      <c r="U159" s="50"/>
      <c r="V159" s="50"/>
      <c r="W159" s="50"/>
      <c r="X159" s="50">
        <v>0</v>
      </c>
      <c r="Y159" s="54"/>
      <c r="Z159" s="55"/>
      <c r="AA159" s="55"/>
      <c r="AB159" s="55"/>
      <c r="AC159" s="55"/>
      <c r="AD159" s="55"/>
      <c r="AE159" s="55"/>
      <c r="AF159" s="55"/>
      <c r="AG159" s="55"/>
      <c r="AH159" s="55"/>
      <c r="AI159" s="55"/>
      <c r="AJ159" s="55"/>
      <c r="AK159" s="468"/>
      <c r="AL159" s="71"/>
      <c r="AM159" s="71"/>
      <c r="AN159" s="71"/>
      <c r="AO159" s="71"/>
      <c r="AP159" s="71"/>
      <c r="AQ159" s="71"/>
      <c r="AR159" s="71"/>
      <c r="AS159" s="71"/>
      <c r="AT159" s="71"/>
      <c r="AU159" s="71"/>
      <c r="AV159" s="843"/>
      <c r="AW159" s="38"/>
      <c r="AX159" s="463">
        <f t="shared" si="236"/>
        <v>0</v>
      </c>
      <c r="AY159" s="463"/>
      <c r="AZ159" s="919">
        <f t="shared" si="235"/>
        <v>0</v>
      </c>
      <c r="BA159" s="31"/>
    </row>
    <row r="160" spans="1:61">
      <c r="A160" s="352"/>
      <c r="B160" s="36" t="s">
        <v>0</v>
      </c>
      <c r="C160" s="16" t="s">
        <v>25</v>
      </c>
      <c r="D160" s="27" t="s">
        <v>20</v>
      </c>
      <c r="E160" s="50">
        <v>5</v>
      </c>
      <c r="F160" s="50">
        <v>5</v>
      </c>
      <c r="G160" s="50">
        <v>5</v>
      </c>
      <c r="H160" s="50">
        <v>6.2</v>
      </c>
      <c r="I160" s="50">
        <v>3.8</v>
      </c>
      <c r="J160" s="262">
        <v>6.4</v>
      </c>
      <c r="K160" s="262">
        <v>5.6</v>
      </c>
      <c r="L160" s="262">
        <v>5.7</v>
      </c>
      <c r="M160" s="50">
        <v>10.08</v>
      </c>
      <c r="N160" s="50">
        <v>10.079999999999998</v>
      </c>
      <c r="O160" s="120">
        <v>4</v>
      </c>
      <c r="P160" s="50">
        <v>0.20000000000000018</v>
      </c>
      <c r="Q160" s="50">
        <v>1.2500000000000009</v>
      </c>
      <c r="R160" s="50"/>
      <c r="S160" s="50"/>
      <c r="T160" s="50"/>
      <c r="U160" s="50"/>
      <c r="V160" s="50"/>
      <c r="W160" s="120">
        <v>13</v>
      </c>
      <c r="X160" s="120">
        <f>11+3-3</f>
        <v>11</v>
      </c>
      <c r="Y160" s="493">
        <v>3.67</v>
      </c>
      <c r="Z160" s="55"/>
      <c r="AA160" s="55"/>
      <c r="AB160" s="55"/>
      <c r="AC160" s="55"/>
      <c r="AD160" s="55"/>
      <c r="AE160" s="55"/>
      <c r="AF160" s="55"/>
      <c r="AG160" s="55"/>
      <c r="AH160" s="55"/>
      <c r="AI160" s="55"/>
      <c r="AJ160" s="55"/>
      <c r="AK160" s="464"/>
      <c r="AL160" s="72"/>
      <c r="AM160" s="72"/>
      <c r="AN160" s="72"/>
      <c r="AO160" s="72"/>
      <c r="AP160" s="72"/>
      <c r="AQ160" s="72"/>
      <c r="AR160" s="72"/>
      <c r="AS160" s="72"/>
      <c r="AT160" s="72"/>
      <c r="AU160" s="72"/>
      <c r="AV160" s="844"/>
      <c r="AW160" s="38"/>
      <c r="AX160" s="463">
        <f t="shared" si="236"/>
        <v>3.67</v>
      </c>
      <c r="AY160" s="463"/>
      <c r="AZ160" s="919">
        <f t="shared" si="235"/>
        <v>0</v>
      </c>
      <c r="BA160" s="31"/>
    </row>
    <row r="161" spans="1:53">
      <c r="A161" s="352"/>
      <c r="B161" s="101" t="s">
        <v>0</v>
      </c>
      <c r="C161" s="17" t="s">
        <v>29</v>
      </c>
      <c r="D161" s="24" t="s">
        <v>15</v>
      </c>
      <c r="E161" s="71"/>
      <c r="F161" s="71"/>
      <c r="G161" s="71"/>
      <c r="H161" s="71"/>
      <c r="I161" s="71"/>
      <c r="J161" s="71"/>
      <c r="K161" s="71"/>
      <c r="L161" s="71"/>
      <c r="M161" s="71"/>
      <c r="N161" s="71"/>
      <c r="O161" s="71"/>
      <c r="P161" s="71"/>
      <c r="Q161" s="71"/>
      <c r="R161" s="71"/>
      <c r="S161" s="71"/>
      <c r="T161" s="71"/>
      <c r="U161" s="71"/>
      <c r="V161" s="71"/>
      <c r="W161" s="71"/>
      <c r="X161" s="71"/>
      <c r="Y161" s="468"/>
      <c r="Z161" s="71"/>
      <c r="AA161" s="71"/>
      <c r="AB161" s="71"/>
      <c r="AC161" s="71"/>
      <c r="AD161" s="71"/>
      <c r="AE161" s="71"/>
      <c r="AF161" s="71"/>
      <c r="AG161" s="71"/>
      <c r="AH161" s="71"/>
      <c r="AI161" s="71"/>
      <c r="AJ161" s="71"/>
      <c r="AK161" s="468"/>
      <c r="AL161" s="71"/>
      <c r="AM161" s="71"/>
      <c r="AN161" s="71"/>
      <c r="AO161" s="71"/>
      <c r="AP161" s="71"/>
      <c r="AQ161" s="71"/>
      <c r="AR161" s="71"/>
      <c r="AS161" s="71"/>
      <c r="AT161" s="71"/>
      <c r="AU161" s="71"/>
      <c r="AV161" s="843"/>
      <c r="AW161" s="38"/>
      <c r="AX161" s="463">
        <f t="shared" si="236"/>
        <v>0</v>
      </c>
      <c r="AY161" s="463"/>
      <c r="AZ161" s="919">
        <f t="shared" si="235"/>
        <v>0</v>
      </c>
      <c r="BA161" s="31"/>
    </row>
    <row r="162" spans="1:53">
      <c r="A162" s="352"/>
      <c r="B162" s="102" t="s">
        <v>0</v>
      </c>
      <c r="C162" s="18" t="s">
        <v>29</v>
      </c>
      <c r="D162" s="23" t="s">
        <v>20</v>
      </c>
      <c r="E162" s="72"/>
      <c r="F162" s="72"/>
      <c r="G162" s="72"/>
      <c r="H162" s="72"/>
      <c r="I162" s="72"/>
      <c r="J162" s="72"/>
      <c r="K162" s="72"/>
      <c r="L162" s="72"/>
      <c r="M162" s="72"/>
      <c r="N162" s="72"/>
      <c r="O162" s="72"/>
      <c r="P162" s="72"/>
      <c r="Q162" s="72"/>
      <c r="R162" s="72"/>
      <c r="S162" s="72"/>
      <c r="T162" s="72"/>
      <c r="U162" s="72"/>
      <c r="V162" s="72"/>
      <c r="W162" s="72"/>
      <c r="X162" s="72"/>
      <c r="Y162" s="464"/>
      <c r="Z162" s="72"/>
      <c r="AA162" s="72"/>
      <c r="AB162" s="72"/>
      <c r="AC162" s="72"/>
      <c r="AD162" s="72"/>
      <c r="AE162" s="72"/>
      <c r="AF162" s="72"/>
      <c r="AG162" s="72"/>
      <c r="AH162" s="72"/>
      <c r="AI162" s="72"/>
      <c r="AJ162" s="72"/>
      <c r="AK162" s="464"/>
      <c r="AL162" s="72"/>
      <c r="AM162" s="72"/>
      <c r="AN162" s="72"/>
      <c r="AO162" s="72"/>
      <c r="AP162" s="72"/>
      <c r="AQ162" s="72"/>
      <c r="AR162" s="72"/>
      <c r="AS162" s="72"/>
      <c r="AT162" s="72"/>
      <c r="AU162" s="72"/>
      <c r="AV162" s="844"/>
      <c r="AW162" s="38"/>
      <c r="AX162" s="463">
        <f t="shared" si="236"/>
        <v>0</v>
      </c>
      <c r="AY162" s="463"/>
      <c r="AZ162" s="919">
        <f t="shared" si="235"/>
        <v>0</v>
      </c>
      <c r="BA162" s="31"/>
    </row>
    <row r="163" spans="1:53">
      <c r="A163" s="352"/>
      <c r="B163" s="101" t="s">
        <v>0</v>
      </c>
      <c r="C163" s="17" t="s">
        <v>232</v>
      </c>
      <c r="D163" s="24" t="s">
        <v>15</v>
      </c>
      <c r="E163" s="50"/>
      <c r="F163" s="50"/>
      <c r="G163" s="50"/>
      <c r="H163" s="50"/>
      <c r="I163" s="50"/>
      <c r="J163" s="50"/>
      <c r="K163" s="50"/>
      <c r="L163" s="50"/>
      <c r="M163" s="50"/>
      <c r="N163" s="50"/>
      <c r="O163" s="50"/>
      <c r="P163" s="50"/>
      <c r="Q163" s="50"/>
      <c r="R163" s="50"/>
      <c r="S163" s="50"/>
      <c r="T163" s="50"/>
      <c r="U163" s="50"/>
      <c r="V163" s="50"/>
      <c r="W163" s="50"/>
      <c r="X163" s="50"/>
      <c r="Y163" s="54"/>
      <c r="Z163" s="55"/>
      <c r="AA163" s="55"/>
      <c r="AB163" s="55"/>
      <c r="AC163" s="55"/>
      <c r="AD163" s="55"/>
      <c r="AE163" s="55"/>
      <c r="AF163" s="55"/>
      <c r="AG163" s="55"/>
      <c r="AH163" s="55"/>
      <c r="AI163" s="55"/>
      <c r="AJ163" s="55"/>
      <c r="AK163" s="468"/>
      <c r="AL163" s="71"/>
      <c r="AM163" s="71"/>
      <c r="AN163" s="71"/>
      <c r="AO163" s="71"/>
      <c r="AP163" s="71"/>
      <c r="AQ163" s="71"/>
      <c r="AR163" s="71"/>
      <c r="AS163" s="71"/>
      <c r="AT163" s="71"/>
      <c r="AU163" s="71"/>
      <c r="AV163" s="843"/>
      <c r="AW163" s="38"/>
      <c r="AX163" s="463">
        <f t="shared" si="236"/>
        <v>0</v>
      </c>
      <c r="AY163" s="463"/>
      <c r="AZ163" s="919">
        <f t="shared" si="235"/>
        <v>0</v>
      </c>
      <c r="BA163" s="31"/>
    </row>
    <row r="164" spans="1:53">
      <c r="A164" s="352"/>
      <c r="B164" s="102" t="s">
        <v>0</v>
      </c>
      <c r="C164" s="18" t="s">
        <v>232</v>
      </c>
      <c r="D164" s="23" t="s">
        <v>20</v>
      </c>
      <c r="E164" s="50"/>
      <c r="F164" s="50"/>
      <c r="G164" s="50"/>
      <c r="H164" s="50"/>
      <c r="I164" s="50"/>
      <c r="J164" s="50"/>
      <c r="K164" s="50"/>
      <c r="L164" s="50"/>
      <c r="M164" s="50"/>
      <c r="N164" s="50"/>
      <c r="O164" s="50"/>
      <c r="P164" s="50"/>
      <c r="Q164" s="50"/>
      <c r="R164" s="50"/>
      <c r="S164" s="50"/>
      <c r="T164" s="50"/>
      <c r="U164" s="50"/>
      <c r="V164" s="50"/>
      <c r="W164" s="50"/>
      <c r="X164" s="50"/>
      <c r="Y164" s="54"/>
      <c r="Z164" s="55"/>
      <c r="AA164" s="55"/>
      <c r="AB164" s="55"/>
      <c r="AC164" s="55"/>
      <c r="AD164" s="55"/>
      <c r="AE164" s="55"/>
      <c r="AF164" s="55"/>
      <c r="AG164" s="55"/>
      <c r="AH164" s="55"/>
      <c r="AI164" s="55"/>
      <c r="AJ164" s="55"/>
      <c r="AK164" s="464"/>
      <c r="AL164" s="72"/>
      <c r="AM164" s="72"/>
      <c r="AN164" s="72"/>
      <c r="AO164" s="72"/>
      <c r="AP164" s="72"/>
      <c r="AQ164" s="72"/>
      <c r="AR164" s="72"/>
      <c r="AS164" s="72"/>
      <c r="AT164" s="72"/>
      <c r="AU164" s="72"/>
      <c r="AV164" s="844"/>
      <c r="AW164" s="38"/>
      <c r="AX164" s="463">
        <f t="shared" si="236"/>
        <v>0</v>
      </c>
      <c r="AY164" s="463"/>
      <c r="AZ164" s="919">
        <f t="shared" si="235"/>
        <v>0</v>
      </c>
      <c r="BA164" s="31"/>
    </row>
    <row r="165" spans="1:53">
      <c r="A165" s="352"/>
      <c r="B165" s="101" t="s">
        <v>0</v>
      </c>
      <c r="C165" s="19" t="s">
        <v>30</v>
      </c>
      <c r="D165" s="24" t="s">
        <v>15</v>
      </c>
      <c r="E165" s="71"/>
      <c r="F165" s="71"/>
      <c r="G165" s="71"/>
      <c r="H165" s="71"/>
      <c r="I165" s="71"/>
      <c r="J165" s="71"/>
      <c r="K165" s="71"/>
      <c r="L165" s="71"/>
      <c r="M165" s="71"/>
      <c r="N165" s="71"/>
      <c r="O165" s="71"/>
      <c r="P165" s="71"/>
      <c r="Q165" s="71"/>
      <c r="R165" s="71"/>
      <c r="S165" s="71"/>
      <c r="T165" s="71"/>
      <c r="U165" s="71"/>
      <c r="V165" s="71"/>
      <c r="W165" s="71"/>
      <c r="X165" s="71"/>
      <c r="Y165" s="468"/>
      <c r="Z165" s="71"/>
      <c r="AA165" s="71"/>
      <c r="AB165" s="71"/>
      <c r="AC165" s="71"/>
      <c r="AD165" s="71"/>
      <c r="AE165" s="71"/>
      <c r="AF165" s="71"/>
      <c r="AG165" s="71"/>
      <c r="AH165" s="71"/>
      <c r="AI165" s="71"/>
      <c r="AJ165" s="71"/>
      <c r="AK165" s="468"/>
      <c r="AL165" s="71"/>
      <c r="AM165" s="71"/>
      <c r="AN165" s="71"/>
      <c r="AO165" s="71"/>
      <c r="AP165" s="71"/>
      <c r="AQ165" s="71"/>
      <c r="AR165" s="71"/>
      <c r="AS165" s="71"/>
      <c r="AT165" s="71"/>
      <c r="AU165" s="71"/>
      <c r="AV165" s="843"/>
      <c r="AW165" s="38"/>
      <c r="AX165" s="463">
        <f t="shared" si="236"/>
        <v>0</v>
      </c>
      <c r="AY165" s="463"/>
      <c r="AZ165" s="919">
        <f t="shared" si="235"/>
        <v>0</v>
      </c>
      <c r="BA165" s="31"/>
    </row>
    <row r="166" spans="1:53">
      <c r="A166" s="352"/>
      <c r="B166" s="102" t="s">
        <v>0</v>
      </c>
      <c r="C166" s="19" t="s">
        <v>30</v>
      </c>
      <c r="D166" s="23" t="s">
        <v>20</v>
      </c>
      <c r="E166" s="72"/>
      <c r="F166" s="72"/>
      <c r="G166" s="72"/>
      <c r="H166" s="72"/>
      <c r="I166" s="72"/>
      <c r="J166" s="72"/>
      <c r="K166" s="72"/>
      <c r="L166" s="72"/>
      <c r="M166" s="72"/>
      <c r="N166" s="72"/>
      <c r="O166" s="72"/>
      <c r="P166" s="72"/>
      <c r="Q166" s="72"/>
      <c r="R166" s="72"/>
      <c r="S166" s="72"/>
      <c r="T166" s="72"/>
      <c r="U166" s="72"/>
      <c r="V166" s="72"/>
      <c r="W166" s="72"/>
      <c r="X166" s="72"/>
      <c r="Y166" s="464"/>
      <c r="Z166" s="72"/>
      <c r="AA166" s="72"/>
      <c r="AB166" s="72"/>
      <c r="AC166" s="72"/>
      <c r="AD166" s="72"/>
      <c r="AE166" s="72"/>
      <c r="AF166" s="72"/>
      <c r="AG166" s="72"/>
      <c r="AH166" s="72"/>
      <c r="AI166" s="72"/>
      <c r="AJ166" s="72"/>
      <c r="AK166" s="464"/>
      <c r="AL166" s="72"/>
      <c r="AM166" s="72"/>
      <c r="AN166" s="72"/>
      <c r="AO166" s="72"/>
      <c r="AP166" s="72"/>
      <c r="AQ166" s="72"/>
      <c r="AR166" s="72"/>
      <c r="AS166" s="72"/>
      <c r="AT166" s="72"/>
      <c r="AU166" s="72"/>
      <c r="AV166" s="844"/>
      <c r="AW166" s="38"/>
      <c r="AX166" s="463">
        <f t="shared" si="236"/>
        <v>0</v>
      </c>
      <c r="AY166" s="463"/>
      <c r="AZ166" s="919">
        <f t="shared" si="235"/>
        <v>0</v>
      </c>
      <c r="BA166" s="31"/>
    </row>
    <row r="167" spans="1:53">
      <c r="A167" s="352"/>
      <c r="B167" s="361" t="s">
        <v>0</v>
      </c>
      <c r="C167" s="121" t="s">
        <v>150</v>
      </c>
      <c r="D167" s="122" t="s">
        <v>20</v>
      </c>
      <c r="E167" s="55"/>
      <c r="F167" s="55"/>
      <c r="G167" s="55"/>
      <c r="H167" s="55"/>
      <c r="I167" s="55"/>
      <c r="J167" s="55"/>
      <c r="K167" s="100"/>
      <c r="L167" s="100"/>
      <c r="M167" s="100"/>
      <c r="N167" s="100"/>
      <c r="O167" s="100"/>
      <c r="P167" s="100"/>
      <c r="Q167" s="100"/>
      <c r="R167" s="100"/>
      <c r="S167" s="100"/>
      <c r="T167" s="100"/>
      <c r="U167" s="100"/>
      <c r="V167" s="100"/>
      <c r="W167" s="100"/>
      <c r="X167" s="100"/>
      <c r="Y167" s="465"/>
      <c r="Z167" s="100"/>
      <c r="AA167" s="100"/>
      <c r="AB167" s="100"/>
      <c r="AC167" s="100"/>
      <c r="AD167" s="100"/>
      <c r="AE167" s="100"/>
      <c r="AF167" s="100"/>
      <c r="AG167" s="100"/>
      <c r="AH167" s="100"/>
      <c r="AI167" s="100"/>
      <c r="AJ167" s="100"/>
      <c r="AK167" s="465"/>
      <c r="AL167" s="100"/>
      <c r="AM167" s="100"/>
      <c r="AN167" s="100"/>
      <c r="AO167" s="100"/>
      <c r="AP167" s="100"/>
      <c r="AQ167" s="100"/>
      <c r="AR167" s="100"/>
      <c r="AS167" s="100"/>
      <c r="AT167" s="100"/>
      <c r="AU167" s="100"/>
      <c r="AV167" s="846"/>
      <c r="AW167" s="38"/>
      <c r="AX167" s="463">
        <f t="shared" si="236"/>
        <v>0</v>
      </c>
      <c r="AY167" s="463"/>
      <c r="AZ167" s="919">
        <f t="shared" si="235"/>
        <v>0</v>
      </c>
      <c r="BA167" s="31"/>
    </row>
    <row r="168" spans="1:53">
      <c r="A168" s="352"/>
      <c r="B168" s="36" t="s">
        <v>1</v>
      </c>
      <c r="C168" s="7" t="s">
        <v>16</v>
      </c>
      <c r="D168" s="26" t="s">
        <v>15</v>
      </c>
      <c r="E168" s="55"/>
      <c r="F168" s="55"/>
      <c r="G168" s="55"/>
      <c r="H168" s="55"/>
      <c r="I168" s="55"/>
      <c r="J168" s="55"/>
      <c r="K168" s="55"/>
      <c r="L168" s="55"/>
      <c r="M168" s="55"/>
      <c r="N168" s="55"/>
      <c r="O168" s="55"/>
      <c r="P168" s="55"/>
      <c r="Q168" s="55"/>
      <c r="R168" s="55"/>
      <c r="S168" s="55"/>
      <c r="T168" s="55"/>
      <c r="U168" s="55"/>
      <c r="V168" s="55"/>
      <c r="W168" s="55"/>
      <c r="X168" s="55"/>
      <c r="Y168" s="54"/>
      <c r="Z168" s="55">
        <v>0.6</v>
      </c>
      <c r="AA168" s="55"/>
      <c r="AB168" s="55"/>
      <c r="AC168" s="55"/>
      <c r="AD168" s="55"/>
      <c r="AE168" s="55"/>
      <c r="AF168" s="55"/>
      <c r="AG168" s="55"/>
      <c r="AH168" s="55"/>
      <c r="AI168" s="55"/>
      <c r="AJ168" s="55"/>
      <c r="AK168" s="468"/>
      <c r="AL168" s="71"/>
      <c r="AM168" s="71"/>
      <c r="AN168" s="71"/>
      <c r="AO168" s="71"/>
      <c r="AP168" s="71"/>
      <c r="AQ168" s="71"/>
      <c r="AR168" s="71"/>
      <c r="AS168" s="71"/>
      <c r="AT168" s="71"/>
      <c r="AU168" s="71"/>
      <c r="AV168" s="843"/>
      <c r="AW168" s="38"/>
      <c r="AX168" s="463">
        <f t="shared" si="236"/>
        <v>0.6</v>
      </c>
      <c r="AY168" s="463"/>
      <c r="AZ168" s="919">
        <f t="shared" si="235"/>
        <v>0</v>
      </c>
      <c r="BA168" s="31"/>
    </row>
    <row r="169" spans="1:53">
      <c r="A169" s="352"/>
      <c r="B169" s="36" t="s">
        <v>1</v>
      </c>
      <c r="C169" s="7" t="s">
        <v>21</v>
      </c>
      <c r="D169" s="351" t="s">
        <v>26</v>
      </c>
      <c r="E169" s="50">
        <f t="shared" ref="E169:K169" si="239">E62</f>
        <v>8.4</v>
      </c>
      <c r="F169" s="50">
        <f t="shared" si="239"/>
        <v>6.2</v>
      </c>
      <c r="G169" s="50">
        <f t="shared" si="239"/>
        <v>7.2</v>
      </c>
      <c r="H169" s="50">
        <f t="shared" si="239"/>
        <v>7.2</v>
      </c>
      <c r="I169" s="50">
        <f t="shared" si="239"/>
        <v>7.4</v>
      </c>
      <c r="J169" s="112">
        <f t="shared" si="239"/>
        <v>6.7</v>
      </c>
      <c r="K169" s="112">
        <f t="shared" si="239"/>
        <v>0</v>
      </c>
      <c r="L169" s="112">
        <f>L62-L171</f>
        <v>3.96</v>
      </c>
      <c r="M169" s="112">
        <v>2.5</v>
      </c>
      <c r="N169" s="112">
        <v>2</v>
      </c>
      <c r="O169" s="112">
        <v>2</v>
      </c>
      <c r="P169" s="112">
        <f>P62-P170-P171</f>
        <v>1.4</v>
      </c>
      <c r="Q169" s="112">
        <f>Q62-Q170-Q171</f>
        <v>0</v>
      </c>
      <c r="R169" s="112">
        <f>R62-R170-R171</f>
        <v>0</v>
      </c>
      <c r="S169" s="441">
        <v>0</v>
      </c>
      <c r="T169" s="112">
        <f>T62-T170-T171</f>
        <v>3</v>
      </c>
      <c r="U169" s="120">
        <f>U62-U170-U171-U172</f>
        <v>3</v>
      </c>
      <c r="V169" s="112">
        <f>V62-V170-V171-V172</f>
        <v>6.7600000000000007</v>
      </c>
      <c r="W169" s="112">
        <f>W62-W170-W171-W172</f>
        <v>6.06</v>
      </c>
      <c r="X169" s="112">
        <f>X62-X170-X171-X172</f>
        <v>6.07</v>
      </c>
      <c r="Y169" s="460">
        <f>Y62-Y170-Y171-Y172</f>
        <v>3.5399999999999991</v>
      </c>
      <c r="Z169" s="455">
        <f>Z62-Z170-Z171-Z172-Z168</f>
        <v>1.9999999999999996</v>
      </c>
      <c r="AA169" s="455">
        <f t="shared" ref="AA169:AV169" si="240">AA62-AA170-AA171-AA172</f>
        <v>2</v>
      </c>
      <c r="AB169" s="455">
        <f t="shared" si="240"/>
        <v>1.3500000000000005</v>
      </c>
      <c r="AC169" s="455">
        <f t="shared" si="240"/>
        <v>1.3999999999999995</v>
      </c>
      <c r="AD169" s="455">
        <f t="shared" si="240"/>
        <v>1.4000000000000004</v>
      </c>
      <c r="AE169" s="455">
        <f t="shared" si="240"/>
        <v>2</v>
      </c>
      <c r="AF169" s="455">
        <f t="shared" si="240"/>
        <v>2</v>
      </c>
      <c r="AG169" s="455">
        <f t="shared" si="240"/>
        <v>2</v>
      </c>
      <c r="AH169" s="455">
        <f t="shared" si="240"/>
        <v>2</v>
      </c>
      <c r="AI169" s="455">
        <f t="shared" si="240"/>
        <v>1.9900000000000002</v>
      </c>
      <c r="AJ169" s="455">
        <f t="shared" si="240"/>
        <v>2</v>
      </c>
      <c r="AK169" s="460">
        <f t="shared" si="240"/>
        <v>2</v>
      </c>
      <c r="AL169" s="455">
        <f t="shared" si="240"/>
        <v>2</v>
      </c>
      <c r="AM169" s="455">
        <f t="shared" si="240"/>
        <v>2</v>
      </c>
      <c r="AN169" s="455">
        <f t="shared" si="240"/>
        <v>2</v>
      </c>
      <c r="AO169" s="455">
        <f t="shared" si="240"/>
        <v>2</v>
      </c>
      <c r="AP169" s="455">
        <f t="shared" si="240"/>
        <v>2</v>
      </c>
      <c r="AQ169" s="455">
        <f t="shared" si="240"/>
        <v>2</v>
      </c>
      <c r="AR169" s="455">
        <f t="shared" si="240"/>
        <v>2</v>
      </c>
      <c r="AS169" s="455">
        <f t="shared" si="240"/>
        <v>2</v>
      </c>
      <c r="AT169" s="455">
        <f t="shared" si="240"/>
        <v>2</v>
      </c>
      <c r="AU169" s="455">
        <f t="shared" si="240"/>
        <v>2</v>
      </c>
      <c r="AV169" s="851">
        <f t="shared" si="240"/>
        <v>2</v>
      </c>
      <c r="AW169" s="38"/>
      <c r="AX169" s="463">
        <f t="shared" si="236"/>
        <v>23.68</v>
      </c>
      <c r="AY169" s="463"/>
      <c r="AZ169" s="919">
        <f t="shared" si="235"/>
        <v>24</v>
      </c>
      <c r="BA169" s="31"/>
    </row>
    <row r="170" spans="1:53">
      <c r="A170" s="352"/>
      <c r="B170" s="36" t="s">
        <v>1</v>
      </c>
      <c r="C170" s="353" t="s">
        <v>24</v>
      </c>
      <c r="D170" s="362" t="s">
        <v>26</v>
      </c>
      <c r="E170" s="50"/>
      <c r="F170" s="50"/>
      <c r="G170" s="50"/>
      <c r="H170" s="50"/>
      <c r="I170" s="50"/>
      <c r="J170" s="112"/>
      <c r="K170" s="112"/>
      <c r="L170" s="112"/>
      <c r="M170" s="112"/>
      <c r="N170" s="112"/>
      <c r="O170" s="112"/>
      <c r="P170" s="112">
        <v>0</v>
      </c>
      <c r="Q170" s="277">
        <v>0</v>
      </c>
      <c r="R170" s="277">
        <v>0</v>
      </c>
      <c r="S170" s="441">
        <v>0</v>
      </c>
      <c r="T170" s="277">
        <v>0</v>
      </c>
      <c r="U170" s="277">
        <v>0</v>
      </c>
      <c r="V170" s="277">
        <v>0</v>
      </c>
      <c r="W170" s="277">
        <v>0</v>
      </c>
      <c r="X170" s="277">
        <v>0</v>
      </c>
      <c r="Y170" s="466">
        <v>0</v>
      </c>
      <c r="Z170" s="245"/>
      <c r="AA170" s="245"/>
      <c r="AB170" s="245"/>
      <c r="AC170" s="245"/>
      <c r="AD170" s="245"/>
      <c r="AE170" s="245">
        <v>0</v>
      </c>
      <c r="AF170" s="245"/>
      <c r="AG170" s="245"/>
      <c r="AH170" s="245"/>
      <c r="AI170" s="245"/>
      <c r="AJ170" s="245"/>
      <c r="AK170" s="466"/>
      <c r="AL170" s="245"/>
      <c r="AM170" s="245"/>
      <c r="AN170" s="245"/>
      <c r="AO170" s="245"/>
      <c r="AP170" s="245"/>
      <c r="AQ170" s="245"/>
      <c r="AR170" s="245"/>
      <c r="AS170" s="245"/>
      <c r="AT170" s="245"/>
      <c r="AU170" s="245"/>
      <c r="AV170" s="849"/>
      <c r="AW170" s="38"/>
      <c r="AX170" s="463">
        <f t="shared" si="236"/>
        <v>0</v>
      </c>
      <c r="AY170" s="463"/>
      <c r="AZ170" s="919">
        <f t="shared" si="235"/>
        <v>0</v>
      </c>
      <c r="BA170" s="31"/>
    </row>
    <row r="171" spans="1:53">
      <c r="A171" s="671"/>
      <c r="B171" s="36" t="s">
        <v>1</v>
      </c>
      <c r="C171" s="16" t="s">
        <v>25</v>
      </c>
      <c r="D171" s="362" t="s">
        <v>26</v>
      </c>
      <c r="E171" s="50"/>
      <c r="F171" s="50"/>
      <c r="G171" s="50"/>
      <c r="H171" s="50"/>
      <c r="I171" s="50"/>
      <c r="J171" s="50"/>
      <c r="K171" s="50"/>
      <c r="L171" s="50">
        <v>0</v>
      </c>
      <c r="M171" s="50">
        <f>M62-M169</f>
        <v>3.87</v>
      </c>
      <c r="N171" s="50">
        <f>N62-N169</f>
        <v>4.0999999999999996</v>
      </c>
      <c r="O171" s="120">
        <v>3.73</v>
      </c>
      <c r="P171" s="120">
        <v>2.9</v>
      </c>
      <c r="Q171" s="277">
        <v>3</v>
      </c>
      <c r="R171" s="120">
        <v>3</v>
      </c>
      <c r="S171" s="112">
        <f>S62-S169-S170</f>
        <v>3.5</v>
      </c>
      <c r="T171" s="277">
        <v>0</v>
      </c>
      <c r="U171" s="277">
        <v>0.6</v>
      </c>
      <c r="V171" s="277">
        <v>0</v>
      </c>
      <c r="W171" s="277">
        <v>0</v>
      </c>
      <c r="X171" s="277">
        <v>0.6</v>
      </c>
      <c r="Y171" s="493">
        <v>4.83</v>
      </c>
      <c r="Z171" s="245">
        <f>4.48+0.6</f>
        <v>5.08</v>
      </c>
      <c r="AA171" s="245">
        <v>4.63</v>
      </c>
      <c r="AB171" s="245">
        <v>4.38</v>
      </c>
      <c r="AC171" s="98">
        <v>4.3600000000000003</v>
      </c>
      <c r="AD171" s="245">
        <f>4.38-0.81-0.11</f>
        <v>3.46</v>
      </c>
      <c r="AE171" s="98">
        <f>4.12-0.72</f>
        <v>3.4000000000000004</v>
      </c>
      <c r="AF171" s="245">
        <v>4.12</v>
      </c>
      <c r="AG171" s="245">
        <v>3.4000000000000004</v>
      </c>
      <c r="AH171" s="98">
        <f>3.4-0.9</f>
        <v>2.5</v>
      </c>
      <c r="AI171" s="98">
        <f>5.4-1.99</f>
        <v>3.41</v>
      </c>
      <c r="AJ171" s="245">
        <v>4.12</v>
      </c>
      <c r="AK171" s="466">
        <v>4.66</v>
      </c>
      <c r="AL171" s="245">
        <v>4.66</v>
      </c>
      <c r="AM171" s="245">
        <v>4.66</v>
      </c>
      <c r="AN171" s="245">
        <v>4.66</v>
      </c>
      <c r="AO171" s="245">
        <v>4.66</v>
      </c>
      <c r="AP171" s="245">
        <v>4.12</v>
      </c>
      <c r="AQ171" s="245">
        <v>4.12</v>
      </c>
      <c r="AR171" s="245">
        <v>4.12</v>
      </c>
      <c r="AS171" s="245">
        <v>4.12</v>
      </c>
      <c r="AT171" s="245">
        <v>4.12</v>
      </c>
      <c r="AU171" s="245">
        <v>4.12</v>
      </c>
      <c r="AV171" s="849">
        <v>4.12</v>
      </c>
      <c r="AW171" s="38"/>
      <c r="AX171" s="463">
        <f t="shared" si="236"/>
        <v>47.689999999999991</v>
      </c>
      <c r="AY171" s="463"/>
      <c r="AZ171" s="919">
        <f t="shared" si="235"/>
        <v>52.139999999999993</v>
      </c>
      <c r="BA171" s="31"/>
    </row>
    <row r="172" spans="1:53">
      <c r="A172" s="352"/>
      <c r="B172" s="36" t="s">
        <v>1</v>
      </c>
      <c r="C172" s="472" t="s">
        <v>232</v>
      </c>
      <c r="D172" s="362" t="s">
        <v>26</v>
      </c>
      <c r="E172" s="50"/>
      <c r="F172" s="50"/>
      <c r="G172" s="50"/>
      <c r="H172" s="50"/>
      <c r="I172" s="50"/>
      <c r="J172" s="50"/>
      <c r="K172" s="50"/>
      <c r="L172" s="50"/>
      <c r="M172" s="50"/>
      <c r="N172" s="50"/>
      <c r="O172" s="120"/>
      <c r="P172" s="120"/>
      <c r="Q172" s="277"/>
      <c r="R172" s="120"/>
      <c r="S172" s="112"/>
      <c r="T172" s="277"/>
      <c r="U172" s="277">
        <v>0</v>
      </c>
      <c r="V172" s="277">
        <v>0</v>
      </c>
      <c r="W172" s="277">
        <v>0</v>
      </c>
      <c r="X172" s="277">
        <v>0</v>
      </c>
      <c r="Y172" s="466">
        <v>0</v>
      </c>
      <c r="Z172" s="245"/>
      <c r="AA172" s="245"/>
      <c r="AB172" s="245"/>
      <c r="AC172" s="245"/>
      <c r="AD172" s="245"/>
      <c r="AE172" s="245">
        <v>0</v>
      </c>
      <c r="AF172" s="245">
        <v>0</v>
      </c>
      <c r="AG172" s="245">
        <v>0</v>
      </c>
      <c r="AH172" s="245">
        <v>0</v>
      </c>
      <c r="AI172" s="245">
        <v>0</v>
      </c>
      <c r="AJ172" s="245">
        <v>0</v>
      </c>
      <c r="AK172" s="467">
        <v>0</v>
      </c>
      <c r="AL172" s="123">
        <v>0</v>
      </c>
      <c r="AM172" s="123">
        <v>0</v>
      </c>
      <c r="AN172" s="123">
        <v>0</v>
      </c>
      <c r="AO172" s="123">
        <v>0</v>
      </c>
      <c r="AP172" s="123">
        <v>0</v>
      </c>
      <c r="AQ172" s="123">
        <v>0</v>
      </c>
      <c r="AR172" s="123">
        <v>0</v>
      </c>
      <c r="AS172" s="123">
        <v>0</v>
      </c>
      <c r="AT172" s="123">
        <v>0</v>
      </c>
      <c r="AU172" s="123">
        <v>0</v>
      </c>
      <c r="AV172" s="852">
        <v>0</v>
      </c>
      <c r="AW172" s="38"/>
      <c r="AX172" s="463">
        <f t="shared" si="236"/>
        <v>0</v>
      </c>
      <c r="AY172" s="463"/>
      <c r="AZ172" s="919">
        <f t="shared" si="235"/>
        <v>0</v>
      </c>
      <c r="BA172" s="31"/>
    </row>
    <row r="173" spans="1:53">
      <c r="A173" s="352"/>
      <c r="B173" s="361" t="s">
        <v>2</v>
      </c>
      <c r="C173" s="110" t="s">
        <v>21</v>
      </c>
      <c r="D173" s="363" t="s">
        <v>27</v>
      </c>
      <c r="E173" s="100">
        <f t="shared" ref="E173:AV173" si="241">E63</f>
        <v>5.89</v>
      </c>
      <c r="F173" s="100">
        <f t="shared" si="241"/>
        <v>6.22</v>
      </c>
      <c r="G173" s="100">
        <f t="shared" si="241"/>
        <v>5.89</v>
      </c>
      <c r="H173" s="100">
        <f t="shared" si="241"/>
        <v>6.05</v>
      </c>
      <c r="I173" s="100">
        <f t="shared" si="241"/>
        <v>5.85</v>
      </c>
      <c r="J173" s="260">
        <f t="shared" si="241"/>
        <v>6.05</v>
      </c>
      <c r="K173" s="260">
        <f t="shared" si="241"/>
        <v>6.7</v>
      </c>
      <c r="L173" s="260">
        <f t="shared" si="241"/>
        <v>6.05</v>
      </c>
      <c r="M173" s="260">
        <f t="shared" si="241"/>
        <v>6.2</v>
      </c>
      <c r="N173" s="260">
        <f t="shared" si="241"/>
        <v>5.66</v>
      </c>
      <c r="O173" s="260">
        <f t="shared" si="241"/>
        <v>6.0449999999999999</v>
      </c>
      <c r="P173" s="260">
        <f t="shared" si="241"/>
        <v>5.85</v>
      </c>
      <c r="Q173" s="260">
        <f t="shared" si="241"/>
        <v>4.5999999999999996</v>
      </c>
      <c r="R173" s="268">
        <f t="shared" si="241"/>
        <v>5.7</v>
      </c>
      <c r="S173" s="260">
        <f t="shared" si="241"/>
        <v>5.7</v>
      </c>
      <c r="T173" s="260">
        <f t="shared" si="241"/>
        <v>5.68</v>
      </c>
      <c r="U173" s="260">
        <f t="shared" si="241"/>
        <v>5.4</v>
      </c>
      <c r="V173" s="260">
        <f t="shared" si="241"/>
        <v>5.8</v>
      </c>
      <c r="W173" s="260">
        <f t="shared" si="241"/>
        <v>5.4</v>
      </c>
      <c r="X173" s="260">
        <f t="shared" si="241"/>
        <v>5.58</v>
      </c>
      <c r="Y173" s="470">
        <f t="shared" si="241"/>
        <v>5.4870000000000001</v>
      </c>
      <c r="Z173" s="260">
        <f t="shared" si="241"/>
        <v>5.32</v>
      </c>
      <c r="AA173" s="260">
        <f t="shared" si="241"/>
        <v>5.74</v>
      </c>
      <c r="AB173" s="260">
        <f t="shared" si="241"/>
        <v>5.8220000000000001</v>
      </c>
      <c r="AC173" s="260">
        <f t="shared" si="241"/>
        <v>5.7350000000000003</v>
      </c>
      <c r="AD173" s="260">
        <f t="shared" si="241"/>
        <v>5.99</v>
      </c>
      <c r="AE173" s="260">
        <f t="shared" si="241"/>
        <v>5.7350000000000003</v>
      </c>
      <c r="AF173" s="260">
        <f t="shared" si="241"/>
        <v>5.7350000000000003</v>
      </c>
      <c r="AG173" s="260">
        <f t="shared" si="241"/>
        <v>5.55</v>
      </c>
      <c r="AH173" s="260">
        <f t="shared" si="241"/>
        <v>5.4560000000000004</v>
      </c>
      <c r="AI173" s="260">
        <f t="shared" si="241"/>
        <v>5.55</v>
      </c>
      <c r="AJ173" s="260">
        <f t="shared" si="241"/>
        <v>5.4249999999999998</v>
      </c>
      <c r="AK173" s="470">
        <f t="shared" si="241"/>
        <v>5.7350000000000003</v>
      </c>
      <c r="AL173" s="260">
        <f t="shared" si="241"/>
        <v>5.18</v>
      </c>
      <c r="AM173" s="260">
        <f t="shared" si="241"/>
        <v>5.7350000000000003</v>
      </c>
      <c r="AN173" s="260">
        <f t="shared" si="241"/>
        <v>5.7350000000000003</v>
      </c>
      <c r="AO173" s="260">
        <f t="shared" si="241"/>
        <v>5.7350000000000003</v>
      </c>
      <c r="AP173" s="260">
        <f t="shared" si="241"/>
        <v>5.7350000000000003</v>
      </c>
      <c r="AQ173" s="260">
        <f t="shared" si="241"/>
        <v>5.7350000000000003</v>
      </c>
      <c r="AR173" s="260">
        <f t="shared" si="241"/>
        <v>5.7350000000000003</v>
      </c>
      <c r="AS173" s="260">
        <f t="shared" si="241"/>
        <v>5.7350000000000003</v>
      </c>
      <c r="AT173" s="260">
        <f t="shared" si="241"/>
        <v>5.7350000000000003</v>
      </c>
      <c r="AU173" s="260">
        <f t="shared" si="241"/>
        <v>5.7350000000000003</v>
      </c>
      <c r="AV173" s="853">
        <f t="shared" si="241"/>
        <v>5.7350000000000003</v>
      </c>
      <c r="AW173" s="38"/>
      <c r="AX173" s="463">
        <f t="shared" si="236"/>
        <v>67.545000000000002</v>
      </c>
      <c r="AY173" s="463"/>
      <c r="AZ173" s="919">
        <f t="shared" si="235"/>
        <v>68.265000000000001</v>
      </c>
      <c r="BA173" s="31"/>
    </row>
    <row r="174" spans="1:53" ht="15" thickBot="1">
      <c r="A174" s="356"/>
      <c r="B174" s="103" t="s">
        <v>5</v>
      </c>
      <c r="C174" s="28" t="s">
        <v>21</v>
      </c>
      <c r="D174" s="29" t="s">
        <v>5</v>
      </c>
      <c r="E174" s="56">
        <f t="shared" ref="E174:AV174" si="242">E64</f>
        <v>15.6</v>
      </c>
      <c r="F174" s="56">
        <f t="shared" si="242"/>
        <v>16.100000000000001</v>
      </c>
      <c r="G174" s="56">
        <f t="shared" si="242"/>
        <v>16.027000000000001</v>
      </c>
      <c r="H174" s="56">
        <f t="shared" si="242"/>
        <v>14</v>
      </c>
      <c r="I174" s="56">
        <f t="shared" si="242"/>
        <v>15.45</v>
      </c>
      <c r="J174" s="261">
        <f t="shared" si="242"/>
        <v>10.85</v>
      </c>
      <c r="K174" s="261">
        <f t="shared" si="242"/>
        <v>13.15</v>
      </c>
      <c r="L174" s="261">
        <f t="shared" si="242"/>
        <v>13.26</v>
      </c>
      <c r="M174" s="261">
        <f t="shared" si="242"/>
        <v>17</v>
      </c>
      <c r="N174" s="261">
        <f t="shared" si="242"/>
        <v>17.5</v>
      </c>
      <c r="O174" s="261">
        <f t="shared" si="242"/>
        <v>15</v>
      </c>
      <c r="P174" s="261">
        <f t="shared" si="242"/>
        <v>16.5</v>
      </c>
      <c r="Q174" s="261">
        <f t="shared" si="242"/>
        <v>15</v>
      </c>
      <c r="R174" s="261">
        <f t="shared" si="242"/>
        <v>14.5</v>
      </c>
      <c r="S174" s="261">
        <f t="shared" si="242"/>
        <v>15.5</v>
      </c>
      <c r="T174" s="261">
        <f t="shared" si="242"/>
        <v>13.04</v>
      </c>
      <c r="U174" s="261">
        <f t="shared" si="242"/>
        <v>17.2</v>
      </c>
      <c r="V174" s="261">
        <f t="shared" si="242"/>
        <v>15.83</v>
      </c>
      <c r="W174" s="261">
        <f t="shared" si="242"/>
        <v>16.2</v>
      </c>
      <c r="X174" s="261">
        <f t="shared" si="242"/>
        <v>15.4</v>
      </c>
      <c r="Y174" s="461">
        <f t="shared" si="242"/>
        <v>11</v>
      </c>
      <c r="Z174" s="261">
        <f t="shared" si="242"/>
        <v>6.72</v>
      </c>
      <c r="AA174" s="613">
        <f t="shared" si="242"/>
        <v>13.5</v>
      </c>
      <c r="AB174" s="261">
        <f t="shared" si="242"/>
        <v>15</v>
      </c>
      <c r="AC174" s="261">
        <f t="shared" si="242"/>
        <v>15.5</v>
      </c>
      <c r="AD174" s="261">
        <f t="shared" si="242"/>
        <v>12.45</v>
      </c>
      <c r="AE174" s="261">
        <f t="shared" si="242"/>
        <v>9</v>
      </c>
      <c r="AF174" s="613">
        <f t="shared" si="242"/>
        <v>13</v>
      </c>
      <c r="AG174" s="261">
        <f t="shared" si="242"/>
        <v>16.5</v>
      </c>
      <c r="AH174" s="261">
        <f t="shared" si="242"/>
        <v>18.445</v>
      </c>
      <c r="AI174" s="261">
        <f t="shared" si="242"/>
        <v>15.75</v>
      </c>
      <c r="AJ174" s="261">
        <f t="shared" si="242"/>
        <v>14.5</v>
      </c>
      <c r="AK174" s="461">
        <f t="shared" si="242"/>
        <v>15.98</v>
      </c>
      <c r="AL174" s="261">
        <f t="shared" si="242"/>
        <v>14.61</v>
      </c>
      <c r="AM174" s="261">
        <f t="shared" si="242"/>
        <v>8.83</v>
      </c>
      <c r="AN174" s="261">
        <f t="shared" si="242"/>
        <v>9.3000000000000007</v>
      </c>
      <c r="AO174" s="261">
        <f t="shared" si="242"/>
        <v>17.36</v>
      </c>
      <c r="AP174" s="261">
        <f t="shared" si="242"/>
        <v>13.65</v>
      </c>
      <c r="AQ174" s="261">
        <f t="shared" si="242"/>
        <v>4.9349999999999996</v>
      </c>
      <c r="AR174" s="261">
        <f t="shared" si="242"/>
        <v>6.2</v>
      </c>
      <c r="AS174" s="261">
        <f t="shared" si="242"/>
        <v>1.2949999999999999</v>
      </c>
      <c r="AT174" s="261">
        <f t="shared" si="242"/>
        <v>0.33</v>
      </c>
      <c r="AU174" s="261">
        <f t="shared" si="242"/>
        <v>3.3229219999999993</v>
      </c>
      <c r="AV174" s="854">
        <f t="shared" si="242"/>
        <v>1.2949999999999999</v>
      </c>
      <c r="AW174" s="38"/>
      <c r="AX174" s="463">
        <f t="shared" si="236"/>
        <v>161.36500000000001</v>
      </c>
      <c r="AY174" s="463"/>
      <c r="AZ174" s="919">
        <f t="shared" si="235"/>
        <v>97.107922000000016</v>
      </c>
      <c r="BA174" s="31"/>
    </row>
    <row r="175" spans="1:53" s="31" customFormat="1" ht="24" thickBot="1">
      <c r="A175" s="39" t="s">
        <v>193</v>
      </c>
      <c r="B175" s="30"/>
      <c r="L175" s="391"/>
      <c r="M175" s="391"/>
      <c r="N175" s="391"/>
      <c r="O175" s="391"/>
      <c r="P175" s="391"/>
      <c r="Q175" s="85"/>
      <c r="R175" s="85"/>
      <c r="S175" s="85"/>
      <c r="T175" s="85"/>
      <c r="U175" s="85">
        <f>U179-U121-U122</f>
        <v>214.74000000000004</v>
      </c>
      <c r="V175" s="85"/>
      <c r="W175" s="85"/>
      <c r="X175" s="85"/>
      <c r="Y175" s="85"/>
      <c r="Z175" s="85"/>
      <c r="AA175" s="85"/>
      <c r="AB175" s="85"/>
      <c r="AC175" s="85">
        <f>AC176-17</f>
        <v>154.02699999999999</v>
      </c>
      <c r="AD175" s="85"/>
      <c r="AE175" s="85"/>
      <c r="AF175" s="85">
        <f>SUM(AF137,AF134,AF125)</f>
        <v>28.880000000000003</v>
      </c>
      <c r="AG175" s="85"/>
      <c r="AH175" s="85"/>
      <c r="AI175" s="85"/>
      <c r="AJ175" s="85"/>
      <c r="AK175" s="85"/>
      <c r="AL175" s="85"/>
      <c r="AM175" s="85"/>
      <c r="AN175" s="85"/>
      <c r="AO175" s="85"/>
      <c r="AP175" s="85"/>
      <c r="AQ175" s="85"/>
      <c r="AR175" s="85"/>
      <c r="AS175" s="85"/>
      <c r="AT175" s="85"/>
      <c r="AU175" s="85"/>
      <c r="AV175" s="85"/>
      <c r="AW175" s="38"/>
      <c r="AX175" s="38"/>
    </row>
    <row r="176" spans="1:53">
      <c r="A176" s="45" t="s">
        <v>37</v>
      </c>
      <c r="B176" s="49" t="s">
        <v>3</v>
      </c>
      <c r="C176" s="398" t="s">
        <v>8</v>
      </c>
      <c r="D176" s="399" t="s">
        <v>3</v>
      </c>
      <c r="E176" s="53">
        <f>E177+E178</f>
        <v>153.96899999999999</v>
      </c>
      <c r="F176" s="53">
        <f>F177+F178</f>
        <v>125.907</v>
      </c>
      <c r="G176" s="433">
        <f>G177+G178</f>
        <v>143.33699999999999</v>
      </c>
      <c r="H176" s="433">
        <f>H177+H178</f>
        <v>137.83699999999999</v>
      </c>
      <c r="I176" s="433">
        <f t="shared" ref="I176:Q176" si="243">I177+I178</f>
        <v>127.547</v>
      </c>
      <c r="J176" s="433">
        <f t="shared" si="243"/>
        <v>134.31700000000001</v>
      </c>
      <c r="K176" s="433">
        <f t="shared" si="243"/>
        <v>133.44200000000001</v>
      </c>
      <c r="L176" s="433">
        <f t="shared" si="243"/>
        <v>127.133</v>
      </c>
      <c r="M176" s="433">
        <f t="shared" si="243"/>
        <v>109.81</v>
      </c>
      <c r="N176" s="433">
        <f t="shared" si="243"/>
        <v>84.705999999999989</v>
      </c>
      <c r="O176" s="433">
        <f t="shared" si="243"/>
        <v>119.328</v>
      </c>
      <c r="P176" s="433">
        <f t="shared" si="243"/>
        <v>121.05</v>
      </c>
      <c r="Q176" s="433">
        <f t="shared" si="243"/>
        <v>73.457999999999998</v>
      </c>
      <c r="R176" s="433">
        <f>R177+R178</f>
        <v>99.144000000000005</v>
      </c>
      <c r="S176" s="433">
        <f t="shared" ref="S176:AO176" si="244">S177+S178</f>
        <v>95.72999999999999</v>
      </c>
      <c r="T176" s="433">
        <f t="shared" si="244"/>
        <v>108.71236263736263</v>
      </c>
      <c r="U176" s="433">
        <f t="shared" si="244"/>
        <v>94.41</v>
      </c>
      <c r="V176" s="433">
        <f t="shared" si="244"/>
        <v>97.06</v>
      </c>
      <c r="W176" s="433">
        <f t="shared" si="244"/>
        <v>100.8</v>
      </c>
      <c r="X176" s="433">
        <f t="shared" si="244"/>
        <v>112.874</v>
      </c>
      <c r="Y176" s="433">
        <f t="shared" si="244"/>
        <v>114.867</v>
      </c>
      <c r="Z176" s="433">
        <f t="shared" si="244"/>
        <v>120.536</v>
      </c>
      <c r="AA176" s="433">
        <f t="shared" si="244"/>
        <v>128.65600000000001</v>
      </c>
      <c r="AB176" s="433">
        <f t="shared" si="244"/>
        <v>128.49099999999999</v>
      </c>
      <c r="AC176" s="433">
        <f t="shared" si="244"/>
        <v>171.02699999999999</v>
      </c>
      <c r="AD176" s="433">
        <f t="shared" si="244"/>
        <v>148.04000000000002</v>
      </c>
      <c r="AE176" s="433">
        <f t="shared" si="244"/>
        <v>131.059</v>
      </c>
      <c r="AF176" s="433">
        <f>AF177+AF178</f>
        <v>123.10399999999998</v>
      </c>
      <c r="AG176" s="433">
        <f t="shared" si="244"/>
        <v>147.90600000000001</v>
      </c>
      <c r="AH176" s="433">
        <f t="shared" si="244"/>
        <v>107.60600000000001</v>
      </c>
      <c r="AI176" s="433">
        <f t="shared" si="244"/>
        <v>102.54</v>
      </c>
      <c r="AJ176" s="433">
        <f t="shared" si="244"/>
        <v>102.29400000000001</v>
      </c>
      <c r="AK176" s="433">
        <f>AK177+AK178</f>
        <v>130.834</v>
      </c>
      <c r="AL176" s="433">
        <f t="shared" si="244"/>
        <v>114.32999999999998</v>
      </c>
      <c r="AM176" s="433">
        <f t="shared" si="244"/>
        <v>134.18899999999999</v>
      </c>
      <c r="AN176" s="433">
        <f t="shared" si="244"/>
        <v>142.476</v>
      </c>
      <c r="AO176" s="433">
        <f t="shared" si="244"/>
        <v>132.48346471820935</v>
      </c>
      <c r="AP176" s="433">
        <f t="shared" ref="AP176:AQ176" si="245">AP177+AP178</f>
        <v>174.7555270642801</v>
      </c>
      <c r="AQ176" s="433">
        <f t="shared" si="245"/>
        <v>190.46904937958104</v>
      </c>
      <c r="AR176" s="433">
        <f t="shared" ref="AR176:AS176" si="246">AR177+AR178</f>
        <v>176.73791420161729</v>
      </c>
      <c r="AS176" s="433">
        <f t="shared" si="246"/>
        <v>161.78897751428326</v>
      </c>
      <c r="AT176" s="433">
        <f t="shared" ref="AT176:AU176" si="247">AT177+AT178</f>
        <v>188.14221982005932</v>
      </c>
      <c r="AU176" s="433">
        <f t="shared" si="247"/>
        <v>183.52159288866955</v>
      </c>
      <c r="AV176" s="433">
        <f t="shared" ref="AV176" si="248">AV177+AV178</f>
        <v>158.93987097982264</v>
      </c>
      <c r="AW176" s="611"/>
      <c r="AX176" s="463"/>
      <c r="AY176" s="31"/>
      <c r="AZ176" s="31"/>
      <c r="BA176" s="31"/>
    </row>
    <row r="177" spans="1:53">
      <c r="A177" s="47" t="s">
        <v>38</v>
      </c>
      <c r="B177" s="36" t="s">
        <v>3</v>
      </c>
      <c r="C177" s="394" t="s">
        <v>40</v>
      </c>
      <c r="D177" s="395" t="s">
        <v>3</v>
      </c>
      <c r="E177" s="55">
        <f>E109+E115</f>
        <v>120.66</v>
      </c>
      <c r="F177" s="55">
        <f>F109+F115</f>
        <v>113</v>
      </c>
      <c r="G177" s="55">
        <f>G109+G115</f>
        <v>87</v>
      </c>
      <c r="H177" s="55">
        <f>H109+H115</f>
        <v>81</v>
      </c>
      <c r="I177" s="55">
        <f t="shared" ref="I177:X177" si="249">I109+I113+I115</f>
        <v>70</v>
      </c>
      <c r="J177" s="55">
        <f t="shared" si="249"/>
        <v>69</v>
      </c>
      <c r="K177" s="55">
        <f t="shared" si="249"/>
        <v>71</v>
      </c>
      <c r="L177" s="55">
        <f t="shared" si="249"/>
        <v>78.5</v>
      </c>
      <c r="M177" s="55">
        <f t="shared" si="249"/>
        <v>59</v>
      </c>
      <c r="N177" s="55">
        <f t="shared" si="249"/>
        <v>34</v>
      </c>
      <c r="O177" s="55">
        <f t="shared" si="249"/>
        <v>76</v>
      </c>
      <c r="P177" s="55">
        <f t="shared" si="249"/>
        <v>76.5</v>
      </c>
      <c r="Q177" s="55">
        <f t="shared" si="249"/>
        <v>43.5</v>
      </c>
      <c r="R177" s="55">
        <f t="shared" si="249"/>
        <v>55.5</v>
      </c>
      <c r="S177" s="55">
        <f t="shared" si="249"/>
        <v>47.93</v>
      </c>
      <c r="T177" s="55">
        <f t="shared" si="249"/>
        <v>56.379999999999995</v>
      </c>
      <c r="U177" s="55">
        <f t="shared" si="249"/>
        <v>42.91</v>
      </c>
      <c r="V177" s="55">
        <f t="shared" si="249"/>
        <v>43</v>
      </c>
      <c r="W177" s="55">
        <f t="shared" si="249"/>
        <v>48.4</v>
      </c>
      <c r="X177" s="55">
        <f t="shared" si="249"/>
        <v>58.5</v>
      </c>
      <c r="Y177" s="55">
        <f>Y109+Y113+Y114+Y115+Y98</f>
        <v>56.42</v>
      </c>
      <c r="Z177" s="55">
        <f>Z111+Z112+Z113+Z114+Z115+Z98</f>
        <v>66.66</v>
      </c>
      <c r="AA177" s="55">
        <f>AA111+AA112+AA113+AA114+AA115+AA98</f>
        <v>65.36</v>
      </c>
      <c r="AB177" s="55">
        <f>AB111+AB112+AB113+AB114+AB115+AB98</f>
        <v>84.3</v>
      </c>
      <c r="AC177" s="55">
        <f>AC111+AC112+AC113+AC114+AC115+AC98</f>
        <v>121.3</v>
      </c>
      <c r="AD177" s="55">
        <f>AD111+AD112+AD113+AD114+AD115</f>
        <v>88.579000000000008</v>
      </c>
      <c r="AE177" s="55">
        <f t="shared" ref="AE177:AJ177" si="250">AE111+AE112+AE113+AE114+AE115</f>
        <v>100.679</v>
      </c>
      <c r="AF177" s="55">
        <f>AF111+AF112+AF113+AF114+AF115</f>
        <v>82.60199999999999</v>
      </c>
      <c r="AG177" s="55">
        <f t="shared" si="250"/>
        <v>94.522000000000006</v>
      </c>
      <c r="AH177" s="55">
        <f t="shared" si="250"/>
        <v>77.12</v>
      </c>
      <c r="AI177" s="55">
        <f t="shared" si="250"/>
        <v>56.2</v>
      </c>
      <c r="AJ177" s="55">
        <f t="shared" si="250"/>
        <v>57.100000000000009</v>
      </c>
      <c r="AK177" s="55">
        <f>AK111+AK112+AK113+AK114+AK115+AK100+AK102</f>
        <v>74.103999999999999</v>
      </c>
      <c r="AL177" s="55">
        <f t="shared" ref="AL177:AV177" si="251">AL111+AL112+AL113+AL114+AL115+AL100+AL102</f>
        <v>62.16</v>
      </c>
      <c r="AM177" s="55">
        <f t="shared" si="251"/>
        <v>77.778999999999996</v>
      </c>
      <c r="AN177" s="55">
        <f t="shared" si="251"/>
        <v>86.795999999999992</v>
      </c>
      <c r="AO177" s="55">
        <f t="shared" si="251"/>
        <v>84.696458958306906</v>
      </c>
      <c r="AP177" s="55">
        <f t="shared" si="251"/>
        <v>122.6733352834582</v>
      </c>
      <c r="AQ177" s="55">
        <f t="shared" si="251"/>
        <v>136.73411787273173</v>
      </c>
      <c r="AR177" s="55">
        <f t="shared" si="251"/>
        <v>137.36391420161729</v>
      </c>
      <c r="AS177" s="55">
        <f t="shared" si="251"/>
        <v>106.20678573346134</v>
      </c>
      <c r="AT177" s="55">
        <f t="shared" si="251"/>
        <v>130.90728831321002</v>
      </c>
      <c r="AU177" s="55">
        <f t="shared" si="251"/>
        <v>128.43940110784763</v>
      </c>
      <c r="AV177" s="55">
        <f t="shared" si="251"/>
        <v>101.70493947297334</v>
      </c>
      <c r="AW177" s="38"/>
      <c r="AX177" s="38"/>
      <c r="AY177" s="31"/>
      <c r="AZ177" s="31"/>
      <c r="BA177" s="31"/>
    </row>
    <row r="178" spans="1:53" ht="15" thickBot="1">
      <c r="A178" s="47" t="s">
        <v>39</v>
      </c>
      <c r="B178" s="36" t="s">
        <v>3</v>
      </c>
      <c r="C178" s="394" t="s">
        <v>41</v>
      </c>
      <c r="D178" s="395" t="s">
        <v>3</v>
      </c>
      <c r="E178" s="55">
        <f t="shared" ref="E178:Y178" si="252">E118+E119</f>
        <v>33.308999999999997</v>
      </c>
      <c r="F178" s="55">
        <f t="shared" si="252"/>
        <v>12.907</v>
      </c>
      <c r="G178" s="55">
        <f t="shared" si="252"/>
        <v>56.337000000000003</v>
      </c>
      <c r="H178" s="55">
        <f t="shared" si="252"/>
        <v>56.837000000000003</v>
      </c>
      <c r="I178" s="55">
        <f t="shared" si="252"/>
        <v>57.546999999999997</v>
      </c>
      <c r="J178" s="55">
        <f t="shared" si="252"/>
        <v>65.316999999999993</v>
      </c>
      <c r="K178" s="55">
        <f t="shared" si="252"/>
        <v>62.442</v>
      </c>
      <c r="L178" s="55">
        <f t="shared" si="252"/>
        <v>48.632999999999996</v>
      </c>
      <c r="M178" s="55">
        <f t="shared" si="252"/>
        <v>50.81</v>
      </c>
      <c r="N178" s="55">
        <f t="shared" si="252"/>
        <v>50.705999999999996</v>
      </c>
      <c r="O178" s="55">
        <f t="shared" si="252"/>
        <v>43.327999999999996</v>
      </c>
      <c r="P178" s="55">
        <f t="shared" si="252"/>
        <v>44.55</v>
      </c>
      <c r="Q178" s="55">
        <f t="shared" si="252"/>
        <v>29.957999999999998</v>
      </c>
      <c r="R178" s="55">
        <f t="shared" si="252"/>
        <v>43.643999999999998</v>
      </c>
      <c r="S178" s="55">
        <f t="shared" si="252"/>
        <v>47.8</v>
      </c>
      <c r="T178" s="55">
        <f t="shared" si="252"/>
        <v>52.332362637362635</v>
      </c>
      <c r="U178" s="55">
        <f t="shared" si="252"/>
        <v>51.5</v>
      </c>
      <c r="V178" s="55">
        <f t="shared" si="252"/>
        <v>54.06</v>
      </c>
      <c r="W178" s="55">
        <f t="shared" si="252"/>
        <v>52.4</v>
      </c>
      <c r="X178" s="55">
        <f t="shared" si="252"/>
        <v>54.373999999999995</v>
      </c>
      <c r="Y178" s="55">
        <f t="shared" si="252"/>
        <v>58.447000000000003</v>
      </c>
      <c r="Z178" s="55">
        <f>Z118+Z119+Z120</f>
        <v>53.876000000000005</v>
      </c>
      <c r="AA178" s="55">
        <f t="shared" ref="AA178:AJ178" si="253">AA118+AA119+AA120</f>
        <v>63.296000000000006</v>
      </c>
      <c r="AB178" s="55">
        <f t="shared" si="253"/>
        <v>44.191000000000003</v>
      </c>
      <c r="AC178" s="55">
        <f t="shared" si="253"/>
        <v>49.726999999999997</v>
      </c>
      <c r="AD178" s="55">
        <f t="shared" si="253"/>
        <v>59.460999999999999</v>
      </c>
      <c r="AE178" s="55">
        <f t="shared" si="253"/>
        <v>30.38</v>
      </c>
      <c r="AF178" s="55">
        <f t="shared" si="253"/>
        <v>40.502000000000002</v>
      </c>
      <c r="AG178" s="55">
        <f t="shared" si="253"/>
        <v>53.384</v>
      </c>
      <c r="AH178" s="55">
        <f t="shared" si="253"/>
        <v>30.486000000000004</v>
      </c>
      <c r="AI178" s="55">
        <f t="shared" si="253"/>
        <v>46.34</v>
      </c>
      <c r="AJ178" s="55">
        <f t="shared" si="253"/>
        <v>45.194000000000003</v>
      </c>
      <c r="AK178" s="55">
        <f>AK118+AK119+AK120</f>
        <v>56.73</v>
      </c>
      <c r="AL178" s="55">
        <f t="shared" ref="AL178:AV178" si="254">AL118+AL119+AL120</f>
        <v>52.169999999999995</v>
      </c>
      <c r="AM178" s="55">
        <f t="shared" si="254"/>
        <v>56.41</v>
      </c>
      <c r="AN178" s="55">
        <f t="shared" si="254"/>
        <v>55.68</v>
      </c>
      <c r="AO178" s="55">
        <f t="shared" si="254"/>
        <v>47.787005759902449</v>
      </c>
      <c r="AP178" s="55">
        <f t="shared" si="254"/>
        <v>52.082191780821915</v>
      </c>
      <c r="AQ178" s="55">
        <f t="shared" si="254"/>
        <v>53.734931506849307</v>
      </c>
      <c r="AR178" s="55">
        <f t="shared" si="254"/>
        <v>39.374000000000002</v>
      </c>
      <c r="AS178" s="55">
        <f t="shared" si="254"/>
        <v>55.582191780821915</v>
      </c>
      <c r="AT178" s="55">
        <f t="shared" si="254"/>
        <v>57.234931506849307</v>
      </c>
      <c r="AU178" s="55">
        <f t="shared" si="254"/>
        <v>55.082191780821915</v>
      </c>
      <c r="AV178" s="55">
        <f t="shared" si="254"/>
        <v>57.234931506849307</v>
      </c>
      <c r="AW178" s="38"/>
      <c r="AX178" s="38"/>
      <c r="AY178" s="31"/>
      <c r="AZ178" s="31"/>
      <c r="BA178" s="31"/>
    </row>
    <row r="179" spans="1:53" s="31" customFormat="1">
      <c r="A179" s="34" t="s">
        <v>212</v>
      </c>
      <c r="B179" s="426" t="s">
        <v>208</v>
      </c>
      <c r="C179" s="426" t="s">
        <v>215</v>
      </c>
      <c r="D179" s="429" t="s">
        <v>210</v>
      </c>
      <c r="E179" s="50"/>
      <c r="F179" s="50"/>
      <c r="G179" s="433"/>
      <c r="H179" s="433"/>
      <c r="I179" s="433">
        <f t="shared" ref="I179:AC179" si="255">SUM(I121:I174)</f>
        <v>242.43</v>
      </c>
      <c r="J179" s="433">
        <f t="shared" si="255"/>
        <v>240.08403429999998</v>
      </c>
      <c r="K179" s="433">
        <f t="shared" si="255"/>
        <v>242.04816493999996</v>
      </c>
      <c r="L179" s="433">
        <f t="shared" si="255"/>
        <v>240.19812309999995</v>
      </c>
      <c r="M179" s="433">
        <f t="shared" si="255"/>
        <v>235.17329082000001</v>
      </c>
      <c r="N179" s="433">
        <f t="shared" si="255"/>
        <v>224.50545953</v>
      </c>
      <c r="O179" s="433">
        <f t="shared" si="255"/>
        <v>207.45499999999998</v>
      </c>
      <c r="P179" s="433">
        <f t="shared" si="255"/>
        <v>172.54</v>
      </c>
      <c r="Q179" s="433">
        <f t="shared" si="255"/>
        <v>170.11859380999999</v>
      </c>
      <c r="R179" s="433">
        <f t="shared" si="255"/>
        <v>183.64617381999997</v>
      </c>
      <c r="S179" s="433">
        <f t="shared" si="255"/>
        <v>206.13</v>
      </c>
      <c r="T179" s="433">
        <f t="shared" si="255"/>
        <v>215.22000000000006</v>
      </c>
      <c r="U179" s="433">
        <f t="shared" si="255"/>
        <v>216.19000000000003</v>
      </c>
      <c r="V179" s="433">
        <f t="shared" si="255"/>
        <v>228.25</v>
      </c>
      <c r="W179" s="433">
        <f t="shared" si="255"/>
        <v>222.56240770999997</v>
      </c>
      <c r="X179" s="433">
        <f t="shared" si="255"/>
        <v>224.22</v>
      </c>
      <c r="Y179" s="433">
        <f t="shared" si="255"/>
        <v>208.93700000000001</v>
      </c>
      <c r="Z179" s="433">
        <f t="shared" si="255"/>
        <v>204.36743945000001</v>
      </c>
      <c r="AA179" s="433">
        <f t="shared" si="255"/>
        <v>225.35999999999999</v>
      </c>
      <c r="AB179" s="433">
        <f t="shared" si="255"/>
        <v>195.85199999999998</v>
      </c>
      <c r="AC179" s="433">
        <f t="shared" si="255"/>
        <v>198.99500000000003</v>
      </c>
      <c r="AD179" s="433">
        <f>SUM(AD123:AD174)</f>
        <v>200.91</v>
      </c>
      <c r="AE179" s="433">
        <f t="shared" ref="AE179:AP179" si="256">SUM(AE123:AE174)</f>
        <v>203.85499999999999</v>
      </c>
      <c r="AF179" s="433">
        <f>SUM(AF123:AF174)</f>
        <v>196.11499999999998</v>
      </c>
      <c r="AG179" s="433">
        <f>SUM(AG123:AG174)</f>
        <v>200.45000000000002</v>
      </c>
      <c r="AH179" s="433">
        <f t="shared" si="256"/>
        <v>204.44</v>
      </c>
      <c r="AI179" s="433">
        <f t="shared" si="256"/>
        <v>207.67999999999998</v>
      </c>
      <c r="AJ179" s="433">
        <f t="shared" si="256"/>
        <v>215.86511431000008</v>
      </c>
      <c r="AK179" s="433">
        <f>SUM(AK123:AK174)</f>
        <v>223.21540959000001</v>
      </c>
      <c r="AL179" s="433">
        <f t="shared" si="256"/>
        <v>214.80360789999997</v>
      </c>
      <c r="AM179" s="433">
        <f t="shared" si="256"/>
        <v>217.67493929999998</v>
      </c>
      <c r="AN179" s="433">
        <f t="shared" si="256"/>
        <v>219.67206277</v>
      </c>
      <c r="AO179" s="433">
        <f t="shared" si="256"/>
        <v>225.27580286</v>
      </c>
      <c r="AP179" s="433">
        <f t="shared" si="256"/>
        <v>220.73406548</v>
      </c>
      <c r="AQ179" s="433">
        <f t="shared" ref="AQ179:AR179" si="257">SUM(AQ123:AQ174)</f>
        <v>224.26160699999997</v>
      </c>
      <c r="AR179" s="433">
        <f t="shared" si="257"/>
        <v>224.99499999999998</v>
      </c>
      <c r="AS179" s="433">
        <f t="shared" ref="AS179:AT179" si="258">SUM(AS123:AS174)</f>
        <v>223.23999999999995</v>
      </c>
      <c r="AT179" s="433">
        <f t="shared" si="258"/>
        <v>225.79618932999998</v>
      </c>
      <c r="AU179" s="433">
        <f t="shared" ref="AU179:AV179" si="259">SUM(AU123:AU174)</f>
        <v>224.65526965000001</v>
      </c>
      <c r="AV179" s="433">
        <f t="shared" si="259"/>
        <v>222.61999999999998</v>
      </c>
      <c r="AW179" s="38"/>
      <c r="AX179" s="38"/>
    </row>
    <row r="180" spans="1:53" s="31" customFormat="1">
      <c r="A180" s="33"/>
      <c r="B180" s="5" t="s">
        <v>208</v>
      </c>
      <c r="C180" s="5" t="s">
        <v>216</v>
      </c>
      <c r="D180" s="423" t="s">
        <v>20</v>
      </c>
      <c r="G180" s="84"/>
      <c r="H180" s="84"/>
      <c r="I180" s="84">
        <f>I125+I130+I132+I134+I137+I140+I142+I145+I146+I147+I152+I153+I155+I157+I160+I162+I164+I166+I167</f>
        <v>23.099999999999998</v>
      </c>
      <c r="J180" s="84">
        <f t="shared" ref="J180:U180" si="260">J125+J130+J132+J134+J137+J140+J142+J145+J146+J147+J152+J153+J155+J157+J160+J162+J164+J166+J167</f>
        <v>25.6</v>
      </c>
      <c r="K180" s="84">
        <f t="shared" si="260"/>
        <v>38.35</v>
      </c>
      <c r="L180" s="84">
        <f t="shared" si="260"/>
        <v>24.62</v>
      </c>
      <c r="M180" s="84">
        <f t="shared" si="260"/>
        <v>22.66</v>
      </c>
      <c r="N180" s="84">
        <f t="shared" si="260"/>
        <v>18.09</v>
      </c>
      <c r="O180" s="84">
        <f t="shared" si="260"/>
        <v>17.23</v>
      </c>
      <c r="P180" s="84">
        <f t="shared" si="260"/>
        <v>11.25</v>
      </c>
      <c r="Q180" s="84">
        <f t="shared" si="260"/>
        <v>12.100000000000001</v>
      </c>
      <c r="R180" s="84">
        <f t="shared" si="260"/>
        <v>17.88</v>
      </c>
      <c r="S180" s="84">
        <f t="shared" si="260"/>
        <v>23.200000000000003</v>
      </c>
      <c r="T180" s="84">
        <f t="shared" si="260"/>
        <v>31.1</v>
      </c>
      <c r="U180" s="84">
        <f t="shared" si="260"/>
        <v>28.200000000000003</v>
      </c>
      <c r="V180" s="84">
        <f>V125+V126+V130+V132+V134+V135+V137+V138+V140+V142+V145+V146+V147+V152+V153+V155+V157+V160+V162+V164+V166+V167</f>
        <v>31.5</v>
      </c>
      <c r="W180" s="84">
        <f>W125+W126+W130+W132+W134+W135+W137+W138+W140+W142+W145+W146+W147+W152+W153+W155+W157+W160+W162+W164+W166+W167</f>
        <v>32.200000000000003</v>
      </c>
      <c r="X180" s="84">
        <f>X125+X126+X130+X132+X134+X135+X137+X138+X140+X142+X145+X146+X147+X152+X153+X155+X157+X160+X162+X164+X166+X167</f>
        <v>30.77</v>
      </c>
      <c r="Y180" s="84">
        <f>Y125+Y126+Y130+Y132+Y134+Y135+Y137+Y138+Y140+Y142+Y145+Y146+Y147+Y152+Y153+Y155+Y157+Y160+Y162+Y164+Y166+Y167+Y158</f>
        <v>26.55</v>
      </c>
      <c r="Z180" s="84">
        <f t="shared" ref="Z180:AK180" si="261">Z125+Z126+Z130+Z132+Z134+Z135+Z137+Z138+Z140+Z142+Z145+Z146+Z147+Z152+Z153+Z155+Z157+Z160+Z162+Z164+Z166+Z167+Z158</f>
        <v>32.519999999999996</v>
      </c>
      <c r="AA180" s="84">
        <f t="shared" si="261"/>
        <v>34.83</v>
      </c>
      <c r="AB180" s="84">
        <f t="shared" si="261"/>
        <v>29.07</v>
      </c>
      <c r="AC180" s="84">
        <f t="shared" si="261"/>
        <v>28.519999999999996</v>
      </c>
      <c r="AD180" s="84">
        <f t="shared" si="261"/>
        <v>36.29</v>
      </c>
      <c r="AE180" s="84">
        <f t="shared" si="261"/>
        <v>38.450000000000003</v>
      </c>
      <c r="AF180" s="84">
        <f t="shared" si="261"/>
        <v>32.43</v>
      </c>
      <c r="AG180" s="84">
        <f t="shared" si="261"/>
        <v>33.450000000000003</v>
      </c>
      <c r="AH180" s="84">
        <f t="shared" si="261"/>
        <v>29.48</v>
      </c>
      <c r="AI180" s="84">
        <f t="shared" si="261"/>
        <v>33.449999999999996</v>
      </c>
      <c r="AJ180" s="84">
        <f t="shared" si="261"/>
        <v>34.08</v>
      </c>
      <c r="AK180" s="84">
        <f t="shared" si="261"/>
        <v>29.84</v>
      </c>
      <c r="AL180" s="84">
        <f t="shared" ref="AL180:AM180" si="262">AL125+AL126+AL130+AL132+AL134+AL135+AL137+AL138+AL140+AL142+AL145+AL146+AL147+AL152+AL153+AL155+AL157+AL160+AL162+AL164+AL166+AL167+AL158</f>
        <v>37.69</v>
      </c>
      <c r="AM180" s="84">
        <f t="shared" si="262"/>
        <v>38.489999999999995</v>
      </c>
      <c r="AN180" s="84">
        <f t="shared" ref="AN180:AO180" si="263">AN125+AN126+AN130+AN132+AN134+AN135+AN137+AN138+AN140+AN142+AN145+AN146+AN147+AN152+AN153+AN155+AN157+AN160+AN162+AN164+AN166+AN167+AN158</f>
        <v>43.91</v>
      </c>
      <c r="AO180" s="84">
        <f t="shared" si="263"/>
        <v>38.489999999999995</v>
      </c>
      <c r="AP180" s="84">
        <f t="shared" ref="AP180:AQ180" si="264">AP125+AP126+AP130+AP132+AP134+AP135+AP137+AP138+AP140+AP142+AP145+AP146+AP147+AP152+AP153+AP155+AP157+AP160+AP162+AP164+AP166+AP167+AP158</f>
        <v>38.75</v>
      </c>
      <c r="AQ180" s="84">
        <f t="shared" si="264"/>
        <v>49.089999999999996</v>
      </c>
      <c r="AR180" s="685">
        <f t="shared" ref="AR180:AS180" si="265">AR125+AR126+AR130+AR132+AR134+AR135+AR137+AR138+AR140+AR142+AR145+AR146+AR147+AR152+AR153+AR155+AR157+AR160+AR162+AR164+AR166+AR167+AR158</f>
        <v>47.83</v>
      </c>
      <c r="AS180" s="685">
        <f t="shared" si="265"/>
        <v>49.449999999999996</v>
      </c>
      <c r="AT180" s="685">
        <f t="shared" ref="AT180:AU180" si="266">AT125+AT126+AT130+AT132+AT134+AT135+AT137+AT138+AT140+AT142+AT145+AT146+AT147+AT152+AT153+AT155+AT157+AT160+AT162+AT164+AT166+AT167+AT158</f>
        <v>50.7</v>
      </c>
      <c r="AU180" s="685">
        <f t="shared" si="266"/>
        <v>50.43</v>
      </c>
      <c r="AV180" s="685">
        <f t="shared" ref="AV180" si="267">AV125+AV126+AV130+AV132+AV134+AV135+AV137+AV138+AV140+AV142+AV145+AV146+AV147+AV152+AV153+AV155+AV157+AV160+AV162+AV164+AV166+AV167+AV158</f>
        <v>50.43</v>
      </c>
      <c r="AW180" s="38"/>
      <c r="AX180" s="38"/>
    </row>
    <row r="181" spans="1:53" s="31" customFormat="1">
      <c r="A181" s="33"/>
      <c r="B181" s="5" t="s">
        <v>208</v>
      </c>
      <c r="C181" s="5" t="s">
        <v>216</v>
      </c>
      <c r="D181" s="423" t="s">
        <v>160</v>
      </c>
      <c r="G181" s="421"/>
      <c r="H181" s="421"/>
      <c r="I181" s="421">
        <f>I123+I124+I127+I128+I129+I131+I133+I136+I139+I141+I143+I144+I151+I154+I156+I159+I161+I163+I165</f>
        <v>189.82999999999998</v>
      </c>
      <c r="J181" s="421">
        <f t="shared" ref="J181:AJ181" si="268">J123+J124+J127+J128+J129+J131+J133+J136+J139+J141+J143+J144+J151+J154+J156+J159+J161+J163+J165</f>
        <v>190.2437323</v>
      </c>
      <c r="K181" s="421">
        <f t="shared" si="268"/>
        <v>183.23999999999998</v>
      </c>
      <c r="L181" s="421">
        <f t="shared" si="268"/>
        <v>191.20567744999997</v>
      </c>
      <c r="M181" s="421">
        <f t="shared" si="268"/>
        <v>181.64329082</v>
      </c>
      <c r="N181" s="421">
        <f t="shared" si="268"/>
        <v>175.59545953</v>
      </c>
      <c r="O181" s="421">
        <f t="shared" si="268"/>
        <v>161.47</v>
      </c>
      <c r="P181" s="421">
        <f t="shared" si="268"/>
        <v>132.49</v>
      </c>
      <c r="Q181" s="421">
        <f t="shared" si="268"/>
        <v>133.46</v>
      </c>
      <c r="R181" s="421">
        <f t="shared" si="268"/>
        <v>141.44</v>
      </c>
      <c r="S181" s="421">
        <f t="shared" si="268"/>
        <v>156.22999999999999</v>
      </c>
      <c r="T181" s="421">
        <f t="shared" si="268"/>
        <v>160.78</v>
      </c>
      <c r="U181" s="421">
        <f t="shared" si="268"/>
        <v>158.84</v>
      </c>
      <c r="V181" s="421">
        <f t="shared" si="268"/>
        <v>166.91</v>
      </c>
      <c r="W181" s="421">
        <f t="shared" si="268"/>
        <v>160.70240770999999</v>
      </c>
      <c r="X181" s="421">
        <f t="shared" si="268"/>
        <v>162.72</v>
      </c>
      <c r="Y181" s="421">
        <f t="shared" si="268"/>
        <v>156.13</v>
      </c>
      <c r="Z181" s="421">
        <f t="shared" si="268"/>
        <v>148.42743945000001</v>
      </c>
      <c r="AA181" s="421">
        <f t="shared" si="268"/>
        <v>162.11000000000001</v>
      </c>
      <c r="AB181" s="421">
        <f t="shared" si="268"/>
        <v>137.82999999999998</v>
      </c>
      <c r="AC181" s="421">
        <f t="shared" si="268"/>
        <v>140.82999999999998</v>
      </c>
      <c r="AD181" s="421">
        <f t="shared" si="268"/>
        <v>141.32</v>
      </c>
      <c r="AE181" s="84">
        <f>AE123+AE124+AE127+AE128+AE129+AE131+AE133+AE136+AE139+AE141+AE143+AE144+AE151+AE154+AE156+AE159+AE161+AE163+AE165</f>
        <v>145.26999999999998</v>
      </c>
      <c r="AF181" s="421">
        <f t="shared" si="268"/>
        <v>138.22999999999999</v>
      </c>
      <c r="AG181" s="421">
        <f t="shared" si="268"/>
        <v>138.94999999999999</v>
      </c>
      <c r="AH181" s="421">
        <f t="shared" si="268"/>
        <v>144.75900000000001</v>
      </c>
      <c r="AI181" s="421">
        <f t="shared" si="268"/>
        <v>146.32999999999998</v>
      </c>
      <c r="AJ181" s="421">
        <f t="shared" si="268"/>
        <v>153.94011431000001</v>
      </c>
      <c r="AK181" s="421">
        <f t="shared" ref="AK181:AP181" si="269">AK123+AK124+AK127+AK128+AK129+AK131+AK133+AK136+AK139+AK141+AK143+AK144+AK151+AK154+AK156+AK159+AK161+AK163+AK165</f>
        <v>165.00040959</v>
      </c>
      <c r="AL181" s="421">
        <f t="shared" si="269"/>
        <v>150.66360789999999</v>
      </c>
      <c r="AM181" s="421">
        <f t="shared" si="269"/>
        <v>157.95993929999997</v>
      </c>
      <c r="AN181" s="421">
        <f t="shared" si="269"/>
        <v>154.06706277000001</v>
      </c>
      <c r="AO181" s="421">
        <f t="shared" si="269"/>
        <v>157.03080285999999</v>
      </c>
      <c r="AP181" s="421">
        <f t="shared" si="269"/>
        <v>156.47906547999997</v>
      </c>
      <c r="AQ181" s="421">
        <f t="shared" ref="AQ181:AR181" si="270">AQ123+AQ124+AQ127+AQ128+AQ129+AQ131+AQ133+AQ136+AQ139+AQ141+AQ143+AQ144+AQ151+AQ154+AQ156+AQ159+AQ161+AQ163+AQ165</f>
        <v>158.38160699999997</v>
      </c>
      <c r="AR181" s="421">
        <f t="shared" si="270"/>
        <v>159.10999999999999</v>
      </c>
      <c r="AS181" s="421">
        <f t="shared" ref="AS181:AT181" si="271">AS123+AS124+AS127+AS128+AS129+AS131+AS133+AS136+AS139+AS141+AS143+AS144+AS151+AS154+AS156+AS159+AS161+AS163+AS165</f>
        <v>160.63999999999999</v>
      </c>
      <c r="AT181" s="421">
        <f t="shared" si="271"/>
        <v>162.91118932999998</v>
      </c>
      <c r="AU181" s="421">
        <f t="shared" ref="AU181:AV181" si="272">AU123+AU124+AU127+AU128+AU129+AU131+AU133+AU136+AU139+AU141+AU143+AU144+AU151+AU154+AU156+AU159+AU161+AU163+AU165</f>
        <v>159.04734765000001</v>
      </c>
      <c r="AV181" s="421">
        <f t="shared" si="272"/>
        <v>159.04</v>
      </c>
      <c r="AW181" s="38"/>
      <c r="AX181" s="38"/>
      <c r="AZ181" s="832">
        <f>SUM(AK181:AV181)</f>
        <v>1900.33103188</v>
      </c>
    </row>
    <row r="182" spans="1:53" s="31" customFormat="1">
      <c r="A182" s="33"/>
      <c r="B182" s="424" t="s">
        <v>3</v>
      </c>
      <c r="C182" s="5" t="s">
        <v>215</v>
      </c>
      <c r="D182" s="423" t="s">
        <v>217</v>
      </c>
      <c r="G182" s="84"/>
      <c r="H182" s="84"/>
      <c r="I182" s="84">
        <f t="shared" ref="I182:AJ182" si="273">I121+I122</f>
        <v>0.8</v>
      </c>
      <c r="J182" s="84">
        <f t="shared" si="273"/>
        <v>0.64030200000000004</v>
      </c>
      <c r="K182" s="84">
        <f t="shared" si="273"/>
        <v>0.60816493999999999</v>
      </c>
      <c r="L182" s="84">
        <f t="shared" si="273"/>
        <v>1.1024456499999999</v>
      </c>
      <c r="M182" s="84">
        <f t="shared" si="273"/>
        <v>1.3</v>
      </c>
      <c r="N182" s="84">
        <f t="shared" si="273"/>
        <v>1.56</v>
      </c>
      <c r="O182" s="84">
        <f t="shared" si="273"/>
        <v>1.3</v>
      </c>
      <c r="P182" s="84">
        <f t="shared" si="273"/>
        <v>1.45</v>
      </c>
      <c r="Q182" s="84">
        <f t="shared" si="273"/>
        <v>1.3585938099999999</v>
      </c>
      <c r="R182" s="84">
        <f t="shared" si="273"/>
        <v>1.12617382</v>
      </c>
      <c r="S182" s="84">
        <f t="shared" si="273"/>
        <v>1.4</v>
      </c>
      <c r="T182" s="84">
        <f t="shared" si="273"/>
        <v>1.02</v>
      </c>
      <c r="U182" s="84">
        <f t="shared" si="273"/>
        <v>1.45</v>
      </c>
      <c r="V182" s="84">
        <f t="shared" si="273"/>
        <v>1.4500000000000002</v>
      </c>
      <c r="W182" s="84">
        <f t="shared" si="273"/>
        <v>1.4</v>
      </c>
      <c r="X182" s="84">
        <f t="shared" si="273"/>
        <v>1.2</v>
      </c>
      <c r="Y182" s="84">
        <f t="shared" si="273"/>
        <v>1.4</v>
      </c>
      <c r="Z182" s="84">
        <f t="shared" si="273"/>
        <v>1.2999999999999998</v>
      </c>
      <c r="AA182" s="84">
        <f t="shared" si="273"/>
        <v>1.35</v>
      </c>
      <c r="AB182" s="84">
        <f t="shared" si="273"/>
        <v>1.2</v>
      </c>
      <c r="AC182" s="84">
        <f t="shared" si="273"/>
        <v>1.45</v>
      </c>
      <c r="AD182" s="84">
        <f t="shared" si="273"/>
        <v>1.47</v>
      </c>
      <c r="AE182" s="84">
        <f t="shared" si="273"/>
        <v>1.26</v>
      </c>
      <c r="AF182" s="84">
        <f t="shared" si="273"/>
        <v>1.33</v>
      </c>
      <c r="AG182" s="84">
        <f t="shared" si="273"/>
        <v>1.23</v>
      </c>
      <c r="AH182" s="84">
        <f t="shared" si="273"/>
        <v>1.05</v>
      </c>
      <c r="AI182" s="84">
        <f t="shared" si="273"/>
        <v>1.5</v>
      </c>
      <c r="AJ182" s="84">
        <f t="shared" si="273"/>
        <v>1.55</v>
      </c>
      <c r="AK182" s="84">
        <f t="shared" ref="AK182:AP182" si="274">AK121+AK122</f>
        <v>1.4100000000000001</v>
      </c>
      <c r="AL182" s="84">
        <f t="shared" si="274"/>
        <v>1.38</v>
      </c>
      <c r="AM182" s="84">
        <f t="shared" si="274"/>
        <v>0.9</v>
      </c>
      <c r="AN182" s="84">
        <f t="shared" si="274"/>
        <v>0.95</v>
      </c>
      <c r="AO182" s="84">
        <f t="shared" si="274"/>
        <v>0.95</v>
      </c>
      <c r="AP182" s="84">
        <f t="shared" si="274"/>
        <v>0.9</v>
      </c>
      <c r="AQ182" s="84">
        <f t="shared" ref="AQ182:AR182" si="275">AQ121+AQ122</f>
        <v>1.1000000000000001</v>
      </c>
      <c r="AR182" s="685">
        <f t="shared" si="275"/>
        <v>1.1000000000000001</v>
      </c>
      <c r="AS182" s="685">
        <f t="shared" ref="AS182:AT182" si="276">AS121+AS122</f>
        <v>1.1000000000000001</v>
      </c>
      <c r="AT182" s="685">
        <f t="shared" si="276"/>
        <v>1.1000000000000001</v>
      </c>
      <c r="AU182" s="685">
        <f t="shared" ref="AU182:AV182" si="277">AU121+AU122</f>
        <v>1.1000000000000001</v>
      </c>
      <c r="AV182" s="685">
        <f t="shared" si="277"/>
        <v>1.1000000000000001</v>
      </c>
      <c r="AW182" s="38"/>
      <c r="AX182" s="38"/>
    </row>
    <row r="183" spans="1:53" s="31" customFormat="1" ht="15" thickBot="1">
      <c r="A183" s="33"/>
      <c r="B183" s="424" t="s">
        <v>225</v>
      </c>
      <c r="C183" s="5" t="s">
        <v>9</v>
      </c>
      <c r="D183" s="423" t="s">
        <v>214</v>
      </c>
      <c r="G183" s="85"/>
      <c r="H183" s="85"/>
      <c r="I183" s="85">
        <f t="shared" ref="I183:Q183" si="278">SUM(I169:I174)</f>
        <v>28.7</v>
      </c>
      <c r="J183" s="85">
        <f t="shared" si="278"/>
        <v>23.6</v>
      </c>
      <c r="K183" s="85">
        <f t="shared" si="278"/>
        <v>19.850000000000001</v>
      </c>
      <c r="L183" s="85">
        <f t="shared" si="278"/>
        <v>23.27</v>
      </c>
      <c r="M183" s="85">
        <f t="shared" si="278"/>
        <v>29.57</v>
      </c>
      <c r="N183" s="85">
        <f t="shared" si="278"/>
        <v>29.259999999999998</v>
      </c>
      <c r="O183" s="85">
        <f t="shared" si="278"/>
        <v>26.774999999999999</v>
      </c>
      <c r="P183" s="85">
        <f t="shared" si="278"/>
        <v>26.65</v>
      </c>
      <c r="Q183" s="85">
        <f t="shared" si="278"/>
        <v>22.6</v>
      </c>
      <c r="R183" s="85">
        <f>SUM(R169:R174)</f>
        <v>23.2</v>
      </c>
      <c r="S183" s="85">
        <f>SUM(S169:S174)</f>
        <v>24.7</v>
      </c>
      <c r="T183" s="85">
        <f t="shared" ref="T183:AD183" si="279">SUM(T169:T174)</f>
        <v>21.72</v>
      </c>
      <c r="U183" s="85">
        <f t="shared" si="279"/>
        <v>26.2</v>
      </c>
      <c r="V183" s="85">
        <f t="shared" si="279"/>
        <v>28.39</v>
      </c>
      <c r="W183" s="85">
        <f t="shared" si="279"/>
        <v>27.66</v>
      </c>
      <c r="X183" s="85">
        <f t="shared" si="279"/>
        <v>27.65</v>
      </c>
      <c r="Y183" s="85">
        <f t="shared" si="279"/>
        <v>24.856999999999999</v>
      </c>
      <c r="Z183" s="85">
        <f t="shared" si="279"/>
        <v>19.12</v>
      </c>
      <c r="AA183" s="85">
        <f t="shared" si="279"/>
        <v>25.87</v>
      </c>
      <c r="AB183" s="85">
        <f t="shared" si="279"/>
        <v>26.552</v>
      </c>
      <c r="AC183" s="85">
        <f t="shared" si="279"/>
        <v>26.995000000000001</v>
      </c>
      <c r="AD183" s="85">
        <f t="shared" si="279"/>
        <v>23.3</v>
      </c>
      <c r="AE183" s="85">
        <f t="shared" ref="AE183:AK183" si="280">SUM(AE169:AE174)</f>
        <v>20.135000000000002</v>
      </c>
      <c r="AF183" s="85">
        <f t="shared" si="280"/>
        <v>24.855</v>
      </c>
      <c r="AG183" s="85">
        <f t="shared" si="280"/>
        <v>27.45</v>
      </c>
      <c r="AH183" s="85">
        <f t="shared" si="280"/>
        <v>28.401</v>
      </c>
      <c r="AI183" s="85">
        <f t="shared" si="280"/>
        <v>26.7</v>
      </c>
      <c r="AJ183" s="85">
        <f t="shared" si="280"/>
        <v>26.045000000000002</v>
      </c>
      <c r="AK183" s="85">
        <f t="shared" si="280"/>
        <v>28.375</v>
      </c>
      <c r="AL183" s="85">
        <f t="shared" ref="AL183:AM183" si="281">SUM(AL169:AL174)</f>
        <v>26.45</v>
      </c>
      <c r="AM183" s="85">
        <f t="shared" si="281"/>
        <v>21.225000000000001</v>
      </c>
      <c r="AN183" s="85">
        <f t="shared" ref="AN183:AO183" si="282">SUM(AN169:AN174)</f>
        <v>21.695</v>
      </c>
      <c r="AO183" s="85">
        <f t="shared" si="282"/>
        <v>29.754999999999999</v>
      </c>
      <c r="AP183" s="85">
        <f t="shared" ref="AP183:AQ183" si="283">SUM(AP169:AP174)</f>
        <v>25.505000000000003</v>
      </c>
      <c r="AQ183" s="85">
        <f t="shared" si="283"/>
        <v>16.79</v>
      </c>
      <c r="AR183" s="85">
        <f t="shared" ref="AR183:AS183" si="284">SUM(AR169:AR174)</f>
        <v>18.055</v>
      </c>
      <c r="AS183" s="85">
        <f t="shared" si="284"/>
        <v>13.15</v>
      </c>
      <c r="AT183" s="85">
        <f t="shared" ref="AT183:AU183" si="285">SUM(AT169:AT174)</f>
        <v>12.185</v>
      </c>
      <c r="AU183" s="85">
        <f t="shared" si="285"/>
        <v>15.177921999999999</v>
      </c>
      <c r="AV183" s="85">
        <f t="shared" ref="AV183" si="286">SUM(AV169:AV174)</f>
        <v>13.15</v>
      </c>
      <c r="AW183" s="38"/>
      <c r="AX183" s="38"/>
    </row>
    <row r="184" spans="1:53" s="31" customFormat="1">
      <c r="A184" s="352"/>
      <c r="B184" s="474" t="s">
        <v>3</v>
      </c>
      <c r="C184" s="426" t="s">
        <v>219</v>
      </c>
      <c r="D184" s="422" t="s">
        <v>210</v>
      </c>
      <c r="E184" s="473">
        <f t="shared" ref="E184:T184" si="287">SUM(E122:E147)</f>
        <v>156.68</v>
      </c>
      <c r="F184" s="437">
        <f t="shared" si="287"/>
        <v>166.56891165000002</v>
      </c>
      <c r="G184" s="432">
        <f t="shared" si="287"/>
        <v>185.92871692</v>
      </c>
      <c r="H184" s="432">
        <f t="shared" si="287"/>
        <v>177.00768496999999</v>
      </c>
      <c r="I184" s="432">
        <f t="shared" si="287"/>
        <v>187.92999999999998</v>
      </c>
      <c r="J184" s="432">
        <f t="shared" si="287"/>
        <v>193.84373229999997</v>
      </c>
      <c r="K184" s="432">
        <f t="shared" si="287"/>
        <v>198.58999999999997</v>
      </c>
      <c r="L184" s="432">
        <f t="shared" si="287"/>
        <v>191.32567744999997</v>
      </c>
      <c r="M184" s="432">
        <f t="shared" si="287"/>
        <v>184.80329082</v>
      </c>
      <c r="N184" s="432">
        <f t="shared" si="287"/>
        <v>176.30545953000001</v>
      </c>
      <c r="O184" s="432">
        <f t="shared" si="287"/>
        <v>172.35000000000002</v>
      </c>
      <c r="P184" s="432">
        <f t="shared" si="287"/>
        <v>142.49</v>
      </c>
      <c r="Q184" s="432">
        <f t="shared" si="287"/>
        <v>140.31</v>
      </c>
      <c r="R184" s="432">
        <f t="shared" si="287"/>
        <v>160.07</v>
      </c>
      <c r="S184" s="432">
        <f t="shared" si="287"/>
        <v>176.33</v>
      </c>
      <c r="T184" s="432">
        <f t="shared" si="287"/>
        <v>191.43000000000004</v>
      </c>
      <c r="U184" s="432">
        <f>SUM(U121:U147)</f>
        <v>188.79000000000005</v>
      </c>
      <c r="V184" s="432">
        <f>SUM(V122:V147)</f>
        <v>199.20999999999998</v>
      </c>
      <c r="W184" s="432">
        <f>SUM(W122:W147)</f>
        <v>180.70240770999999</v>
      </c>
      <c r="X184" s="432">
        <f>SUM(X122:X147)</f>
        <v>182.49</v>
      </c>
      <c r="Y184" s="432">
        <f>SUM(Y122:Y147)</f>
        <v>164.48000000000002</v>
      </c>
      <c r="Z184" s="432">
        <f t="shared" ref="Z184:AJ184" si="288">SUM(Z122:Z147)</f>
        <v>166.64743945000001</v>
      </c>
      <c r="AA184" s="432">
        <f t="shared" si="288"/>
        <v>197.68999999999997</v>
      </c>
      <c r="AB184" s="432">
        <f t="shared" si="288"/>
        <v>165.49999999999997</v>
      </c>
      <c r="AC184" s="432">
        <f t="shared" si="288"/>
        <v>170.20000000000002</v>
      </c>
      <c r="AD184" s="432">
        <f t="shared" si="288"/>
        <v>178.23</v>
      </c>
      <c r="AE184" s="432">
        <f t="shared" si="288"/>
        <v>184.47999999999996</v>
      </c>
      <c r="AF184" s="432">
        <f t="shared" si="288"/>
        <v>171.30999999999997</v>
      </c>
      <c r="AG184" s="432">
        <f t="shared" si="288"/>
        <v>172.9</v>
      </c>
      <c r="AH184" s="432">
        <f t="shared" si="288"/>
        <v>173.68900000000002</v>
      </c>
      <c r="AI184" s="432">
        <f t="shared" si="288"/>
        <v>176.67999999999998</v>
      </c>
      <c r="AJ184" s="432">
        <f t="shared" si="288"/>
        <v>188.92011431000003</v>
      </c>
      <c r="AK184" s="432">
        <f>SUM(AK122:AK147)</f>
        <v>195.75040959</v>
      </c>
      <c r="AL184" s="432">
        <f t="shared" ref="AL184:AP184" si="289">SUM(AL122:AL147)</f>
        <v>189.23360789999998</v>
      </c>
      <c r="AM184" s="432">
        <f t="shared" si="289"/>
        <v>196.84993929999996</v>
      </c>
      <c r="AN184" s="432">
        <f t="shared" si="289"/>
        <v>198.42706276999999</v>
      </c>
      <c r="AO184" s="432">
        <f t="shared" si="289"/>
        <v>195.97080285999996</v>
      </c>
      <c r="AP184" s="432">
        <f t="shared" si="289"/>
        <v>195.62906547999995</v>
      </c>
      <c r="AQ184" s="432">
        <f t="shared" ref="AQ184:AR184" si="290">SUM(AQ122:AQ147)</f>
        <v>208.07160699999997</v>
      </c>
      <c r="AR184" s="432">
        <f t="shared" si="290"/>
        <v>207.53999999999996</v>
      </c>
      <c r="AS184" s="432">
        <f t="shared" ref="AS184:AT184" si="291">SUM(AS122:AS147)</f>
        <v>210.68999999999994</v>
      </c>
      <c r="AT184" s="432">
        <f t="shared" si="291"/>
        <v>214.21118932999997</v>
      </c>
      <c r="AU184" s="432">
        <f t="shared" ref="AU184:AV184" si="292">SUM(AU122:AU147)</f>
        <v>210.07734764999998</v>
      </c>
      <c r="AV184" s="432">
        <f t="shared" si="292"/>
        <v>210.06999999999996</v>
      </c>
      <c r="AW184" s="611">
        <f>SUM(AK184:AV184)</f>
        <v>2432.52103188</v>
      </c>
      <c r="AX184" s="463">
        <f t="shared" ref="AX184:AX193" si="293">SUM(Y184:AJ184)</f>
        <v>2110.7265537600001</v>
      </c>
    </row>
    <row r="185" spans="1:53" s="31" customFormat="1">
      <c r="A185" s="352"/>
      <c r="B185" s="475" t="s">
        <v>208</v>
      </c>
      <c r="C185" s="5" t="s">
        <v>218</v>
      </c>
      <c r="D185" s="423" t="s">
        <v>210</v>
      </c>
      <c r="G185" s="274"/>
      <c r="H185" s="274"/>
      <c r="I185" s="274">
        <f t="shared" ref="I185:T185" si="294">SUM(I123:I125,I151:I153,I169,I173,I174,I121,I122,I148)</f>
        <v>186.57</v>
      </c>
      <c r="J185" s="274">
        <f t="shared" si="294"/>
        <v>180.2840343</v>
      </c>
      <c r="K185" s="274">
        <f t="shared" si="294"/>
        <v>184.44816493999997</v>
      </c>
      <c r="L185" s="274">
        <f t="shared" si="294"/>
        <v>182.09812309999998</v>
      </c>
      <c r="M185" s="274">
        <f t="shared" si="294"/>
        <v>170.64329082</v>
      </c>
      <c r="N185" s="274">
        <f t="shared" si="294"/>
        <v>161.30545953000001</v>
      </c>
      <c r="O185" s="274">
        <f t="shared" si="294"/>
        <v>157.29500000000002</v>
      </c>
      <c r="P185" s="274">
        <f t="shared" si="294"/>
        <v>129.58999999999997</v>
      </c>
      <c r="Q185" s="274">
        <f t="shared" si="294"/>
        <v>127.31859380999998</v>
      </c>
      <c r="R185" s="274">
        <f t="shared" si="294"/>
        <v>131.86617382</v>
      </c>
      <c r="S185" s="274">
        <f t="shared" si="294"/>
        <v>149.82999999999998</v>
      </c>
      <c r="T185" s="274">
        <f t="shared" si="294"/>
        <v>159.02000000000004</v>
      </c>
      <c r="U185" s="274">
        <f t="shared" ref="U185:AI185" si="295">SUM(U123:U126,U151:U153,U169,U173,U174,U121,U122,U148)</f>
        <v>157.19</v>
      </c>
      <c r="V185" s="274">
        <f>SUM(V123:V126,V151:V153,V169,V173,V174,V121,V122,V148)</f>
        <v>163.95000000000002</v>
      </c>
      <c r="W185" s="274">
        <f t="shared" si="295"/>
        <v>162.36240770999999</v>
      </c>
      <c r="X185" s="274">
        <f t="shared" si="295"/>
        <v>162.32</v>
      </c>
      <c r="Y185" s="274">
        <f t="shared" si="295"/>
        <v>153.23699999999999</v>
      </c>
      <c r="Z185" s="274">
        <f t="shared" si="295"/>
        <v>146.16743944999999</v>
      </c>
      <c r="AA185" s="274">
        <f t="shared" si="295"/>
        <v>161.66</v>
      </c>
      <c r="AB185" s="274">
        <f t="shared" si="295"/>
        <v>143.65199999999999</v>
      </c>
      <c r="AC185" s="274">
        <f t="shared" si="295"/>
        <v>146.315</v>
      </c>
      <c r="AD185" s="274">
        <f t="shared" si="295"/>
        <v>146.67999999999998</v>
      </c>
      <c r="AE185" s="274">
        <f>SUM(AE123:AE126,AE151:AE153,AE169,AE173,AE174,AE121,AE122,AE148)</f>
        <v>148.315</v>
      </c>
      <c r="AF185" s="274">
        <f>SUM(AF123:AF126,AF151:AF153,AF169,AF173,AF174,AF121,AF122,AF148)</f>
        <v>144.39500000000001</v>
      </c>
      <c r="AG185" s="274">
        <f t="shared" si="295"/>
        <v>147.88</v>
      </c>
      <c r="AH185" s="274">
        <f t="shared" si="295"/>
        <v>150.98999999999998</v>
      </c>
      <c r="AI185" s="274">
        <f t="shared" si="295"/>
        <v>151.27000000000001</v>
      </c>
      <c r="AJ185" s="274">
        <f t="shared" ref="AJ185:AO185" si="296">SUM(AJ123:AJ126,AJ151:AJ153,AJ169,AJ173,AJ174,AJ121,AJ122,AJ148)</f>
        <v>155.21511431000005</v>
      </c>
      <c r="AK185" s="274">
        <f t="shared" si="296"/>
        <v>161.92540959000002</v>
      </c>
      <c r="AL185" s="274">
        <f t="shared" si="296"/>
        <v>152.5836079</v>
      </c>
      <c r="AM185" s="274">
        <f t="shared" si="296"/>
        <v>147.12493929999999</v>
      </c>
      <c r="AN185" s="274">
        <f t="shared" si="296"/>
        <v>149.45206277</v>
      </c>
      <c r="AO185" s="274">
        <f t="shared" si="296"/>
        <v>154.77580286</v>
      </c>
      <c r="AP185" s="274">
        <f t="shared" ref="AP185:AQ185" si="297">SUM(AP123:AP126,AP151:AP153,AP169,AP173,AP174,AP121,AP122,AP148)</f>
        <v>150.46406548000002</v>
      </c>
      <c r="AQ185" s="274">
        <f t="shared" si="297"/>
        <v>153.91160699999998</v>
      </c>
      <c r="AR185" s="274">
        <f t="shared" ref="AR185:AS185" si="298">SUM(AR123:AR126,AR151:AR153,AR169,AR173,AR174,AR121,AR122,AR148)</f>
        <v>154.64499999999998</v>
      </c>
      <c r="AS185" s="274">
        <f t="shared" si="298"/>
        <v>153.16999999999996</v>
      </c>
      <c r="AT185" s="274">
        <f t="shared" ref="AT185:AU185" si="299">SUM(AT123:AT126,AT151:AT153,AT169,AT173,AT174,AT121,AT122,AT148)</f>
        <v>155.44618932999998</v>
      </c>
      <c r="AU185" s="274">
        <f t="shared" si="299"/>
        <v>154.58526965000001</v>
      </c>
      <c r="AV185" s="274">
        <f t="shared" ref="AV185" si="300">SUM(AV123:AV126,AV151:AV153,AV169,AV173,AV174,AV121,AV122,AV148)</f>
        <v>152.54999999999998</v>
      </c>
      <c r="AW185" s="38"/>
      <c r="AX185" s="463">
        <f t="shared" si="293"/>
        <v>1795.7765537600001</v>
      </c>
      <c r="AZ185" s="31">
        <f>150*12</f>
        <v>1800</v>
      </c>
    </row>
    <row r="186" spans="1:53" s="31" customFormat="1">
      <c r="A186" s="352"/>
      <c r="B186" s="476" t="s">
        <v>208</v>
      </c>
      <c r="C186" s="438" t="s">
        <v>226</v>
      </c>
      <c r="D186" s="439" t="s">
        <v>210</v>
      </c>
      <c r="G186" s="440"/>
      <c r="H186" s="440"/>
      <c r="I186" s="440"/>
      <c r="J186" s="440"/>
      <c r="K186" s="440"/>
      <c r="L186" s="440"/>
      <c r="M186" s="440"/>
      <c r="N186" s="440"/>
      <c r="O186" s="440"/>
      <c r="P186" s="440"/>
      <c r="Q186" s="440"/>
      <c r="R186" s="440">
        <f t="shared" ref="R186:AJ186" si="301">R185-R121-R122</f>
        <v>130.74</v>
      </c>
      <c r="S186" s="440">
        <f t="shared" si="301"/>
        <v>148.42999999999998</v>
      </c>
      <c r="T186" s="440">
        <f t="shared" si="301"/>
        <v>158.00000000000003</v>
      </c>
      <c r="U186" s="440">
        <f t="shared" si="301"/>
        <v>155.74</v>
      </c>
      <c r="V186" s="440">
        <f t="shared" si="301"/>
        <v>162.5</v>
      </c>
      <c r="W186" s="440">
        <f t="shared" si="301"/>
        <v>160.96240770999998</v>
      </c>
      <c r="X186" s="440">
        <f t="shared" si="301"/>
        <v>161.12</v>
      </c>
      <c r="Y186" s="440">
        <f t="shared" si="301"/>
        <v>151.83699999999999</v>
      </c>
      <c r="Z186" s="440">
        <f t="shared" si="301"/>
        <v>144.86743945000001</v>
      </c>
      <c r="AA186" s="440">
        <f t="shared" si="301"/>
        <v>160.31</v>
      </c>
      <c r="AB186" s="440">
        <f t="shared" si="301"/>
        <v>142.452</v>
      </c>
      <c r="AC186" s="440">
        <f t="shared" si="301"/>
        <v>144.86500000000001</v>
      </c>
      <c r="AD186" s="440">
        <f t="shared" si="301"/>
        <v>145.20999999999998</v>
      </c>
      <c r="AE186" s="440">
        <f>AE185-AE121-AE122</f>
        <v>147.05500000000001</v>
      </c>
      <c r="AF186" s="440">
        <f>AF185-AF121-AF122</f>
        <v>143.065</v>
      </c>
      <c r="AG186" s="440">
        <f t="shared" si="301"/>
        <v>146.65</v>
      </c>
      <c r="AH186" s="440">
        <f t="shared" si="301"/>
        <v>149.94</v>
      </c>
      <c r="AI186" s="440">
        <f t="shared" si="301"/>
        <v>149.77000000000001</v>
      </c>
      <c r="AJ186" s="440">
        <f t="shared" si="301"/>
        <v>153.66511431000004</v>
      </c>
      <c r="AK186" s="440">
        <f t="shared" ref="AK186:AP186" si="302">AK185-AK121-AK122</f>
        <v>160.51540959000002</v>
      </c>
      <c r="AL186" s="440">
        <f t="shared" si="302"/>
        <v>151.20360790000001</v>
      </c>
      <c r="AM186" s="440">
        <f t="shared" si="302"/>
        <v>146.22493929999999</v>
      </c>
      <c r="AN186" s="440">
        <f t="shared" si="302"/>
        <v>148.50206277000001</v>
      </c>
      <c r="AO186" s="440">
        <f t="shared" si="302"/>
        <v>153.82580286000001</v>
      </c>
      <c r="AP186" s="440">
        <f t="shared" si="302"/>
        <v>149.56406548000001</v>
      </c>
      <c r="AQ186" s="440">
        <f t="shared" ref="AQ186:AR186" si="303">AQ185-AQ121-AQ122</f>
        <v>152.81160699999998</v>
      </c>
      <c r="AR186" s="440">
        <f t="shared" si="303"/>
        <v>153.54499999999999</v>
      </c>
      <c r="AS186" s="440">
        <f t="shared" ref="AS186:AT186" si="304">AS185-AS121-AS122</f>
        <v>152.06999999999996</v>
      </c>
      <c r="AT186" s="440">
        <f t="shared" si="304"/>
        <v>154.34618932999999</v>
      </c>
      <c r="AU186" s="440">
        <f t="shared" ref="AU186:AV186" si="305">AU185-AU121-AU122</f>
        <v>153.48526965000002</v>
      </c>
      <c r="AV186" s="440">
        <f t="shared" si="305"/>
        <v>151.44999999999999</v>
      </c>
      <c r="AW186" s="38"/>
      <c r="AX186" s="463">
        <f t="shared" si="293"/>
        <v>1779.6865537600004</v>
      </c>
      <c r="AZ186" s="31">
        <f>AZ185*2%</f>
        <v>36</v>
      </c>
    </row>
    <row r="187" spans="1:53" s="31" customFormat="1">
      <c r="A187" s="352"/>
      <c r="B187" s="475" t="s">
        <v>208</v>
      </c>
      <c r="C187" s="5" t="s">
        <v>222</v>
      </c>
      <c r="D187" s="423" t="s">
        <v>210</v>
      </c>
      <c r="G187" s="274"/>
      <c r="H187" s="274"/>
      <c r="I187" s="274">
        <f t="shared" ref="I187:AJ187" si="306">I127+I128</f>
        <v>45.760000000000005</v>
      </c>
      <c r="J187" s="274">
        <f t="shared" si="306"/>
        <v>46.2</v>
      </c>
      <c r="K187" s="274">
        <f t="shared" si="306"/>
        <v>46.2</v>
      </c>
      <c r="L187" s="274">
        <f t="shared" si="306"/>
        <v>46.2</v>
      </c>
      <c r="M187" s="274">
        <f t="shared" si="306"/>
        <v>44</v>
      </c>
      <c r="N187" s="274">
        <f t="shared" si="306"/>
        <v>44</v>
      </c>
      <c r="O187" s="274">
        <f t="shared" si="306"/>
        <v>33</v>
      </c>
      <c r="P187" s="274">
        <f t="shared" si="306"/>
        <v>30</v>
      </c>
      <c r="Q187" s="274">
        <f t="shared" si="306"/>
        <v>31</v>
      </c>
      <c r="R187" s="274">
        <f t="shared" si="306"/>
        <v>35</v>
      </c>
      <c r="S187" s="274">
        <f t="shared" si="306"/>
        <v>39</v>
      </c>
      <c r="T187" s="274">
        <f t="shared" si="306"/>
        <v>40</v>
      </c>
      <c r="U187" s="274">
        <f t="shared" si="306"/>
        <v>41</v>
      </c>
      <c r="V187" s="274">
        <f t="shared" si="306"/>
        <v>43</v>
      </c>
      <c r="W187" s="274">
        <f t="shared" si="306"/>
        <v>41</v>
      </c>
      <c r="X187" s="274">
        <f t="shared" si="306"/>
        <v>42</v>
      </c>
      <c r="Y187" s="274">
        <f t="shared" si="306"/>
        <v>40</v>
      </c>
      <c r="Z187" s="274">
        <f t="shared" si="306"/>
        <v>39.4</v>
      </c>
      <c r="AA187" s="274">
        <f t="shared" si="306"/>
        <v>43</v>
      </c>
      <c r="AB187" s="274">
        <f t="shared" si="306"/>
        <v>36</v>
      </c>
      <c r="AC187" s="274">
        <f t="shared" si="306"/>
        <v>36</v>
      </c>
      <c r="AD187" s="274">
        <f>AD127+AD128</f>
        <v>36</v>
      </c>
      <c r="AE187" s="274">
        <f t="shared" si="306"/>
        <v>37</v>
      </c>
      <c r="AF187" s="274">
        <f t="shared" si="306"/>
        <v>36</v>
      </c>
      <c r="AG187" s="274">
        <f t="shared" si="306"/>
        <v>36</v>
      </c>
      <c r="AH187" s="274">
        <f t="shared" si="306"/>
        <v>37</v>
      </c>
      <c r="AI187" s="274">
        <f t="shared" si="306"/>
        <v>39</v>
      </c>
      <c r="AJ187" s="274">
        <f t="shared" si="306"/>
        <v>43</v>
      </c>
      <c r="AK187" s="274">
        <f t="shared" ref="AK187:AP187" si="307">AK127+AK128</f>
        <v>44</v>
      </c>
      <c r="AL187" s="274">
        <f t="shared" si="307"/>
        <v>37</v>
      </c>
      <c r="AM187" s="274">
        <f t="shared" si="307"/>
        <v>44</v>
      </c>
      <c r="AN187" s="274">
        <f t="shared" si="307"/>
        <v>44</v>
      </c>
      <c r="AO187" s="274">
        <f t="shared" si="307"/>
        <v>44</v>
      </c>
      <c r="AP187" s="274">
        <f t="shared" si="307"/>
        <v>44</v>
      </c>
      <c r="AQ187" s="274">
        <f t="shared" ref="AQ187:AR187" si="308">AQ127+AQ128</f>
        <v>44</v>
      </c>
      <c r="AR187" s="274">
        <f t="shared" si="308"/>
        <v>44</v>
      </c>
      <c r="AS187" s="274">
        <f t="shared" ref="AS187:AT187" si="309">AS127+AS128</f>
        <v>44</v>
      </c>
      <c r="AT187" s="274">
        <f t="shared" si="309"/>
        <v>44</v>
      </c>
      <c r="AU187" s="274">
        <f t="shared" ref="AU187:AV187" si="310">AU127+AU128</f>
        <v>44</v>
      </c>
      <c r="AV187" s="274">
        <f t="shared" si="310"/>
        <v>44</v>
      </c>
      <c r="AW187" s="38"/>
      <c r="AX187" s="463">
        <f t="shared" si="293"/>
        <v>458.4</v>
      </c>
    </row>
    <row r="188" spans="1:53" s="31" customFormat="1">
      <c r="A188" s="352"/>
      <c r="B188" s="475" t="s">
        <v>208</v>
      </c>
      <c r="C188" s="5" t="s">
        <v>221</v>
      </c>
      <c r="D188" s="423" t="s">
        <v>210</v>
      </c>
      <c r="G188" s="274"/>
      <c r="H188" s="274"/>
      <c r="I188" s="274">
        <f t="shared" ref="I188:U188" si="311">I133+I134+I156+I157+I170</f>
        <v>2.4</v>
      </c>
      <c r="J188" s="274">
        <f t="shared" si="311"/>
        <v>1.8</v>
      </c>
      <c r="K188" s="274">
        <f t="shared" si="311"/>
        <v>2.4</v>
      </c>
      <c r="L188" s="274">
        <f t="shared" si="311"/>
        <v>2.4</v>
      </c>
      <c r="M188" s="274">
        <f t="shared" si="311"/>
        <v>4.33</v>
      </c>
      <c r="N188" s="274">
        <f t="shared" si="311"/>
        <v>4.2</v>
      </c>
      <c r="O188" s="274">
        <f t="shared" si="311"/>
        <v>3</v>
      </c>
      <c r="P188" s="274">
        <f t="shared" si="311"/>
        <v>1.8</v>
      </c>
      <c r="Q188" s="274">
        <f t="shared" si="311"/>
        <v>1.8</v>
      </c>
      <c r="R188" s="274">
        <f t="shared" si="311"/>
        <v>1.8</v>
      </c>
      <c r="S188" s="274">
        <f t="shared" si="311"/>
        <v>1.8</v>
      </c>
      <c r="T188" s="274">
        <f t="shared" si="311"/>
        <v>1.8</v>
      </c>
      <c r="U188" s="274">
        <f t="shared" si="311"/>
        <v>2.4</v>
      </c>
      <c r="V188" s="274">
        <f>V133+V134+V156+V157+V170+V135</f>
        <v>2.6</v>
      </c>
      <c r="W188" s="274">
        <f>W133+W134+W156+W157+W170+W135</f>
        <v>4.2</v>
      </c>
      <c r="X188" s="274">
        <f>X133+X134+X156+X157+X170+X135</f>
        <v>4.2</v>
      </c>
      <c r="Y188" s="274">
        <f>Y133+Y134+Y156+Y157+Y158+Y170+Y135</f>
        <v>4.4000000000000004</v>
      </c>
      <c r="Z188" s="274">
        <f t="shared" ref="Z188:AJ188" si="312">Z133+Z134+Z156+Z157+Z158+Z170+Z135</f>
        <v>5</v>
      </c>
      <c r="AA188" s="274">
        <f t="shared" si="312"/>
        <v>4.2</v>
      </c>
      <c r="AB188" s="274">
        <f t="shared" si="312"/>
        <v>4.2</v>
      </c>
      <c r="AC188" s="274">
        <f t="shared" si="312"/>
        <v>3.5999999999999996</v>
      </c>
      <c r="AD188" s="274">
        <f t="shared" si="312"/>
        <v>4.2</v>
      </c>
      <c r="AE188" s="274">
        <f t="shared" si="312"/>
        <v>4.2</v>
      </c>
      <c r="AF188" s="274">
        <f t="shared" si="312"/>
        <v>4.2</v>
      </c>
      <c r="AG188" s="274">
        <f t="shared" si="312"/>
        <v>4.8</v>
      </c>
      <c r="AH188" s="274">
        <f t="shared" si="312"/>
        <v>4.2</v>
      </c>
      <c r="AI188" s="274">
        <f t="shared" si="312"/>
        <v>4.2</v>
      </c>
      <c r="AJ188" s="274">
        <f t="shared" si="312"/>
        <v>4.2</v>
      </c>
      <c r="AK188" s="274">
        <f t="shared" ref="AK188:AP188" si="313">AK133+AK134+AK156+AK157+AK158+AK170+AK135</f>
        <v>4.2</v>
      </c>
      <c r="AL188" s="274">
        <f t="shared" si="313"/>
        <v>4.2</v>
      </c>
      <c r="AM188" s="274">
        <f t="shared" si="313"/>
        <v>4.2</v>
      </c>
      <c r="AN188" s="274">
        <f t="shared" si="313"/>
        <v>4.2</v>
      </c>
      <c r="AO188" s="274">
        <f t="shared" si="313"/>
        <v>4.2</v>
      </c>
      <c r="AP188" s="274">
        <f t="shared" si="313"/>
        <v>4.2</v>
      </c>
      <c r="AQ188" s="274">
        <f t="shared" ref="AQ188:AR188" si="314">AQ133+AQ134+AQ156+AQ157+AQ158+AQ170+AQ135</f>
        <v>4.2</v>
      </c>
      <c r="AR188" s="274">
        <f t="shared" si="314"/>
        <v>4.2</v>
      </c>
      <c r="AS188" s="274">
        <f t="shared" ref="AS188:AT188" si="315">AS133+AS134+AS156+AS157+AS158+AS170+AS135</f>
        <v>4.2</v>
      </c>
      <c r="AT188" s="274">
        <f t="shared" si="315"/>
        <v>4.2</v>
      </c>
      <c r="AU188" s="274">
        <f t="shared" ref="AU188:AV188" si="316">AU133+AU134+AU156+AU157+AU158+AU170+AU135</f>
        <v>4.2</v>
      </c>
      <c r="AV188" s="274">
        <f t="shared" si="316"/>
        <v>4.2</v>
      </c>
      <c r="AW188" s="38"/>
      <c r="AX188" s="463">
        <f t="shared" si="293"/>
        <v>51.400000000000006</v>
      </c>
    </row>
    <row r="189" spans="1:53" s="31" customFormat="1" ht="12" customHeight="1">
      <c r="A189" s="352"/>
      <c r="B189" s="475" t="s">
        <v>208</v>
      </c>
      <c r="C189" s="5" t="s">
        <v>220</v>
      </c>
      <c r="D189" s="423" t="s">
        <v>210</v>
      </c>
      <c r="G189" s="274"/>
      <c r="H189" s="274"/>
      <c r="I189" s="274">
        <f t="shared" ref="I189:AK189" si="317">I136+I137+I149+I159+I160+I171</f>
        <v>3.8</v>
      </c>
      <c r="J189" s="274">
        <f t="shared" si="317"/>
        <v>6.4</v>
      </c>
      <c r="K189" s="274">
        <f t="shared" si="317"/>
        <v>5.6</v>
      </c>
      <c r="L189" s="274">
        <f t="shared" si="317"/>
        <v>6.4</v>
      </c>
      <c r="M189" s="274">
        <f t="shared" si="317"/>
        <v>15</v>
      </c>
      <c r="N189" s="274">
        <f t="shared" si="317"/>
        <v>15</v>
      </c>
      <c r="O189" s="274">
        <f t="shared" si="317"/>
        <v>14.16</v>
      </c>
      <c r="P189" s="274">
        <f t="shared" si="317"/>
        <v>10.5</v>
      </c>
      <c r="Q189" s="274">
        <f t="shared" si="317"/>
        <v>10</v>
      </c>
      <c r="R189" s="274">
        <f t="shared" si="317"/>
        <v>14.98</v>
      </c>
      <c r="S189" s="274">
        <f t="shared" si="317"/>
        <v>15.5</v>
      </c>
      <c r="T189" s="274">
        <f t="shared" si="317"/>
        <v>14.4</v>
      </c>
      <c r="U189" s="274">
        <f t="shared" si="317"/>
        <v>15.6</v>
      </c>
      <c r="V189" s="274">
        <f t="shared" si="317"/>
        <v>17.5</v>
      </c>
      <c r="W189" s="274">
        <f t="shared" si="317"/>
        <v>15</v>
      </c>
      <c r="X189" s="274">
        <f t="shared" si="317"/>
        <v>15.7</v>
      </c>
      <c r="Y189" s="274">
        <f t="shared" si="317"/>
        <v>11.3</v>
      </c>
      <c r="Z189" s="274">
        <f t="shared" si="317"/>
        <v>13.2</v>
      </c>
      <c r="AA189" s="274">
        <f t="shared" si="317"/>
        <v>16.5</v>
      </c>
      <c r="AB189" s="274">
        <f t="shared" si="317"/>
        <v>12</v>
      </c>
      <c r="AC189" s="274">
        <f t="shared" si="317"/>
        <v>13.079999999999998</v>
      </c>
      <c r="AD189" s="274">
        <f>AD136+AD137+AD149+AD159+AD160+AD171</f>
        <v>15.5</v>
      </c>
      <c r="AE189" s="274">
        <f t="shared" si="317"/>
        <v>15.000000000000002</v>
      </c>
      <c r="AF189" s="274">
        <f t="shared" si="317"/>
        <v>11</v>
      </c>
      <c r="AG189" s="274">
        <f t="shared" si="317"/>
        <v>13</v>
      </c>
      <c r="AH189" s="274">
        <f t="shared" si="317"/>
        <v>13.3</v>
      </c>
      <c r="AI189" s="274">
        <f t="shared" si="317"/>
        <v>14.709999999999999</v>
      </c>
      <c r="AJ189" s="274">
        <f t="shared" si="317"/>
        <v>15</v>
      </c>
      <c r="AK189" s="274">
        <f t="shared" si="317"/>
        <v>14.5</v>
      </c>
      <c r="AL189" s="274">
        <f t="shared" ref="AL189:AM189" si="318">AL136+AL137+AL149+AL159+AL160+AL171</f>
        <v>14.5</v>
      </c>
      <c r="AM189" s="274">
        <f t="shared" si="318"/>
        <v>14.5</v>
      </c>
      <c r="AN189" s="274">
        <f t="shared" ref="AN189:AO189" si="319">AN136+AN137+AN149+AN159+AN160+AN171</f>
        <v>14.5</v>
      </c>
      <c r="AO189" s="274">
        <f t="shared" si="319"/>
        <v>14.5</v>
      </c>
      <c r="AP189" s="274">
        <f t="shared" ref="AP189:AQ189" si="320">AP136+AP137+AP149+AP159+AP160+AP171</f>
        <v>14.5</v>
      </c>
      <c r="AQ189" s="274">
        <f t="shared" si="320"/>
        <v>14.5</v>
      </c>
      <c r="AR189" s="274">
        <f t="shared" ref="AR189:AS189" si="321">AR136+AR137+AR149+AR159+AR160+AR171</f>
        <v>14.5</v>
      </c>
      <c r="AS189" s="274">
        <f t="shared" si="321"/>
        <v>14.5</v>
      </c>
      <c r="AT189" s="274">
        <f t="shared" ref="AT189:AU189" si="322">AT136+AT137+AT149+AT159+AT160+AT171</f>
        <v>14.5</v>
      </c>
      <c r="AU189" s="274">
        <f t="shared" si="322"/>
        <v>14.5</v>
      </c>
      <c r="AV189" s="274">
        <f t="shared" ref="AV189" si="323">AV136+AV137+AV149+AV159+AV160+AV171</f>
        <v>14.5</v>
      </c>
      <c r="AW189" s="38"/>
      <c r="AX189" s="463">
        <f t="shared" si="293"/>
        <v>163.59</v>
      </c>
    </row>
    <row r="190" spans="1:53" s="31" customFormat="1" ht="12.65" customHeight="1">
      <c r="A190" s="352"/>
      <c r="B190" s="475" t="s">
        <v>208</v>
      </c>
      <c r="C190" s="5" t="s">
        <v>230</v>
      </c>
      <c r="D190" s="423" t="s">
        <v>210</v>
      </c>
      <c r="G190" s="274"/>
      <c r="H190" s="274"/>
      <c r="I190" s="274"/>
      <c r="J190" s="274"/>
      <c r="K190" s="274"/>
      <c r="L190" s="274"/>
      <c r="M190" s="274"/>
      <c r="N190" s="274"/>
      <c r="O190" s="274"/>
      <c r="P190" s="274"/>
      <c r="Q190" s="274"/>
      <c r="R190" s="274"/>
      <c r="S190" s="274"/>
      <c r="T190" s="274">
        <f t="shared" ref="T190:AJ190" si="324">T138+T172</f>
        <v>0</v>
      </c>
      <c r="U190" s="274">
        <f t="shared" si="324"/>
        <v>0</v>
      </c>
      <c r="V190" s="274">
        <f t="shared" si="324"/>
        <v>0</v>
      </c>
      <c r="W190" s="274">
        <f t="shared" si="324"/>
        <v>0</v>
      </c>
      <c r="X190" s="274">
        <f t="shared" si="324"/>
        <v>0</v>
      </c>
      <c r="Y190" s="274">
        <f t="shared" si="324"/>
        <v>0</v>
      </c>
      <c r="Z190" s="274">
        <f t="shared" si="324"/>
        <v>0</v>
      </c>
      <c r="AA190" s="274">
        <f t="shared" si="324"/>
        <v>0</v>
      </c>
      <c r="AB190" s="274">
        <f t="shared" si="324"/>
        <v>0</v>
      </c>
      <c r="AC190" s="274">
        <f t="shared" si="324"/>
        <v>0</v>
      </c>
      <c r="AD190" s="274">
        <f t="shared" si="324"/>
        <v>0</v>
      </c>
      <c r="AE190" s="274">
        <f t="shared" si="324"/>
        <v>0</v>
      </c>
      <c r="AF190" s="274">
        <f t="shared" si="324"/>
        <v>0</v>
      </c>
      <c r="AG190" s="274">
        <f t="shared" si="324"/>
        <v>0</v>
      </c>
      <c r="AH190" s="274">
        <f t="shared" si="324"/>
        <v>0</v>
      </c>
      <c r="AI190" s="274">
        <f t="shared" si="324"/>
        <v>0</v>
      </c>
      <c r="AJ190" s="274">
        <f t="shared" si="324"/>
        <v>0</v>
      </c>
      <c r="AK190" s="274">
        <f t="shared" ref="AK190:AP190" si="325">AK138+AK172</f>
        <v>0</v>
      </c>
      <c r="AL190" s="274">
        <f t="shared" si="325"/>
        <v>0</v>
      </c>
      <c r="AM190" s="274">
        <f t="shared" si="325"/>
        <v>0</v>
      </c>
      <c r="AN190" s="274">
        <f t="shared" si="325"/>
        <v>0</v>
      </c>
      <c r="AO190" s="274">
        <f t="shared" si="325"/>
        <v>0</v>
      </c>
      <c r="AP190" s="274">
        <f t="shared" si="325"/>
        <v>0</v>
      </c>
      <c r="AQ190" s="274">
        <f t="shared" ref="AQ190:AR190" si="326">AQ138+AQ172</f>
        <v>0</v>
      </c>
      <c r="AR190" s="274">
        <f t="shared" si="326"/>
        <v>0</v>
      </c>
      <c r="AS190" s="274">
        <f t="shared" ref="AS190:AT190" si="327">AS138+AS172</f>
        <v>0</v>
      </c>
      <c r="AT190" s="274">
        <f t="shared" si="327"/>
        <v>0</v>
      </c>
      <c r="AU190" s="274">
        <f t="shared" ref="AU190:AV190" si="328">AU138+AU172</f>
        <v>0</v>
      </c>
      <c r="AV190" s="274">
        <f t="shared" si="328"/>
        <v>0</v>
      </c>
      <c r="AW190" s="38"/>
      <c r="AX190" s="463">
        <f t="shared" si="293"/>
        <v>0</v>
      </c>
    </row>
    <row r="191" spans="1:53" s="31" customFormat="1" ht="12.65" customHeight="1">
      <c r="A191" s="352"/>
      <c r="B191" s="475" t="s">
        <v>208</v>
      </c>
      <c r="C191" s="5" t="s">
        <v>233</v>
      </c>
      <c r="D191" s="423" t="s">
        <v>210</v>
      </c>
      <c r="G191" s="274"/>
      <c r="H191" s="274"/>
      <c r="I191" s="274"/>
      <c r="J191" s="274"/>
      <c r="K191" s="274"/>
      <c r="L191" s="274"/>
      <c r="M191" s="274"/>
      <c r="N191" s="274"/>
      <c r="O191" s="274"/>
      <c r="P191" s="274"/>
      <c r="Q191" s="274"/>
      <c r="R191" s="274"/>
      <c r="S191" s="274"/>
      <c r="T191" s="274"/>
      <c r="U191" s="274"/>
      <c r="V191" s="274"/>
      <c r="W191" s="274">
        <f>W129+W130+W154+W155</f>
        <v>0</v>
      </c>
      <c r="X191" s="274">
        <f t="shared" ref="X191:AJ191" si="329">X129+X130+X154+X155</f>
        <v>0</v>
      </c>
      <c r="Y191" s="274">
        <f t="shared" si="329"/>
        <v>0</v>
      </c>
      <c r="Z191" s="274">
        <f t="shared" si="329"/>
        <v>0</v>
      </c>
      <c r="AA191" s="274">
        <f t="shared" si="329"/>
        <v>0</v>
      </c>
      <c r="AB191" s="274">
        <f t="shared" si="329"/>
        <v>0</v>
      </c>
      <c r="AC191" s="274">
        <f t="shared" si="329"/>
        <v>0</v>
      </c>
      <c r="AD191" s="274">
        <f t="shared" si="329"/>
        <v>0</v>
      </c>
      <c r="AE191" s="274">
        <f t="shared" si="329"/>
        <v>0</v>
      </c>
      <c r="AF191" s="274">
        <f t="shared" si="329"/>
        <v>0</v>
      </c>
      <c r="AG191" s="274">
        <f t="shared" si="329"/>
        <v>0</v>
      </c>
      <c r="AH191" s="274">
        <f t="shared" si="329"/>
        <v>0</v>
      </c>
      <c r="AI191" s="274">
        <f t="shared" si="329"/>
        <v>0</v>
      </c>
      <c r="AJ191" s="274">
        <f t="shared" si="329"/>
        <v>0</v>
      </c>
      <c r="AK191" s="274">
        <f t="shared" ref="AK191:AP191" si="330">AK129+AK130+AK154+AK155</f>
        <v>0</v>
      </c>
      <c r="AL191" s="274">
        <f t="shared" si="330"/>
        <v>0</v>
      </c>
      <c r="AM191" s="274">
        <f t="shared" si="330"/>
        <v>0</v>
      </c>
      <c r="AN191" s="274">
        <f t="shared" si="330"/>
        <v>0</v>
      </c>
      <c r="AO191" s="274">
        <f t="shared" si="330"/>
        <v>0</v>
      </c>
      <c r="AP191" s="274">
        <f t="shared" si="330"/>
        <v>0</v>
      </c>
      <c r="AQ191" s="274">
        <f t="shared" ref="AQ191:AR191" si="331">AQ129+AQ130+AQ154+AQ155</f>
        <v>0</v>
      </c>
      <c r="AR191" s="274">
        <f t="shared" si="331"/>
        <v>0</v>
      </c>
      <c r="AS191" s="274">
        <f t="shared" ref="AS191:AT191" si="332">AS129+AS130+AS154+AS155</f>
        <v>0</v>
      </c>
      <c r="AT191" s="274">
        <f t="shared" si="332"/>
        <v>0</v>
      </c>
      <c r="AU191" s="274">
        <f t="shared" ref="AU191:AV191" si="333">AU129+AU130+AU154+AU155</f>
        <v>0</v>
      </c>
      <c r="AV191" s="274">
        <f t="shared" si="333"/>
        <v>0</v>
      </c>
      <c r="AW191" s="38"/>
      <c r="AX191" s="463">
        <f t="shared" si="293"/>
        <v>0</v>
      </c>
    </row>
    <row r="192" spans="1:53" s="31" customFormat="1" ht="12.65" customHeight="1">
      <c r="A192" s="352"/>
      <c r="B192" s="475" t="s">
        <v>208</v>
      </c>
      <c r="C192" s="5" t="s">
        <v>234</v>
      </c>
      <c r="D192" s="423" t="s">
        <v>210</v>
      </c>
      <c r="G192" s="274"/>
      <c r="H192" s="274"/>
      <c r="I192" s="274"/>
      <c r="J192" s="274"/>
      <c r="K192" s="274"/>
      <c r="L192" s="274"/>
      <c r="M192" s="274"/>
      <c r="N192" s="274"/>
      <c r="O192" s="274"/>
      <c r="P192" s="274"/>
      <c r="Q192" s="274"/>
      <c r="R192" s="274"/>
      <c r="S192" s="274"/>
      <c r="T192" s="274"/>
      <c r="U192" s="274"/>
      <c r="V192" s="274"/>
      <c r="W192" s="274">
        <f>W131+W132</f>
        <v>0</v>
      </c>
      <c r="X192" s="274">
        <f t="shared" ref="X192:AJ192" si="334">X131+X132</f>
        <v>0</v>
      </c>
      <c r="Y192" s="274">
        <f t="shared" si="334"/>
        <v>0</v>
      </c>
      <c r="Z192" s="274">
        <f t="shared" si="334"/>
        <v>0</v>
      </c>
      <c r="AA192" s="274">
        <f t="shared" si="334"/>
        <v>0</v>
      </c>
      <c r="AB192" s="274">
        <f t="shared" si="334"/>
        <v>0</v>
      </c>
      <c r="AC192" s="274">
        <f t="shared" si="334"/>
        <v>0</v>
      </c>
      <c r="AD192" s="274">
        <f t="shared" si="334"/>
        <v>0</v>
      </c>
      <c r="AE192" s="274">
        <f t="shared" si="334"/>
        <v>0</v>
      </c>
      <c r="AF192" s="274">
        <f t="shared" si="334"/>
        <v>0</v>
      </c>
      <c r="AG192" s="274">
        <f t="shared" si="334"/>
        <v>0</v>
      </c>
      <c r="AH192" s="274">
        <f t="shared" si="334"/>
        <v>0</v>
      </c>
      <c r="AI192" s="274">
        <f t="shared" si="334"/>
        <v>0</v>
      </c>
      <c r="AJ192" s="274">
        <f t="shared" si="334"/>
        <v>0</v>
      </c>
      <c r="AK192" s="274">
        <f t="shared" ref="AK192:AP192" si="335">AK131+AK132</f>
        <v>0</v>
      </c>
      <c r="AL192" s="274">
        <f t="shared" si="335"/>
        <v>0</v>
      </c>
      <c r="AM192" s="274">
        <f t="shared" si="335"/>
        <v>0</v>
      </c>
      <c r="AN192" s="274">
        <f t="shared" si="335"/>
        <v>0</v>
      </c>
      <c r="AO192" s="274">
        <f t="shared" si="335"/>
        <v>0</v>
      </c>
      <c r="AP192" s="274">
        <f t="shared" si="335"/>
        <v>0</v>
      </c>
      <c r="AQ192" s="274">
        <f t="shared" ref="AQ192:AR192" si="336">AQ131+AQ132</f>
        <v>0</v>
      </c>
      <c r="AR192" s="274">
        <f t="shared" si="336"/>
        <v>0</v>
      </c>
      <c r="AS192" s="274">
        <f t="shared" ref="AS192:AT192" si="337">AS131+AS132</f>
        <v>0</v>
      </c>
      <c r="AT192" s="274">
        <f t="shared" si="337"/>
        <v>0</v>
      </c>
      <c r="AU192" s="274">
        <f t="shared" ref="AU192:AV192" si="338">AU131+AU132</f>
        <v>0</v>
      </c>
      <c r="AV192" s="274">
        <f t="shared" si="338"/>
        <v>0</v>
      </c>
      <c r="AW192" s="38"/>
      <c r="AX192" s="463">
        <f t="shared" si="293"/>
        <v>0</v>
      </c>
    </row>
    <row r="193" spans="1:53" s="31" customFormat="1" ht="12.65" customHeight="1" thickBot="1">
      <c r="A193" s="352"/>
      <c r="B193" s="428" t="s">
        <v>208</v>
      </c>
      <c r="C193" s="427" t="s">
        <v>235</v>
      </c>
      <c r="D193" s="425" t="s">
        <v>210</v>
      </c>
      <c r="G193" s="274"/>
      <c r="H193" s="274"/>
      <c r="I193" s="274"/>
      <c r="J193" s="274"/>
      <c r="K193" s="274"/>
      <c r="L193" s="274"/>
      <c r="M193" s="274"/>
      <c r="N193" s="274"/>
      <c r="O193" s="274"/>
      <c r="P193" s="274"/>
      <c r="Q193" s="274"/>
      <c r="R193" s="274"/>
      <c r="S193" s="274"/>
      <c r="T193" s="274"/>
      <c r="U193" s="274"/>
      <c r="V193" s="274"/>
      <c r="W193" s="274">
        <f>W141+W142+W163+W164</f>
        <v>0</v>
      </c>
      <c r="X193" s="274">
        <f t="shared" ref="X193:AJ193" si="339">X141+X142+X163+X164</f>
        <v>0</v>
      </c>
      <c r="Y193" s="274">
        <f t="shared" si="339"/>
        <v>0</v>
      </c>
      <c r="Z193" s="274">
        <f t="shared" si="339"/>
        <v>0</v>
      </c>
      <c r="AA193" s="274">
        <f t="shared" si="339"/>
        <v>0</v>
      </c>
      <c r="AB193" s="274">
        <f t="shared" si="339"/>
        <v>0</v>
      </c>
      <c r="AC193" s="274">
        <f t="shared" si="339"/>
        <v>0</v>
      </c>
      <c r="AD193" s="274">
        <f t="shared" si="339"/>
        <v>0</v>
      </c>
      <c r="AE193" s="274">
        <f t="shared" si="339"/>
        <v>0</v>
      </c>
      <c r="AF193" s="274">
        <f t="shared" si="339"/>
        <v>0</v>
      </c>
      <c r="AG193" s="274">
        <f t="shared" si="339"/>
        <v>0</v>
      </c>
      <c r="AH193" s="274">
        <f t="shared" si="339"/>
        <v>0</v>
      </c>
      <c r="AI193" s="274">
        <f t="shared" si="339"/>
        <v>0</v>
      </c>
      <c r="AJ193" s="274">
        <f t="shared" si="339"/>
        <v>0</v>
      </c>
      <c r="AK193" s="274">
        <f t="shared" ref="AK193:AP193" si="340">AK141+AK142+AK163+AK164</f>
        <v>0</v>
      </c>
      <c r="AL193" s="274">
        <f t="shared" si="340"/>
        <v>7.9</v>
      </c>
      <c r="AM193" s="274">
        <f t="shared" si="340"/>
        <v>8.75</v>
      </c>
      <c r="AN193" s="274">
        <f t="shared" si="340"/>
        <v>8.4700000000000006</v>
      </c>
      <c r="AO193" s="274">
        <f t="shared" si="340"/>
        <v>8.75</v>
      </c>
      <c r="AP193" s="274">
        <f t="shared" si="340"/>
        <v>8.4700000000000006</v>
      </c>
      <c r="AQ193" s="274">
        <f t="shared" ref="AQ193:AR193" si="341">AQ141+AQ142+AQ163+AQ164</f>
        <v>8.75</v>
      </c>
      <c r="AR193" s="274">
        <f t="shared" si="341"/>
        <v>8.75</v>
      </c>
      <c r="AS193" s="274">
        <f t="shared" ref="AS193:AT193" si="342">AS141+AS142+AS163+AS164</f>
        <v>8.4700000000000006</v>
      </c>
      <c r="AT193" s="274">
        <f t="shared" si="342"/>
        <v>8.75</v>
      </c>
      <c r="AU193" s="274">
        <f t="shared" ref="AU193:AV193" si="343">AU141+AU142+AU163+AU164</f>
        <v>8.4700000000000006</v>
      </c>
      <c r="AV193" s="274">
        <f t="shared" si="343"/>
        <v>8.4700000000000006</v>
      </c>
      <c r="AW193" s="38"/>
      <c r="AX193" s="463">
        <f t="shared" si="293"/>
        <v>0</v>
      </c>
    </row>
    <row r="194" spans="1:53" s="31" customFormat="1" ht="15" thickBot="1">
      <c r="A194" s="356" t="s">
        <v>213</v>
      </c>
      <c r="B194" s="428" t="s">
        <v>211</v>
      </c>
      <c r="C194" s="427" t="s">
        <v>209</v>
      </c>
      <c r="D194" s="425" t="s">
        <v>211</v>
      </c>
      <c r="E194" s="50">
        <f>SUM(E109:E174)</f>
        <v>43944.538999999997</v>
      </c>
      <c r="F194" s="50">
        <f>SUM(F109:F174)</f>
        <v>43958.297005059998</v>
      </c>
      <c r="G194" s="50">
        <f>SUM(G109:G174)</f>
        <v>44027.982716919993</v>
      </c>
      <c r="H194" s="50">
        <f>SUM(H109:H174)</f>
        <v>44046.748237969987</v>
      </c>
      <c r="I194" s="434">
        <f t="shared" ref="I194:Y194" si="344">SUM(I111:I174)</f>
        <v>307.97699999999998</v>
      </c>
      <c r="J194" s="434">
        <f t="shared" si="344"/>
        <v>311.40103429999999</v>
      </c>
      <c r="K194" s="434">
        <f t="shared" si="344"/>
        <v>310.49016493999994</v>
      </c>
      <c r="L194" s="434">
        <f t="shared" si="344"/>
        <v>301.83112309999996</v>
      </c>
      <c r="M194" s="434">
        <f t="shared" si="344"/>
        <v>297.98329081999998</v>
      </c>
      <c r="N194" s="434">
        <f t="shared" si="344"/>
        <v>287.21145953000001</v>
      </c>
      <c r="O194" s="434">
        <f t="shared" si="344"/>
        <v>287.78300000000007</v>
      </c>
      <c r="P194" s="434">
        <f t="shared" si="344"/>
        <v>293.58999999999986</v>
      </c>
      <c r="Q194" s="434">
        <f t="shared" si="344"/>
        <v>243.57659381000002</v>
      </c>
      <c r="R194" s="434">
        <f t="shared" si="344"/>
        <v>282.79017382000001</v>
      </c>
      <c r="S194" s="435">
        <f t="shared" si="344"/>
        <v>301.85999999999996</v>
      </c>
      <c r="T194" s="435">
        <f t="shared" si="344"/>
        <v>323.9323626373627</v>
      </c>
      <c r="U194" s="435">
        <f t="shared" si="344"/>
        <v>310.59999999999997</v>
      </c>
      <c r="V194" s="435">
        <f t="shared" si="344"/>
        <v>325.31</v>
      </c>
      <c r="W194" s="435">
        <f t="shared" si="344"/>
        <v>323.36240770999996</v>
      </c>
      <c r="X194" s="435">
        <f t="shared" si="344"/>
        <v>337.09400000000005</v>
      </c>
      <c r="Y194" s="435">
        <f t="shared" si="344"/>
        <v>323.80400000000009</v>
      </c>
      <c r="Z194" s="435">
        <f>SUM(Z111:Z174)+Z98</f>
        <v>324.90343944999995</v>
      </c>
      <c r="AA194" s="435">
        <f>SUM(AA111:AA174)+AA98</f>
        <v>354.01599999999996</v>
      </c>
      <c r="AB194" s="435">
        <f>SUM(AB111:AB174)+AB98</f>
        <v>324.34300000000002</v>
      </c>
      <c r="AC194" s="435">
        <f>SUM(AC111:AC174)+AC98</f>
        <v>370.02199999999993</v>
      </c>
      <c r="AD194" s="435">
        <f>SUM(AD111:AD174)</f>
        <v>350.42</v>
      </c>
      <c r="AE194" s="435">
        <f t="shared" ref="AE194:AN194" si="345">SUM(AE111:AE174)</f>
        <v>336.17400000000004</v>
      </c>
      <c r="AF194" s="435">
        <f t="shared" si="345"/>
        <v>320.54900000000004</v>
      </c>
      <c r="AG194" s="435">
        <f t="shared" si="345"/>
        <v>349.58600000000001</v>
      </c>
      <c r="AH194" s="435">
        <f>SUM(AH111:AH174)</f>
        <v>313.09600000000006</v>
      </c>
      <c r="AI194" s="435">
        <f>SUM(AI111:AI174)</f>
        <v>311.72000000000003</v>
      </c>
      <c r="AJ194" s="435">
        <f t="shared" si="345"/>
        <v>319.70911431000002</v>
      </c>
      <c r="AK194" s="435">
        <f t="shared" si="345"/>
        <v>355.45940959000006</v>
      </c>
      <c r="AL194" s="435">
        <f t="shared" si="345"/>
        <v>330.51360790000001</v>
      </c>
      <c r="AM194" s="435">
        <f t="shared" si="345"/>
        <v>352.76393929999995</v>
      </c>
      <c r="AN194" s="435">
        <f t="shared" si="345"/>
        <v>353.09806277000001</v>
      </c>
      <c r="AO194" s="435">
        <f>SUM(AO111:AO174)</f>
        <v>348.70926757820934</v>
      </c>
      <c r="AP194" s="435">
        <f t="shared" ref="AP194:AQ194" si="346">SUM(AP111:AP174)</f>
        <v>348.48179281471835</v>
      </c>
      <c r="AQ194" s="435">
        <f t="shared" si="346"/>
        <v>354.60159580596729</v>
      </c>
      <c r="AR194" s="435">
        <f t="shared" ref="AR194:AS194" si="347">SUM(AR111:AR174)</f>
        <v>351.60385487818724</v>
      </c>
      <c r="AS194" s="435">
        <f t="shared" si="347"/>
        <v>353.19093705596174</v>
      </c>
      <c r="AT194" s="435">
        <f t="shared" ref="AT194:AU194" si="348">SUM(AT111:AT174)</f>
        <v>360.69322915148263</v>
      </c>
      <c r="AU194" s="435">
        <f t="shared" si="348"/>
        <v>355.49466273793979</v>
      </c>
      <c r="AV194" s="435">
        <f t="shared" ref="AV194" si="349">SUM(AV111:AV174)</f>
        <v>354.40545079336266</v>
      </c>
      <c r="AW194" s="38"/>
      <c r="AX194" s="38"/>
    </row>
    <row r="195" spans="1:53" s="31" customFormat="1" ht="24" thickBot="1">
      <c r="A195" s="39" t="s">
        <v>205</v>
      </c>
      <c r="B195" s="30"/>
      <c r="L195" s="391"/>
      <c r="M195" s="85">
        <f t="shared" ref="M195:Z195" si="350">M194-M176</f>
        <v>188.17329081999998</v>
      </c>
      <c r="N195" s="85">
        <f t="shared" si="350"/>
        <v>202.50545953000002</v>
      </c>
      <c r="O195" s="85">
        <f t="shared" si="350"/>
        <v>168.45500000000007</v>
      </c>
      <c r="P195" s="85">
        <f t="shared" si="350"/>
        <v>172.53999999999985</v>
      </c>
      <c r="Q195" s="85">
        <f t="shared" si="350"/>
        <v>170.11859381000002</v>
      </c>
      <c r="R195" s="85">
        <f t="shared" si="350"/>
        <v>183.64617382</v>
      </c>
      <c r="S195" s="85">
        <f t="shared" si="350"/>
        <v>206.12999999999997</v>
      </c>
      <c r="T195" s="85">
        <f t="shared" si="350"/>
        <v>215.22000000000008</v>
      </c>
      <c r="U195" s="85">
        <f t="shared" si="350"/>
        <v>216.18999999999997</v>
      </c>
      <c r="V195" s="85">
        <f t="shared" si="350"/>
        <v>228.25</v>
      </c>
      <c r="W195" s="85">
        <f t="shared" si="350"/>
        <v>222.56240770999995</v>
      </c>
      <c r="X195" s="85">
        <f t="shared" si="350"/>
        <v>224.22000000000006</v>
      </c>
      <c r="Y195" s="85">
        <f t="shared" si="350"/>
        <v>208.93700000000007</v>
      </c>
      <c r="Z195" s="85">
        <f t="shared" si="350"/>
        <v>204.36743944999995</v>
      </c>
      <c r="AA195" s="85">
        <f>AA194-AA176-AA121-AA122</f>
        <v>224.00999999999996</v>
      </c>
      <c r="AB195" s="85">
        <f t="shared" ref="AB195:AL195" si="351">AB194-AB176-AB121-AB122</f>
        <v>194.65200000000004</v>
      </c>
      <c r="AC195" s="85">
        <f t="shared" si="351"/>
        <v>197.54499999999996</v>
      </c>
      <c r="AD195" s="85">
        <f t="shared" si="351"/>
        <v>200.91</v>
      </c>
      <c r="AE195" s="85">
        <f t="shared" si="351"/>
        <v>203.85500000000005</v>
      </c>
      <c r="AF195" s="85">
        <f t="shared" si="351"/>
        <v>196.11500000000004</v>
      </c>
      <c r="AG195" s="85">
        <f t="shared" si="351"/>
        <v>200.45000000000002</v>
      </c>
      <c r="AH195" s="85">
        <f t="shared" si="351"/>
        <v>204.44000000000008</v>
      </c>
      <c r="AI195" s="85">
        <f t="shared" si="351"/>
        <v>207.68</v>
      </c>
      <c r="AJ195" s="85">
        <f t="shared" si="351"/>
        <v>215.86511431</v>
      </c>
      <c r="AK195" s="85">
        <f t="shared" si="351"/>
        <v>223.21540959000006</v>
      </c>
      <c r="AL195" s="85">
        <f t="shared" si="351"/>
        <v>214.80360790000003</v>
      </c>
      <c r="AM195" s="85">
        <f t="shared" ref="AM195:AN195" si="352">AM194-AM176-AM121-AM122</f>
        <v>217.67493929999995</v>
      </c>
      <c r="AN195" s="85">
        <f t="shared" si="352"/>
        <v>209.67206277000003</v>
      </c>
      <c r="AO195" s="85">
        <f t="shared" ref="AO195:AP195" si="353">AO194-AO176-AO121-AO122</f>
        <v>215.27580286</v>
      </c>
      <c r="AP195" s="85">
        <f t="shared" si="353"/>
        <v>172.82626575043824</v>
      </c>
      <c r="AQ195" s="85">
        <f t="shared" ref="AQ195:AR195" si="354">AQ194-AQ176-AQ121-AQ122</f>
        <v>163.03254642638626</v>
      </c>
      <c r="AR195" s="85">
        <f t="shared" si="354"/>
        <v>173.76594067656995</v>
      </c>
      <c r="AS195" s="85">
        <f t="shared" ref="AS195:AT195" si="355">AS194-AS176-AS121-AS122</f>
        <v>190.30195954167849</v>
      </c>
      <c r="AT195" s="85">
        <f t="shared" si="355"/>
        <v>171.45100933142331</v>
      </c>
      <c r="AU195" s="85">
        <f t="shared" ref="AU195:AV195" si="356">AU194-AU176-AU121-AU122</f>
        <v>170.87306984927025</v>
      </c>
      <c r="AV195" s="85">
        <f t="shared" si="356"/>
        <v>194.36557981354002</v>
      </c>
      <c r="AW195" s="38"/>
      <c r="AX195" s="38"/>
    </row>
    <row r="196" spans="1:53">
      <c r="A196" s="413" t="s">
        <v>0</v>
      </c>
      <c r="B196" s="414"/>
      <c r="C196" s="415"/>
      <c r="D196" s="416"/>
      <c r="E196" s="53">
        <f t="shared" ref="E196:AV196" si="357">E61-E151-E152-E153-E154-E155-E156-E157-E159-E160-E161-E162-E163-E164-E165-E166-E167</f>
        <v>-1.4270000000000005</v>
      </c>
      <c r="F196" s="53">
        <f t="shared" si="357"/>
        <v>-3.0010934100000028</v>
      </c>
      <c r="G196" s="53">
        <f t="shared" si="357"/>
        <v>-8.8817841970012523E-16</v>
      </c>
      <c r="H196" s="53">
        <f t="shared" si="357"/>
        <v>-8.8817841970012523E-16</v>
      </c>
      <c r="I196" s="53">
        <f t="shared" si="357"/>
        <v>-1.3322676295501878E-15</v>
      </c>
      <c r="J196" s="53">
        <f t="shared" si="357"/>
        <v>2.6645352591003757E-15</v>
      </c>
      <c r="K196" s="53">
        <f t="shared" si="357"/>
        <v>0</v>
      </c>
      <c r="L196" s="53">
        <f t="shared" si="357"/>
        <v>-1.7763568394002505E-15</v>
      </c>
      <c r="M196" s="53">
        <f t="shared" si="357"/>
        <v>0</v>
      </c>
      <c r="N196" s="53">
        <f t="shared" si="357"/>
        <v>-3.5527136788005009E-15</v>
      </c>
      <c r="O196" s="53">
        <f t="shared" si="357"/>
        <v>0</v>
      </c>
      <c r="P196" s="53">
        <f t="shared" si="357"/>
        <v>-2.2204460492503131E-16</v>
      </c>
      <c r="Q196" s="53">
        <f t="shared" si="357"/>
        <v>2.2204460492503131E-16</v>
      </c>
      <c r="R196" s="53">
        <f t="shared" si="357"/>
        <v>0</v>
      </c>
      <c r="S196" s="53">
        <f t="shared" si="357"/>
        <v>0</v>
      </c>
      <c r="T196" s="53">
        <f t="shared" si="357"/>
        <v>-5.5511151231257827E-17</v>
      </c>
      <c r="U196" s="53">
        <f t="shared" si="357"/>
        <v>0</v>
      </c>
      <c r="V196" s="53">
        <f t="shared" si="357"/>
        <v>0</v>
      </c>
      <c r="W196" s="53">
        <f t="shared" si="357"/>
        <v>0</v>
      </c>
      <c r="X196" s="53">
        <f t="shared" si="357"/>
        <v>0</v>
      </c>
      <c r="Y196" s="53">
        <f t="shared" si="357"/>
        <v>0.80000000000000071</v>
      </c>
      <c r="Z196" s="53">
        <f t="shared" si="357"/>
        <v>0</v>
      </c>
      <c r="AA196" s="53">
        <f t="shared" si="357"/>
        <v>0</v>
      </c>
      <c r="AB196" s="53">
        <f t="shared" si="357"/>
        <v>0</v>
      </c>
      <c r="AC196" s="53">
        <f t="shared" si="357"/>
        <v>0</v>
      </c>
      <c r="AD196" s="53">
        <f t="shared" si="357"/>
        <v>0</v>
      </c>
      <c r="AE196" s="53">
        <f t="shared" si="357"/>
        <v>0</v>
      </c>
      <c r="AF196" s="53">
        <f t="shared" si="357"/>
        <v>0</v>
      </c>
      <c r="AG196" s="53">
        <f t="shared" si="357"/>
        <v>0</v>
      </c>
      <c r="AH196" s="53">
        <f t="shared" si="357"/>
        <v>0</v>
      </c>
      <c r="AI196" s="53">
        <f t="shared" si="357"/>
        <v>0</v>
      </c>
      <c r="AJ196" s="53">
        <f t="shared" si="357"/>
        <v>0</v>
      </c>
      <c r="AK196" s="53">
        <f t="shared" si="357"/>
        <v>0</v>
      </c>
      <c r="AL196" s="53">
        <f t="shared" si="357"/>
        <v>0</v>
      </c>
      <c r="AM196" s="53">
        <f t="shared" si="357"/>
        <v>0</v>
      </c>
      <c r="AN196" s="53">
        <f t="shared" si="357"/>
        <v>0</v>
      </c>
      <c r="AO196" s="53">
        <f t="shared" si="357"/>
        <v>0</v>
      </c>
      <c r="AP196" s="53">
        <f t="shared" si="357"/>
        <v>0</v>
      </c>
      <c r="AQ196" s="53">
        <f t="shared" si="357"/>
        <v>0</v>
      </c>
      <c r="AR196" s="53">
        <f t="shared" si="357"/>
        <v>0</v>
      </c>
      <c r="AS196" s="53">
        <f t="shared" si="357"/>
        <v>0</v>
      </c>
      <c r="AT196" s="53">
        <f t="shared" si="357"/>
        <v>0</v>
      </c>
      <c r="AU196" s="53">
        <f t="shared" si="357"/>
        <v>0</v>
      </c>
      <c r="AV196" s="53">
        <f t="shared" si="357"/>
        <v>0</v>
      </c>
      <c r="AW196" s="38"/>
      <c r="AX196" s="38"/>
      <c r="AY196" s="31"/>
      <c r="AZ196" s="31"/>
      <c r="BA196" s="31"/>
    </row>
    <row r="197" spans="1:53">
      <c r="A197" s="104" t="s">
        <v>1</v>
      </c>
      <c r="B197" s="105"/>
      <c r="C197" s="106"/>
      <c r="D197" s="417"/>
      <c r="E197" s="84">
        <f t="shared" ref="E197:AV197" si="358">E62-E169-E171-E170-E172</f>
        <v>0</v>
      </c>
      <c r="F197" s="84">
        <f t="shared" si="358"/>
        <v>0</v>
      </c>
      <c r="G197" s="84">
        <f t="shared" si="358"/>
        <v>0</v>
      </c>
      <c r="H197" s="84">
        <f t="shared" si="358"/>
        <v>0</v>
      </c>
      <c r="I197" s="84">
        <f t="shared" si="358"/>
        <v>0</v>
      </c>
      <c r="J197" s="84">
        <f t="shared" si="358"/>
        <v>0</v>
      </c>
      <c r="K197" s="84">
        <f t="shared" si="358"/>
        <v>0</v>
      </c>
      <c r="L197" s="84">
        <f t="shared" si="358"/>
        <v>0</v>
      </c>
      <c r="M197" s="84">
        <f t="shared" si="358"/>
        <v>0</v>
      </c>
      <c r="N197" s="84">
        <f t="shared" si="358"/>
        <v>0</v>
      </c>
      <c r="O197" s="84">
        <f t="shared" si="358"/>
        <v>0.74999999999999956</v>
      </c>
      <c r="P197" s="84">
        <f t="shared" si="358"/>
        <v>0</v>
      </c>
      <c r="Q197" s="84">
        <f t="shared" si="358"/>
        <v>0</v>
      </c>
      <c r="R197" s="84">
        <f t="shared" si="358"/>
        <v>0</v>
      </c>
      <c r="S197" s="84">
        <f t="shared" si="358"/>
        <v>0</v>
      </c>
      <c r="T197" s="84">
        <f t="shared" si="358"/>
        <v>0</v>
      </c>
      <c r="U197" s="84">
        <f t="shared" si="358"/>
        <v>1.1102230246251565E-16</v>
      </c>
      <c r="V197" s="84">
        <f t="shared" si="358"/>
        <v>0</v>
      </c>
      <c r="W197" s="84">
        <f t="shared" si="358"/>
        <v>0</v>
      </c>
      <c r="X197" s="84">
        <f t="shared" si="358"/>
        <v>-3.3306690738754696E-16</v>
      </c>
      <c r="Y197" s="84">
        <f t="shared" si="358"/>
        <v>0</v>
      </c>
      <c r="Z197" s="84">
        <f t="shared" si="358"/>
        <v>0.59999999999999964</v>
      </c>
      <c r="AA197" s="84">
        <f t="shared" si="358"/>
        <v>0</v>
      </c>
      <c r="AB197" s="84">
        <f t="shared" si="358"/>
        <v>0</v>
      </c>
      <c r="AC197" s="84">
        <f t="shared" si="358"/>
        <v>0</v>
      </c>
      <c r="AD197" s="84">
        <f t="shared" si="358"/>
        <v>0</v>
      </c>
      <c r="AE197" s="84">
        <f t="shared" si="358"/>
        <v>0</v>
      </c>
      <c r="AF197" s="84">
        <f t="shared" si="358"/>
        <v>0</v>
      </c>
      <c r="AG197" s="84">
        <f t="shared" si="358"/>
        <v>0</v>
      </c>
      <c r="AH197" s="84">
        <f t="shared" si="358"/>
        <v>0</v>
      </c>
      <c r="AI197" s="84">
        <f t="shared" si="358"/>
        <v>0</v>
      </c>
      <c r="AJ197" s="84">
        <f t="shared" si="358"/>
        <v>0</v>
      </c>
      <c r="AK197" s="84">
        <f t="shared" si="358"/>
        <v>0</v>
      </c>
      <c r="AL197" s="84">
        <f t="shared" si="358"/>
        <v>0</v>
      </c>
      <c r="AM197" s="84">
        <f t="shared" si="358"/>
        <v>0</v>
      </c>
      <c r="AN197" s="84">
        <f t="shared" si="358"/>
        <v>0</v>
      </c>
      <c r="AO197" s="84">
        <f t="shared" si="358"/>
        <v>0</v>
      </c>
      <c r="AP197" s="84">
        <f t="shared" si="358"/>
        <v>0</v>
      </c>
      <c r="AQ197" s="84">
        <f t="shared" si="358"/>
        <v>0</v>
      </c>
      <c r="AR197" s="685">
        <f t="shared" si="358"/>
        <v>0</v>
      </c>
      <c r="AS197" s="685">
        <f t="shared" si="358"/>
        <v>0</v>
      </c>
      <c r="AT197" s="685">
        <f t="shared" si="358"/>
        <v>0</v>
      </c>
      <c r="AU197" s="685">
        <f t="shared" si="358"/>
        <v>0</v>
      </c>
      <c r="AV197" s="685">
        <f t="shared" si="358"/>
        <v>0</v>
      </c>
      <c r="AW197" s="38"/>
      <c r="AX197" s="38"/>
      <c r="AY197" s="31"/>
      <c r="AZ197" s="31"/>
      <c r="BA197" s="31"/>
    </row>
    <row r="198" spans="1:53">
      <c r="A198" s="104" t="s">
        <v>28</v>
      </c>
      <c r="B198" s="105"/>
      <c r="C198" s="106"/>
      <c r="D198" s="417"/>
      <c r="E198" s="84">
        <f t="shared" ref="E198:AV198" si="359">E63-E173</f>
        <v>0</v>
      </c>
      <c r="F198" s="84">
        <f t="shared" si="359"/>
        <v>0</v>
      </c>
      <c r="G198" s="84">
        <f t="shared" si="359"/>
        <v>0</v>
      </c>
      <c r="H198" s="84">
        <f t="shared" si="359"/>
        <v>0</v>
      </c>
      <c r="I198" s="84">
        <f t="shared" si="359"/>
        <v>0</v>
      </c>
      <c r="J198" s="84">
        <f t="shared" si="359"/>
        <v>0</v>
      </c>
      <c r="K198" s="84">
        <f t="shared" si="359"/>
        <v>0</v>
      </c>
      <c r="L198" s="84">
        <f t="shared" si="359"/>
        <v>0</v>
      </c>
      <c r="M198" s="84">
        <f t="shared" si="359"/>
        <v>0</v>
      </c>
      <c r="N198" s="84">
        <f t="shared" si="359"/>
        <v>0</v>
      </c>
      <c r="O198" s="84">
        <f t="shared" si="359"/>
        <v>0</v>
      </c>
      <c r="P198" s="84">
        <f t="shared" si="359"/>
        <v>0</v>
      </c>
      <c r="Q198" s="84">
        <f t="shared" si="359"/>
        <v>0</v>
      </c>
      <c r="R198" s="419">
        <f t="shared" si="359"/>
        <v>0</v>
      </c>
      <c r="S198" s="84">
        <f t="shared" si="359"/>
        <v>0</v>
      </c>
      <c r="T198" s="84">
        <f t="shared" si="359"/>
        <v>0</v>
      </c>
      <c r="U198" s="84">
        <f t="shared" si="359"/>
        <v>0</v>
      </c>
      <c r="V198" s="84">
        <f t="shared" si="359"/>
        <v>0</v>
      </c>
      <c r="W198" s="84">
        <f t="shared" si="359"/>
        <v>0</v>
      </c>
      <c r="X198" s="84">
        <f t="shared" si="359"/>
        <v>0</v>
      </c>
      <c r="Y198" s="84">
        <f t="shared" si="359"/>
        <v>0</v>
      </c>
      <c r="Z198" s="84">
        <f t="shared" si="359"/>
        <v>0</v>
      </c>
      <c r="AA198" s="84">
        <f t="shared" si="359"/>
        <v>0</v>
      </c>
      <c r="AB198" s="84">
        <f t="shared" si="359"/>
        <v>0</v>
      </c>
      <c r="AC198" s="84">
        <f t="shared" si="359"/>
        <v>0</v>
      </c>
      <c r="AD198" s="84">
        <f t="shared" si="359"/>
        <v>0</v>
      </c>
      <c r="AE198" s="84">
        <f t="shared" si="359"/>
        <v>0</v>
      </c>
      <c r="AF198" s="84">
        <f t="shared" si="359"/>
        <v>0</v>
      </c>
      <c r="AG198" s="84">
        <f t="shared" si="359"/>
        <v>0</v>
      </c>
      <c r="AH198" s="84">
        <f t="shared" si="359"/>
        <v>0</v>
      </c>
      <c r="AI198" s="84">
        <f t="shared" si="359"/>
        <v>0</v>
      </c>
      <c r="AJ198" s="84">
        <f t="shared" si="359"/>
        <v>0</v>
      </c>
      <c r="AK198" s="84">
        <f t="shared" si="359"/>
        <v>0</v>
      </c>
      <c r="AL198" s="84">
        <f t="shared" si="359"/>
        <v>0</v>
      </c>
      <c r="AM198" s="84">
        <f t="shared" si="359"/>
        <v>0</v>
      </c>
      <c r="AN198" s="84">
        <f t="shared" si="359"/>
        <v>0</v>
      </c>
      <c r="AO198" s="84">
        <f t="shared" si="359"/>
        <v>0</v>
      </c>
      <c r="AP198" s="84">
        <f t="shared" si="359"/>
        <v>0</v>
      </c>
      <c r="AQ198" s="84">
        <f t="shared" si="359"/>
        <v>0</v>
      </c>
      <c r="AR198" s="685">
        <f t="shared" si="359"/>
        <v>0</v>
      </c>
      <c r="AS198" s="685">
        <f t="shared" si="359"/>
        <v>0</v>
      </c>
      <c r="AT198" s="685">
        <f t="shared" si="359"/>
        <v>0</v>
      </c>
      <c r="AU198" s="685">
        <f t="shared" si="359"/>
        <v>0</v>
      </c>
      <c r="AV198" s="685">
        <f t="shared" si="359"/>
        <v>0</v>
      </c>
      <c r="AW198" s="38"/>
      <c r="AX198" s="38"/>
      <c r="AY198" s="31"/>
      <c r="AZ198" s="31"/>
      <c r="BA198" s="31"/>
    </row>
    <row r="199" spans="1:53" ht="15" thickBot="1">
      <c r="A199" s="107" t="s">
        <v>5</v>
      </c>
      <c r="B199" s="108"/>
      <c r="C199" s="109"/>
      <c r="D199" s="418"/>
      <c r="E199" s="85">
        <f t="shared" ref="E199:AV199" si="360">E64-E174</f>
        <v>0</v>
      </c>
      <c r="F199" s="85">
        <f t="shared" si="360"/>
        <v>0</v>
      </c>
      <c r="G199" s="85">
        <f t="shared" si="360"/>
        <v>0</v>
      </c>
      <c r="H199" s="85">
        <f t="shared" si="360"/>
        <v>0</v>
      </c>
      <c r="I199" s="85">
        <f t="shared" si="360"/>
        <v>0</v>
      </c>
      <c r="J199" s="85">
        <f t="shared" si="360"/>
        <v>0</v>
      </c>
      <c r="K199" s="85">
        <f t="shared" si="360"/>
        <v>0</v>
      </c>
      <c r="L199" s="85">
        <f t="shared" si="360"/>
        <v>0</v>
      </c>
      <c r="M199" s="85">
        <f t="shared" si="360"/>
        <v>0</v>
      </c>
      <c r="N199" s="85">
        <f t="shared" si="360"/>
        <v>0</v>
      </c>
      <c r="O199" s="85">
        <f t="shared" si="360"/>
        <v>0</v>
      </c>
      <c r="P199" s="85">
        <f t="shared" si="360"/>
        <v>0</v>
      </c>
      <c r="Q199" s="85">
        <f t="shared" si="360"/>
        <v>0</v>
      </c>
      <c r="R199" s="420">
        <f t="shared" si="360"/>
        <v>0</v>
      </c>
      <c r="S199" s="85">
        <f t="shared" si="360"/>
        <v>0</v>
      </c>
      <c r="T199" s="85">
        <f t="shared" si="360"/>
        <v>0</v>
      </c>
      <c r="U199" s="85">
        <f t="shared" si="360"/>
        <v>0</v>
      </c>
      <c r="V199" s="85">
        <f t="shared" si="360"/>
        <v>0</v>
      </c>
      <c r="W199" s="85">
        <f t="shared" si="360"/>
        <v>0</v>
      </c>
      <c r="X199" s="85">
        <f t="shared" si="360"/>
        <v>0</v>
      </c>
      <c r="Y199" s="85">
        <f t="shared" si="360"/>
        <v>0</v>
      </c>
      <c r="Z199" s="85">
        <f t="shared" si="360"/>
        <v>0</v>
      </c>
      <c r="AA199" s="85">
        <f t="shared" si="360"/>
        <v>0</v>
      </c>
      <c r="AB199" s="85">
        <f t="shared" si="360"/>
        <v>0</v>
      </c>
      <c r="AC199" s="85">
        <f t="shared" si="360"/>
        <v>0</v>
      </c>
      <c r="AD199" s="85">
        <f t="shared" si="360"/>
        <v>0</v>
      </c>
      <c r="AE199" s="85">
        <f t="shared" si="360"/>
        <v>0</v>
      </c>
      <c r="AF199" s="85">
        <f t="shared" si="360"/>
        <v>0</v>
      </c>
      <c r="AG199" s="85">
        <f t="shared" si="360"/>
        <v>0</v>
      </c>
      <c r="AH199" s="85">
        <f t="shared" si="360"/>
        <v>0</v>
      </c>
      <c r="AI199" s="85">
        <f t="shared" si="360"/>
        <v>0</v>
      </c>
      <c r="AJ199" s="85">
        <f t="shared" si="360"/>
        <v>0</v>
      </c>
      <c r="AK199" s="85">
        <f t="shared" si="360"/>
        <v>0</v>
      </c>
      <c r="AL199" s="85">
        <f t="shared" si="360"/>
        <v>0</v>
      </c>
      <c r="AM199" s="85">
        <f t="shared" si="360"/>
        <v>0</v>
      </c>
      <c r="AN199" s="85">
        <f t="shared" si="360"/>
        <v>0</v>
      </c>
      <c r="AO199" s="85">
        <f t="shared" si="360"/>
        <v>0</v>
      </c>
      <c r="AP199" s="85">
        <f t="shared" si="360"/>
        <v>0</v>
      </c>
      <c r="AQ199" s="85">
        <f t="shared" si="360"/>
        <v>0</v>
      </c>
      <c r="AR199" s="85">
        <f t="shared" si="360"/>
        <v>0</v>
      </c>
      <c r="AS199" s="85">
        <f t="shared" si="360"/>
        <v>0</v>
      </c>
      <c r="AT199" s="85">
        <f t="shared" si="360"/>
        <v>0</v>
      </c>
      <c r="AU199" s="85">
        <f t="shared" si="360"/>
        <v>0</v>
      </c>
      <c r="AV199" s="85">
        <f t="shared" si="360"/>
        <v>0</v>
      </c>
      <c r="AW199" s="38"/>
      <c r="AX199" s="38"/>
      <c r="AY199" s="31"/>
      <c r="AZ199" s="31"/>
      <c r="BA199" s="31"/>
    </row>
    <row r="200" spans="1:53">
      <c r="F200" s="232"/>
      <c r="G200" s="232"/>
      <c r="H200" s="232"/>
      <c r="I200" s="232"/>
      <c r="J200" s="232"/>
      <c r="K200" s="232"/>
      <c r="L200" s="232"/>
      <c r="M200" s="232"/>
      <c r="N200" s="232"/>
      <c r="O200" s="232"/>
      <c r="P200" s="232"/>
      <c r="Q200" s="232"/>
      <c r="R200" s="232"/>
      <c r="S200" s="232"/>
      <c r="T200" s="232"/>
      <c r="U200" s="232"/>
      <c r="V200" s="232"/>
      <c r="W200" s="232"/>
      <c r="X200" s="232"/>
      <c r="Y200" s="232"/>
      <c r="Z200" s="232"/>
      <c r="AA200" s="232"/>
      <c r="AB200" s="232"/>
      <c r="AC200" s="232"/>
      <c r="AD200" s="383"/>
      <c r="AE200" s="444"/>
      <c r="AF200" s="451"/>
      <c r="AG200" s="451"/>
      <c r="AH200" s="451"/>
      <c r="AI200" s="451"/>
      <c r="AJ200" s="451"/>
      <c r="AK200" s="534">
        <f t="shared" ref="AK200:AV200" si="361">AK176+AK184-AK8</f>
        <v>265.58440959000001</v>
      </c>
      <c r="AL200" s="611">
        <f t="shared" si="361"/>
        <v>238.56360789999997</v>
      </c>
      <c r="AM200" s="611">
        <f t="shared" si="361"/>
        <v>255.03893929999992</v>
      </c>
      <c r="AN200" s="611">
        <f t="shared" si="361"/>
        <v>253.90306277000002</v>
      </c>
      <c r="AO200" s="611">
        <f t="shared" si="361"/>
        <v>235.45426757820928</v>
      </c>
      <c r="AP200" s="611">
        <f t="shared" si="361"/>
        <v>279.38459254428005</v>
      </c>
      <c r="AQ200" s="611">
        <f t="shared" si="361"/>
        <v>297.54065637958104</v>
      </c>
      <c r="AR200" s="611">
        <f t="shared" si="361"/>
        <v>276.27791420161725</v>
      </c>
      <c r="AS200" s="611">
        <f t="shared" si="361"/>
        <v>281.4789775142832</v>
      </c>
      <c r="AT200" s="611">
        <f t="shared" si="361"/>
        <v>308.35340915005929</v>
      </c>
      <c r="AU200" s="611">
        <f t="shared" si="361"/>
        <v>298.59894053866952</v>
      </c>
      <c r="AV200" s="611">
        <f t="shared" si="361"/>
        <v>264.00987097982261</v>
      </c>
      <c r="AW200" s="611">
        <f>SUM(AK200:AV200)</f>
        <v>3254.1886484465222</v>
      </c>
    </row>
    <row r="201" spans="1:53">
      <c r="D201" t="s">
        <v>231</v>
      </c>
      <c r="F201" s="232"/>
      <c r="G201" s="232"/>
      <c r="H201" s="232"/>
      <c r="I201" s="232"/>
      <c r="J201" s="232"/>
      <c r="K201" s="232"/>
      <c r="L201" s="232"/>
      <c r="M201" s="232"/>
      <c r="N201" s="232"/>
      <c r="O201" s="232"/>
      <c r="P201" s="232"/>
      <c r="Q201" s="232"/>
      <c r="R201" s="232"/>
      <c r="S201" s="232"/>
      <c r="T201" s="232"/>
      <c r="U201" s="232"/>
      <c r="V201" s="232">
        <f>V186-156-V173</f>
        <v>0.70000000000000018</v>
      </c>
      <c r="W201" s="451">
        <f t="shared" ref="W201:AJ201" si="362">W186-156-W173</f>
        <v>-0.43759229000002087</v>
      </c>
      <c r="X201" s="451">
        <f t="shared" si="362"/>
        <v>-0.45999999999999552</v>
      </c>
      <c r="Y201" s="451">
        <f t="shared" si="362"/>
        <v>-9.650000000000011</v>
      </c>
      <c r="Z201" s="451">
        <f t="shared" si="362"/>
        <v>-16.452560549999994</v>
      </c>
      <c r="AA201" s="451">
        <f t="shared" si="362"/>
        <v>-1.4299999999999979</v>
      </c>
      <c r="AB201" s="451">
        <f t="shared" si="362"/>
        <v>-19.37</v>
      </c>
      <c r="AC201" s="451">
        <f t="shared" si="362"/>
        <v>-16.86999999999999</v>
      </c>
      <c r="AD201" s="451">
        <f t="shared" si="362"/>
        <v>-16.780000000000022</v>
      </c>
      <c r="AE201" s="451">
        <f t="shared" si="362"/>
        <v>-14.679999999999993</v>
      </c>
      <c r="AF201" s="451">
        <f t="shared" si="362"/>
        <v>-18.670000000000002</v>
      </c>
      <c r="AG201" s="451">
        <f t="shared" si="362"/>
        <v>-14.899999999999995</v>
      </c>
      <c r="AH201" s="451">
        <f t="shared" si="362"/>
        <v>-11.516000000000002</v>
      </c>
      <c r="AI201" s="451">
        <f t="shared" si="362"/>
        <v>-11.77999999999999</v>
      </c>
      <c r="AJ201" s="451">
        <f t="shared" si="362"/>
        <v>-7.7598856899999644</v>
      </c>
      <c r="AK201" s="534">
        <f t="shared" ref="AK201:AP201" si="363">AK186-156-AK173</f>
        <v>-1.2195904099999817</v>
      </c>
      <c r="AL201" s="534">
        <f t="shared" si="363"/>
        <v>-9.9763920999999911</v>
      </c>
      <c r="AM201" s="534">
        <f t="shared" si="363"/>
        <v>-15.510060700000011</v>
      </c>
      <c r="AN201" s="611">
        <f t="shared" si="363"/>
        <v>-13.23293722999999</v>
      </c>
      <c r="AO201" s="611">
        <f t="shared" si="363"/>
        <v>-7.9091971399999901</v>
      </c>
      <c r="AP201" s="611">
        <f t="shared" si="363"/>
        <v>-12.170934519999989</v>
      </c>
      <c r="AQ201" s="611">
        <f t="shared" ref="AQ201:AR201" si="364">AQ186-156-AQ173</f>
        <v>-8.9233930000000186</v>
      </c>
      <c r="AR201" s="611">
        <f t="shared" si="364"/>
        <v>-8.1900000000000119</v>
      </c>
      <c r="AS201" s="611">
        <f t="shared" ref="AS201:AT201" si="365">AS186-156-AS173</f>
        <v>-9.6650000000000347</v>
      </c>
      <c r="AT201" s="611">
        <f t="shared" si="365"/>
        <v>-7.3888106700000131</v>
      </c>
      <c r="AU201" s="611">
        <f t="shared" ref="AU201:AV201" si="366">AU186-156-AU173</f>
        <v>-8.2497303499999788</v>
      </c>
      <c r="AV201" s="611">
        <f t="shared" si="366"/>
        <v>-10.285000000000011</v>
      </c>
      <c r="AW201" s="611">
        <f>SUM(AW184,AW176)</f>
        <v>2432.52103188</v>
      </c>
    </row>
    <row r="202" spans="1:53">
      <c r="T202" s="450"/>
      <c r="U202" s="450"/>
      <c r="X202" s="490"/>
      <c r="Y202" s="490"/>
      <c r="Z202" s="490"/>
      <c r="AA202" s="490"/>
      <c r="AB202" s="490"/>
      <c r="AC202" s="490"/>
      <c r="AD202" s="490"/>
      <c r="AE202" s="490"/>
      <c r="AF202" s="490"/>
      <c r="AG202" s="490"/>
      <c r="AH202" s="490"/>
      <c r="AI202" s="490"/>
      <c r="AJ202" s="490"/>
      <c r="AK202" s="534"/>
      <c r="AL202" s="534"/>
      <c r="AM202" s="534"/>
      <c r="AN202" s="611"/>
      <c r="AO202" s="611"/>
      <c r="AP202" s="611"/>
      <c r="AQ202" s="611"/>
      <c r="AR202" s="611"/>
      <c r="AS202" s="611"/>
      <c r="AT202" s="611"/>
      <c r="AU202" s="611"/>
      <c r="AV202" s="611"/>
    </row>
    <row r="203" spans="1:53">
      <c r="A203"/>
      <c r="B203" s="531" t="s">
        <v>352</v>
      </c>
      <c r="C203" s="531" t="s">
        <v>185</v>
      </c>
      <c r="D203" s="353" t="s">
        <v>185</v>
      </c>
      <c r="V203" s="478"/>
      <c r="W203" s="478"/>
      <c r="X203" s="478"/>
      <c r="Y203" s="478"/>
      <c r="Z203" s="478"/>
      <c r="AA203" s="478"/>
      <c r="AB203" s="478"/>
      <c r="AC203" s="478"/>
      <c r="AD203" s="478"/>
      <c r="AE203" s="478"/>
      <c r="AF203" s="478"/>
      <c r="AG203" s="478"/>
      <c r="AH203" s="478"/>
      <c r="AI203" s="211">
        <f t="shared" ref="AI203:AN203" si="367">AI100</f>
        <v>0</v>
      </c>
      <c r="AJ203" s="211">
        <f t="shared" si="367"/>
        <v>0</v>
      </c>
      <c r="AK203" s="211">
        <f t="shared" si="367"/>
        <v>0</v>
      </c>
      <c r="AL203" s="211">
        <f t="shared" si="367"/>
        <v>0</v>
      </c>
      <c r="AM203" s="211">
        <f t="shared" si="367"/>
        <v>0</v>
      </c>
      <c r="AN203" s="211">
        <f t="shared" si="367"/>
        <v>10</v>
      </c>
      <c r="AO203" s="211">
        <f>AO100</f>
        <v>10</v>
      </c>
      <c r="AP203" s="211">
        <f t="shared" ref="AP203:AV203" si="368">AP100</f>
        <v>13.045999999999999</v>
      </c>
      <c r="AQ203" s="211">
        <f t="shared" si="368"/>
        <v>13.481</v>
      </c>
      <c r="AR203" s="211">
        <f t="shared" si="368"/>
        <v>3.4809999999999999</v>
      </c>
      <c r="AS203" s="211">
        <f t="shared" si="368"/>
        <v>13.045999999999999</v>
      </c>
      <c r="AT203" s="211">
        <f t="shared" si="368"/>
        <v>10.8</v>
      </c>
      <c r="AU203" s="211">
        <f t="shared" si="368"/>
        <v>10.8</v>
      </c>
      <c r="AV203" s="211">
        <f t="shared" si="368"/>
        <v>10.8</v>
      </c>
    </row>
    <row r="204" spans="1:53">
      <c r="A204"/>
      <c r="B204" s="531" t="s">
        <v>352</v>
      </c>
      <c r="C204" s="531" t="s">
        <v>0</v>
      </c>
      <c r="D204" s="353" t="s">
        <v>0</v>
      </c>
      <c r="AD204" s="211"/>
      <c r="AE204" s="211"/>
      <c r="AF204" s="211"/>
      <c r="AG204" s="211"/>
      <c r="AH204" s="211"/>
      <c r="AI204" s="211">
        <f t="shared" ref="AI204:AN204" si="369">AI102</f>
        <v>0</v>
      </c>
      <c r="AJ204" s="211">
        <f t="shared" si="369"/>
        <v>0</v>
      </c>
      <c r="AK204" s="211">
        <f t="shared" si="369"/>
        <v>0</v>
      </c>
      <c r="AL204" s="211">
        <f t="shared" si="369"/>
        <v>0</v>
      </c>
      <c r="AM204" s="211">
        <f t="shared" si="369"/>
        <v>0</v>
      </c>
      <c r="AN204" s="211">
        <f t="shared" si="369"/>
        <v>0</v>
      </c>
      <c r="AO204" s="211">
        <f>AO102</f>
        <v>0</v>
      </c>
      <c r="AP204" s="211">
        <f t="shared" ref="AP204:AV204" si="370">AP102</f>
        <v>34.861799729561781</v>
      </c>
      <c r="AQ204" s="211">
        <f t="shared" si="370"/>
        <v>47.748060573613706</v>
      </c>
      <c r="AR204" s="211">
        <f t="shared" si="370"/>
        <v>47.748059323430049</v>
      </c>
      <c r="AS204" s="211">
        <f t="shared" si="370"/>
        <v>19.89204045832156</v>
      </c>
      <c r="AT204" s="211">
        <f t="shared" si="370"/>
        <v>43.545179998576657</v>
      </c>
      <c r="AU204" s="211">
        <f t="shared" si="370"/>
        <v>42.982199800729759</v>
      </c>
      <c r="AV204" s="211">
        <f t="shared" si="370"/>
        <v>17.454420186460034</v>
      </c>
    </row>
    <row r="205" spans="1:53">
      <c r="A205"/>
      <c r="B205"/>
      <c r="D205" t="s">
        <v>365</v>
      </c>
      <c r="AD205" s="211"/>
      <c r="AE205" s="211"/>
      <c r="AF205" s="211"/>
      <c r="AG205" s="211"/>
      <c r="AH205" s="211"/>
      <c r="AI205" s="211"/>
      <c r="AJ205" s="211"/>
      <c r="AK205" s="211"/>
      <c r="AL205" s="211"/>
      <c r="AM205" s="211"/>
      <c r="AN205" s="211"/>
      <c r="AO205" s="211">
        <f>75-AO203-AO204</f>
        <v>65</v>
      </c>
      <c r="AP205" s="211">
        <f t="shared" ref="AP205:AV205" si="371">75-AP203-AP204</f>
        <v>27.092200270438219</v>
      </c>
      <c r="AQ205" s="211">
        <f t="shared" si="371"/>
        <v>13.770939426386292</v>
      </c>
      <c r="AR205" s="211">
        <f t="shared" si="371"/>
        <v>23.770940676569957</v>
      </c>
      <c r="AS205" s="211">
        <f t="shared" si="371"/>
        <v>42.061959541678441</v>
      </c>
      <c r="AT205" s="211">
        <f t="shared" si="371"/>
        <v>20.654820001423346</v>
      </c>
      <c r="AU205" s="211">
        <f t="shared" si="371"/>
        <v>21.217800199270243</v>
      </c>
      <c r="AV205" s="211">
        <f t="shared" si="371"/>
        <v>46.745579813539969</v>
      </c>
    </row>
    <row r="206" spans="1:53">
      <c r="A206"/>
      <c r="B206"/>
      <c r="AD206" s="211"/>
      <c r="AE206" s="211"/>
      <c r="AF206" s="211"/>
      <c r="AG206" s="211"/>
      <c r="AH206" s="211"/>
    </row>
    <row r="207" spans="1:53">
      <c r="A207"/>
      <c r="B207"/>
      <c r="AD207" s="211"/>
      <c r="AE207" s="211"/>
      <c r="AF207" s="211"/>
      <c r="AG207" s="211"/>
      <c r="AH207" s="211"/>
    </row>
    <row r="208" spans="1:53">
      <c r="A208"/>
      <c r="B208"/>
      <c r="AD208" s="211"/>
      <c r="AE208" s="211"/>
      <c r="AF208" s="211"/>
      <c r="AG208" s="211"/>
      <c r="AH208" s="211"/>
    </row>
    <row r="209" spans="1:48">
      <c r="A209"/>
      <c r="B209"/>
      <c r="D209" t="s">
        <v>366</v>
      </c>
      <c r="AD209" s="211"/>
      <c r="AE209" s="211"/>
      <c r="AF209" s="211"/>
      <c r="AG209" s="211"/>
      <c r="AH209" s="211"/>
      <c r="AK209" s="712">
        <f t="shared" ref="AK209:AV209" si="372">AK181-AK8</f>
        <v>104.00040959</v>
      </c>
      <c r="AL209" s="712">
        <f t="shared" si="372"/>
        <v>85.663607899999988</v>
      </c>
      <c r="AM209" s="712">
        <f t="shared" si="372"/>
        <v>81.959939299999974</v>
      </c>
      <c r="AN209" s="712">
        <f t="shared" si="372"/>
        <v>67.067062770000007</v>
      </c>
      <c r="AO209" s="712">
        <f t="shared" si="372"/>
        <v>64.030802859999994</v>
      </c>
      <c r="AP209" s="712">
        <f t="shared" si="372"/>
        <v>65.479065479999974</v>
      </c>
      <c r="AQ209" s="712">
        <f t="shared" si="372"/>
        <v>57.381606999999974</v>
      </c>
      <c r="AR209" s="712">
        <f t="shared" si="372"/>
        <v>51.109999999999985</v>
      </c>
      <c r="AS209" s="712">
        <f t="shared" si="372"/>
        <v>69.639999999999986</v>
      </c>
      <c r="AT209" s="712">
        <f t="shared" si="372"/>
        <v>68.911189329999985</v>
      </c>
      <c r="AU209" s="712">
        <f t="shared" si="372"/>
        <v>64.047347650000006</v>
      </c>
      <c r="AV209" s="712">
        <f t="shared" si="372"/>
        <v>54.039999999999992</v>
      </c>
    </row>
    <row r="210" spans="1:48">
      <c r="A210"/>
      <c r="B210"/>
      <c r="AD210" s="211"/>
      <c r="AE210" s="211"/>
      <c r="AF210" s="211"/>
      <c r="AG210" s="211"/>
      <c r="AH210" s="211"/>
      <c r="AL210" s="906"/>
      <c r="AM210" s="906"/>
      <c r="AN210" s="906"/>
      <c r="AO210" s="906"/>
      <c r="AP210" s="906"/>
      <c r="AQ210" s="906"/>
      <c r="AR210" s="906"/>
      <c r="AS210" s="906"/>
      <c r="AT210" s="906"/>
      <c r="AU210" s="906"/>
      <c r="AV210" s="906"/>
    </row>
    <row r="211" spans="1:48">
      <c r="A211"/>
      <c r="B211"/>
      <c r="AD211" s="211"/>
      <c r="AE211" s="211"/>
      <c r="AF211" s="211"/>
      <c r="AG211" s="211"/>
      <c r="AH211" s="211"/>
    </row>
    <row r="212" spans="1:48">
      <c r="A212"/>
      <c r="B212"/>
      <c r="E212" s="4" t="s">
        <v>3</v>
      </c>
      <c r="AD212" s="211"/>
      <c r="AE212" s="211"/>
      <c r="AF212" s="211"/>
      <c r="AG212" s="211"/>
      <c r="AH212" s="211"/>
    </row>
    <row r="213" spans="1:48">
      <c r="A213"/>
      <c r="B213"/>
      <c r="E213" s="4" t="s">
        <v>3</v>
      </c>
      <c r="AD213" s="211"/>
      <c r="AE213" s="211"/>
      <c r="AF213" s="211"/>
      <c r="AG213" s="211"/>
      <c r="AH213" s="211"/>
    </row>
    <row r="214" spans="1:48">
      <c r="A214"/>
      <c r="B214"/>
      <c r="Y214" s="490"/>
      <c r="Z214" s="490"/>
      <c r="AA214" s="490"/>
      <c r="AB214" s="490"/>
      <c r="AC214" s="490"/>
      <c r="AD214" s="490"/>
      <c r="AE214" s="667"/>
      <c r="AF214" s="666"/>
      <c r="AG214" s="666"/>
      <c r="AH214" s="667"/>
    </row>
    <row r="215" spans="1:48">
      <c r="A215"/>
      <c r="B215"/>
      <c r="Y215" s="490"/>
      <c r="Z215" s="490"/>
      <c r="AA215" s="490"/>
      <c r="AB215" s="490"/>
      <c r="AC215" s="490"/>
      <c r="AD215" s="490"/>
      <c r="AE215" s="490"/>
      <c r="AF215" s="490"/>
      <c r="AG215" s="490"/>
      <c r="AH215" s="490"/>
    </row>
    <row r="216" spans="1:48">
      <c r="A216"/>
      <c r="B216"/>
      <c r="Y216" s="490"/>
      <c r="Z216" s="490"/>
      <c r="AA216" s="490"/>
      <c r="AB216" s="490"/>
      <c r="AC216" s="490"/>
      <c r="AD216" s="490"/>
      <c r="AE216" s="490"/>
      <c r="AF216" s="490"/>
      <c r="AG216" s="490"/>
      <c r="AH216" s="490"/>
    </row>
    <row r="217" spans="1:48">
      <c r="A217"/>
      <c r="B217"/>
      <c r="Y217" s="490"/>
      <c r="Z217" s="490"/>
      <c r="AA217" s="490"/>
      <c r="AB217" s="490"/>
      <c r="AC217" s="490"/>
      <c r="AD217" s="490"/>
      <c r="AE217" s="490"/>
      <c r="AF217" s="490"/>
      <c r="AG217" s="490"/>
      <c r="AH217" s="490"/>
    </row>
    <row r="218" spans="1:48">
      <c r="Y218" s="490"/>
      <c r="Z218" s="490"/>
      <c r="AA218" s="490"/>
      <c r="AB218" s="490"/>
      <c r="AC218" s="490"/>
      <c r="AD218" s="490"/>
      <c r="AE218" s="490"/>
      <c r="AF218" s="490">
        <v>201.89499999999998</v>
      </c>
      <c r="AG218" s="490">
        <v>201.43</v>
      </c>
      <c r="AH218" s="490">
        <v>211.345</v>
      </c>
    </row>
    <row r="219" spans="1:48">
      <c r="Y219" s="490"/>
      <c r="Z219" s="490"/>
      <c r="AA219" s="490"/>
      <c r="AB219" s="490"/>
      <c r="AC219" s="490"/>
      <c r="AD219" s="490"/>
      <c r="AE219" s="490"/>
      <c r="AF219" s="490">
        <f>AF218-AF179</f>
        <v>5.7800000000000011</v>
      </c>
      <c r="AG219" s="611">
        <f t="shared" ref="AG219:AH219" si="373">AG218-AG179</f>
        <v>0.97999999999998977</v>
      </c>
      <c r="AH219" s="611">
        <f t="shared" si="373"/>
        <v>6.9050000000000011</v>
      </c>
    </row>
    <row r="237" spans="35:35">
      <c r="AI237">
        <f>26*12</f>
        <v>312</v>
      </c>
    </row>
    <row r="239" spans="35:35">
      <c r="AI239">
        <f>31*12</f>
        <v>372</v>
      </c>
    </row>
    <row r="296" spans="33:38">
      <c r="AG296" s="220">
        <v>21600</v>
      </c>
      <c r="AH296" s="220">
        <v>22320</v>
      </c>
      <c r="AI296" s="220">
        <v>21600</v>
      </c>
      <c r="AJ296" s="220">
        <v>22320</v>
      </c>
      <c r="AK296" s="220">
        <v>22320</v>
      </c>
      <c r="AL296" s="220">
        <v>20160</v>
      </c>
    </row>
    <row r="297" spans="33:38">
      <c r="AG297" s="220">
        <v>46600</v>
      </c>
      <c r="AH297" s="220">
        <v>35000</v>
      </c>
      <c r="AI297" s="220">
        <v>25000</v>
      </c>
      <c r="AJ297" s="220">
        <v>25000</v>
      </c>
      <c r="AK297" s="220">
        <v>34100</v>
      </c>
      <c r="AL297" s="220">
        <v>30800</v>
      </c>
    </row>
    <row r="298" spans="33:38">
      <c r="AG298" s="220">
        <f>SUM(AG296:AG297)</f>
        <v>68200</v>
      </c>
      <c r="AH298" s="220">
        <f t="shared" ref="AH298:AL298" si="374">SUM(AH296:AH297)</f>
        <v>57320</v>
      </c>
      <c r="AI298" s="220">
        <f t="shared" si="374"/>
        <v>46600</v>
      </c>
      <c r="AJ298" s="220">
        <f t="shared" si="374"/>
        <v>47320</v>
      </c>
      <c r="AK298" s="220">
        <f t="shared" si="374"/>
        <v>56420</v>
      </c>
      <c r="AL298" s="220">
        <f t="shared" si="374"/>
        <v>50960</v>
      </c>
    </row>
  </sheetData>
  <mergeCells count="42">
    <mergeCell ref="AX100:AX102"/>
    <mergeCell ref="C64:D64"/>
    <mergeCell ref="A65:D65"/>
    <mergeCell ref="C60:D60"/>
    <mergeCell ref="C49:D49"/>
    <mergeCell ref="C55:D55"/>
    <mergeCell ref="C62:D62"/>
    <mergeCell ref="C57:D57"/>
    <mergeCell ref="C58:D58"/>
    <mergeCell ref="A78:D78"/>
    <mergeCell ref="A67:B67"/>
    <mergeCell ref="C67:D67"/>
    <mergeCell ref="C50:D50"/>
    <mergeCell ref="C51:D51"/>
    <mergeCell ref="A52:D52"/>
    <mergeCell ref="C56:D56"/>
    <mergeCell ref="A3:B3"/>
    <mergeCell ref="A41:B41"/>
    <mergeCell ref="C41:D41"/>
    <mergeCell ref="C46:D46"/>
    <mergeCell ref="C48:D48"/>
    <mergeCell ref="C47:D47"/>
    <mergeCell ref="C42:D42"/>
    <mergeCell ref="C43:D43"/>
    <mergeCell ref="A27:B27"/>
    <mergeCell ref="A34:B34"/>
    <mergeCell ref="C44:D44"/>
    <mergeCell ref="C45:D45"/>
    <mergeCell ref="A21:B21"/>
    <mergeCell ref="A13:B13"/>
    <mergeCell ref="A54:B54"/>
    <mergeCell ref="C54:D54"/>
    <mergeCell ref="C59:D59"/>
    <mergeCell ref="C61:D61"/>
    <mergeCell ref="C68:D68"/>
    <mergeCell ref="C76:D76"/>
    <mergeCell ref="C77:D77"/>
    <mergeCell ref="C69:D69"/>
    <mergeCell ref="C63:D63"/>
    <mergeCell ref="C72:D72"/>
    <mergeCell ref="C74:D74"/>
    <mergeCell ref="C75:D75"/>
  </mergeCells>
  <conditionalFormatting sqref="Q198:Q199 E197:AJ197">
    <cfRule type="colorScale" priority="103">
      <colorScale>
        <cfvo type="min"/>
        <cfvo type="percentile" val="50"/>
        <cfvo type="max"/>
        <color rgb="FFF8696B"/>
        <color rgb="FFFFEB84"/>
        <color rgb="FF63BE7B"/>
      </colorScale>
    </cfRule>
  </conditionalFormatting>
  <conditionalFormatting sqref="R198:AD199 E196:AJ196">
    <cfRule type="colorScale" priority="106">
      <colorScale>
        <cfvo type="min"/>
        <cfvo type="percentile" val="50"/>
        <cfvo type="max"/>
        <color rgb="FFF8696B"/>
        <color rgb="FFFFEB84"/>
        <color rgb="FF63BE7B"/>
      </colorScale>
    </cfRule>
  </conditionalFormatting>
  <conditionalFormatting sqref="E198:P199">
    <cfRule type="colorScale" priority="108">
      <colorScale>
        <cfvo type="min"/>
        <cfvo type="percentile" val="50"/>
        <cfvo type="max"/>
        <color rgb="FFF8696B"/>
        <color rgb="FFFFEB84"/>
        <color rgb="FF63BE7B"/>
      </colorScale>
    </cfRule>
  </conditionalFormatting>
  <conditionalFormatting sqref="A184:D184">
    <cfRule type="duplicateValues" dxfId="13" priority="66"/>
  </conditionalFormatting>
  <conditionalFormatting sqref="AE198:AE199">
    <cfRule type="colorScale" priority="65">
      <colorScale>
        <cfvo type="min"/>
        <cfvo type="percentile" val="50"/>
        <cfvo type="max"/>
        <color rgb="FFF8696B"/>
        <color rgb="FFFFEB84"/>
        <color rgb="FF63BE7B"/>
      </colorScale>
    </cfRule>
  </conditionalFormatting>
  <conditionalFormatting sqref="AF198:AF199">
    <cfRule type="colorScale" priority="63">
      <colorScale>
        <cfvo type="min"/>
        <cfvo type="percentile" val="50"/>
        <cfvo type="max"/>
        <color rgb="FFF8696B"/>
        <color rgb="FFFFEB84"/>
        <color rgb="FF63BE7B"/>
      </colorScale>
    </cfRule>
  </conditionalFormatting>
  <conditionalFormatting sqref="AG198:AG199">
    <cfRule type="colorScale" priority="61">
      <colorScale>
        <cfvo type="min"/>
        <cfvo type="percentile" val="50"/>
        <cfvo type="max"/>
        <color rgb="FFF8696B"/>
        <color rgb="FFFFEB84"/>
        <color rgb="FF63BE7B"/>
      </colorScale>
    </cfRule>
  </conditionalFormatting>
  <conditionalFormatting sqref="AH198:AH199">
    <cfRule type="colorScale" priority="59">
      <colorScale>
        <cfvo type="min"/>
        <cfvo type="percentile" val="50"/>
        <cfvo type="max"/>
        <color rgb="FFF8696B"/>
        <color rgb="FFFFEB84"/>
        <color rgb="FF63BE7B"/>
      </colorScale>
    </cfRule>
  </conditionalFormatting>
  <conditionalFormatting sqref="AI198:AI199">
    <cfRule type="colorScale" priority="57">
      <colorScale>
        <cfvo type="min"/>
        <cfvo type="percentile" val="50"/>
        <cfvo type="max"/>
        <color rgb="FFF8696B"/>
        <color rgb="FFFFEB84"/>
        <color rgb="FF63BE7B"/>
      </colorScale>
    </cfRule>
  </conditionalFormatting>
  <conditionalFormatting sqref="AJ198:AJ199">
    <cfRule type="colorScale" priority="55">
      <colorScale>
        <cfvo type="min"/>
        <cfvo type="percentile" val="50"/>
        <cfvo type="max"/>
        <color rgb="FFF8696B"/>
        <color rgb="FFFFEB84"/>
        <color rgb="FF63BE7B"/>
      </colorScale>
    </cfRule>
  </conditionalFormatting>
  <conditionalFormatting sqref="AK197">
    <cfRule type="colorScale" priority="50">
      <colorScale>
        <cfvo type="min"/>
        <cfvo type="percentile" val="50"/>
        <cfvo type="max"/>
        <color rgb="FFF8696B"/>
        <color rgb="FFFFEB84"/>
        <color rgb="FF63BE7B"/>
      </colorScale>
    </cfRule>
  </conditionalFormatting>
  <conditionalFormatting sqref="AK196">
    <cfRule type="colorScale" priority="51">
      <colorScale>
        <cfvo type="min"/>
        <cfvo type="percentile" val="50"/>
        <cfvo type="max"/>
        <color rgb="FFF8696B"/>
        <color rgb="FFFFEB84"/>
        <color rgb="FF63BE7B"/>
      </colorScale>
    </cfRule>
  </conditionalFormatting>
  <conditionalFormatting sqref="AK198:AK199">
    <cfRule type="colorScale" priority="49">
      <colorScale>
        <cfvo type="min"/>
        <cfvo type="percentile" val="50"/>
        <cfvo type="max"/>
        <color rgb="FFF8696B"/>
        <color rgb="FFFFEB84"/>
        <color rgb="FF63BE7B"/>
      </colorScale>
    </cfRule>
  </conditionalFormatting>
  <conditionalFormatting sqref="AL197">
    <cfRule type="colorScale" priority="47">
      <colorScale>
        <cfvo type="min"/>
        <cfvo type="percentile" val="50"/>
        <cfvo type="max"/>
        <color rgb="FFF8696B"/>
        <color rgb="FFFFEB84"/>
        <color rgb="FF63BE7B"/>
      </colorScale>
    </cfRule>
  </conditionalFormatting>
  <conditionalFormatting sqref="AL196">
    <cfRule type="colorScale" priority="48">
      <colorScale>
        <cfvo type="min"/>
        <cfvo type="percentile" val="50"/>
        <cfvo type="max"/>
        <color rgb="FFF8696B"/>
        <color rgb="FFFFEB84"/>
        <color rgb="FF63BE7B"/>
      </colorScale>
    </cfRule>
  </conditionalFormatting>
  <conditionalFormatting sqref="AL198:AL199">
    <cfRule type="colorScale" priority="46">
      <colorScale>
        <cfvo type="min"/>
        <cfvo type="percentile" val="50"/>
        <cfvo type="max"/>
        <color rgb="FFF8696B"/>
        <color rgb="FFFFEB84"/>
        <color rgb="FF63BE7B"/>
      </colorScale>
    </cfRule>
  </conditionalFormatting>
  <conditionalFormatting sqref="AM197">
    <cfRule type="colorScale" priority="44">
      <colorScale>
        <cfvo type="min"/>
        <cfvo type="percentile" val="50"/>
        <cfvo type="max"/>
        <color rgb="FFF8696B"/>
        <color rgb="FFFFEB84"/>
        <color rgb="FF63BE7B"/>
      </colorScale>
    </cfRule>
  </conditionalFormatting>
  <conditionalFormatting sqref="AM196">
    <cfRule type="colorScale" priority="45">
      <colorScale>
        <cfvo type="min"/>
        <cfvo type="percentile" val="50"/>
        <cfvo type="max"/>
        <color rgb="FFF8696B"/>
        <color rgb="FFFFEB84"/>
        <color rgb="FF63BE7B"/>
      </colorScale>
    </cfRule>
  </conditionalFormatting>
  <conditionalFormatting sqref="AM198:AM199">
    <cfRule type="colorScale" priority="43">
      <colorScale>
        <cfvo type="min"/>
        <cfvo type="percentile" val="50"/>
        <cfvo type="max"/>
        <color rgb="FFF8696B"/>
        <color rgb="FFFFEB84"/>
        <color rgb="FF63BE7B"/>
      </colorScale>
    </cfRule>
  </conditionalFormatting>
  <conditionalFormatting sqref="AN197">
    <cfRule type="colorScale" priority="41">
      <colorScale>
        <cfvo type="min"/>
        <cfvo type="percentile" val="50"/>
        <cfvo type="max"/>
        <color rgb="FFF8696B"/>
        <color rgb="FFFFEB84"/>
        <color rgb="FF63BE7B"/>
      </colorScale>
    </cfRule>
  </conditionalFormatting>
  <conditionalFormatting sqref="AN196">
    <cfRule type="colorScale" priority="42">
      <colorScale>
        <cfvo type="min"/>
        <cfvo type="percentile" val="50"/>
        <cfvo type="max"/>
        <color rgb="FFF8696B"/>
        <color rgb="FFFFEB84"/>
        <color rgb="FF63BE7B"/>
      </colorScale>
    </cfRule>
  </conditionalFormatting>
  <conditionalFormatting sqref="AN198:AN199">
    <cfRule type="colorScale" priority="40">
      <colorScale>
        <cfvo type="min"/>
        <cfvo type="percentile" val="50"/>
        <cfvo type="max"/>
        <color rgb="FFF8696B"/>
        <color rgb="FFFFEB84"/>
        <color rgb="FF63BE7B"/>
      </colorScale>
    </cfRule>
  </conditionalFormatting>
  <conditionalFormatting sqref="AO197">
    <cfRule type="colorScale" priority="38">
      <colorScale>
        <cfvo type="min"/>
        <cfvo type="percentile" val="50"/>
        <cfvo type="max"/>
        <color rgb="FFF8696B"/>
        <color rgb="FFFFEB84"/>
        <color rgb="FF63BE7B"/>
      </colorScale>
    </cfRule>
  </conditionalFormatting>
  <conditionalFormatting sqref="AO196">
    <cfRule type="colorScale" priority="39">
      <colorScale>
        <cfvo type="min"/>
        <cfvo type="percentile" val="50"/>
        <cfvo type="max"/>
        <color rgb="FFF8696B"/>
        <color rgb="FFFFEB84"/>
        <color rgb="FF63BE7B"/>
      </colorScale>
    </cfRule>
  </conditionalFormatting>
  <conditionalFormatting sqref="AO198:AO199">
    <cfRule type="colorScale" priority="37">
      <colorScale>
        <cfvo type="min"/>
        <cfvo type="percentile" val="50"/>
        <cfvo type="max"/>
        <color rgb="FFF8696B"/>
        <color rgb="FFFFEB84"/>
        <color rgb="FF63BE7B"/>
      </colorScale>
    </cfRule>
  </conditionalFormatting>
  <conditionalFormatting sqref="AP197">
    <cfRule type="colorScale" priority="35">
      <colorScale>
        <cfvo type="min"/>
        <cfvo type="percentile" val="50"/>
        <cfvo type="max"/>
        <color rgb="FFF8696B"/>
        <color rgb="FFFFEB84"/>
        <color rgb="FF63BE7B"/>
      </colorScale>
    </cfRule>
  </conditionalFormatting>
  <conditionalFormatting sqref="AP196">
    <cfRule type="colorScale" priority="36">
      <colorScale>
        <cfvo type="min"/>
        <cfvo type="percentile" val="50"/>
        <cfvo type="max"/>
        <color rgb="FFF8696B"/>
        <color rgb="FFFFEB84"/>
        <color rgb="FF63BE7B"/>
      </colorScale>
    </cfRule>
  </conditionalFormatting>
  <conditionalFormatting sqref="AP198:AP199">
    <cfRule type="colorScale" priority="34">
      <colorScale>
        <cfvo type="min"/>
        <cfvo type="percentile" val="50"/>
        <cfvo type="max"/>
        <color rgb="FFF8696B"/>
        <color rgb="FFFFEB84"/>
        <color rgb="FF63BE7B"/>
      </colorScale>
    </cfRule>
  </conditionalFormatting>
  <conditionalFormatting sqref="AQ197">
    <cfRule type="colorScale" priority="29">
      <colorScale>
        <cfvo type="min"/>
        <cfvo type="percentile" val="50"/>
        <cfvo type="max"/>
        <color rgb="FFF8696B"/>
        <color rgb="FFFFEB84"/>
        <color rgb="FF63BE7B"/>
      </colorScale>
    </cfRule>
  </conditionalFormatting>
  <conditionalFormatting sqref="AQ196">
    <cfRule type="colorScale" priority="30">
      <colorScale>
        <cfvo type="min"/>
        <cfvo type="percentile" val="50"/>
        <cfvo type="max"/>
        <color rgb="FFF8696B"/>
        <color rgb="FFFFEB84"/>
        <color rgb="FF63BE7B"/>
      </colorScale>
    </cfRule>
  </conditionalFormatting>
  <conditionalFormatting sqref="AQ198:AQ199">
    <cfRule type="colorScale" priority="28">
      <colorScale>
        <cfvo type="min"/>
        <cfvo type="percentile" val="50"/>
        <cfvo type="max"/>
        <color rgb="FFF8696B"/>
        <color rgb="FFFFEB84"/>
        <color rgb="FF63BE7B"/>
      </colorScale>
    </cfRule>
  </conditionalFormatting>
  <conditionalFormatting sqref="AE18:AQ18">
    <cfRule type="cellIs" dxfId="12" priority="26" operator="lessThan">
      <formula>0.5</formula>
    </cfRule>
    <cfRule type="cellIs" dxfId="11" priority="27" operator="greaterThan">
      <formula>0.85</formula>
    </cfRule>
  </conditionalFormatting>
  <conditionalFormatting sqref="AR197">
    <cfRule type="colorScale" priority="24">
      <colorScale>
        <cfvo type="min"/>
        <cfvo type="percentile" val="50"/>
        <cfvo type="max"/>
        <color rgb="FFF8696B"/>
        <color rgb="FFFFEB84"/>
        <color rgb="FF63BE7B"/>
      </colorScale>
    </cfRule>
  </conditionalFormatting>
  <conditionalFormatting sqref="AR196">
    <cfRule type="colorScale" priority="25">
      <colorScale>
        <cfvo type="min"/>
        <cfvo type="percentile" val="50"/>
        <cfvo type="max"/>
        <color rgb="FFF8696B"/>
        <color rgb="FFFFEB84"/>
        <color rgb="FF63BE7B"/>
      </colorScale>
    </cfRule>
  </conditionalFormatting>
  <conditionalFormatting sqref="AR198:AR199">
    <cfRule type="colorScale" priority="23">
      <colorScale>
        <cfvo type="min"/>
        <cfvo type="percentile" val="50"/>
        <cfvo type="max"/>
        <color rgb="FFF8696B"/>
        <color rgb="FFFFEB84"/>
        <color rgb="FF63BE7B"/>
      </colorScale>
    </cfRule>
  </conditionalFormatting>
  <conditionalFormatting sqref="AR18">
    <cfRule type="cellIs" dxfId="10" priority="21" operator="lessThan">
      <formula>0.5</formula>
    </cfRule>
    <cfRule type="cellIs" dxfId="9" priority="22" operator="greaterThan">
      <formula>0.85</formula>
    </cfRule>
  </conditionalFormatting>
  <conditionalFormatting sqref="AS197">
    <cfRule type="colorScale" priority="19">
      <colorScale>
        <cfvo type="min"/>
        <cfvo type="percentile" val="50"/>
        <cfvo type="max"/>
        <color rgb="FFF8696B"/>
        <color rgb="FFFFEB84"/>
        <color rgb="FF63BE7B"/>
      </colorScale>
    </cfRule>
  </conditionalFormatting>
  <conditionalFormatting sqref="AS196">
    <cfRule type="colorScale" priority="20">
      <colorScale>
        <cfvo type="min"/>
        <cfvo type="percentile" val="50"/>
        <cfvo type="max"/>
        <color rgb="FFF8696B"/>
        <color rgb="FFFFEB84"/>
        <color rgb="FF63BE7B"/>
      </colorScale>
    </cfRule>
  </conditionalFormatting>
  <conditionalFormatting sqref="AS198:AS199">
    <cfRule type="colorScale" priority="18">
      <colorScale>
        <cfvo type="min"/>
        <cfvo type="percentile" val="50"/>
        <cfvo type="max"/>
        <color rgb="FFF8696B"/>
        <color rgb="FFFFEB84"/>
        <color rgb="FF63BE7B"/>
      </colorScale>
    </cfRule>
  </conditionalFormatting>
  <conditionalFormatting sqref="AS18">
    <cfRule type="cellIs" dxfId="8" priority="16" operator="lessThan">
      <formula>0.5</formula>
    </cfRule>
    <cfRule type="cellIs" dxfId="7" priority="17" operator="greaterThan">
      <formula>0.85</formula>
    </cfRule>
  </conditionalFormatting>
  <conditionalFormatting sqref="AT197">
    <cfRule type="colorScale" priority="14">
      <colorScale>
        <cfvo type="min"/>
        <cfvo type="percentile" val="50"/>
        <cfvo type="max"/>
        <color rgb="FFF8696B"/>
        <color rgb="FFFFEB84"/>
        <color rgb="FF63BE7B"/>
      </colorScale>
    </cfRule>
  </conditionalFormatting>
  <conditionalFormatting sqref="AT196">
    <cfRule type="colorScale" priority="15">
      <colorScale>
        <cfvo type="min"/>
        <cfvo type="percentile" val="50"/>
        <cfvo type="max"/>
        <color rgb="FFF8696B"/>
        <color rgb="FFFFEB84"/>
        <color rgb="FF63BE7B"/>
      </colorScale>
    </cfRule>
  </conditionalFormatting>
  <conditionalFormatting sqref="AT198:AT199">
    <cfRule type="colorScale" priority="13">
      <colorScale>
        <cfvo type="min"/>
        <cfvo type="percentile" val="50"/>
        <cfvo type="max"/>
        <color rgb="FFF8696B"/>
        <color rgb="FFFFEB84"/>
        <color rgb="FF63BE7B"/>
      </colorScale>
    </cfRule>
  </conditionalFormatting>
  <conditionalFormatting sqref="AT18">
    <cfRule type="cellIs" dxfId="6" priority="11" operator="lessThan">
      <formula>0.5</formula>
    </cfRule>
    <cfRule type="cellIs" dxfId="5" priority="12" operator="greaterThan">
      <formula>0.85</formula>
    </cfRule>
  </conditionalFormatting>
  <conditionalFormatting sqref="AU197">
    <cfRule type="colorScale" priority="9">
      <colorScale>
        <cfvo type="min"/>
        <cfvo type="percentile" val="50"/>
        <cfvo type="max"/>
        <color rgb="FFF8696B"/>
        <color rgb="FFFFEB84"/>
        <color rgb="FF63BE7B"/>
      </colorScale>
    </cfRule>
  </conditionalFormatting>
  <conditionalFormatting sqref="AU196">
    <cfRule type="colorScale" priority="10">
      <colorScale>
        <cfvo type="min"/>
        <cfvo type="percentile" val="50"/>
        <cfvo type="max"/>
        <color rgb="FFF8696B"/>
        <color rgb="FFFFEB84"/>
        <color rgb="FF63BE7B"/>
      </colorScale>
    </cfRule>
  </conditionalFormatting>
  <conditionalFormatting sqref="AU198:AU199">
    <cfRule type="colorScale" priority="8">
      <colorScale>
        <cfvo type="min"/>
        <cfvo type="percentile" val="50"/>
        <cfvo type="max"/>
        <color rgb="FFF8696B"/>
        <color rgb="FFFFEB84"/>
        <color rgb="FF63BE7B"/>
      </colorScale>
    </cfRule>
  </conditionalFormatting>
  <conditionalFormatting sqref="AU18">
    <cfRule type="cellIs" dxfId="4" priority="6" operator="lessThan">
      <formula>0.5</formula>
    </cfRule>
    <cfRule type="cellIs" dxfId="3" priority="7" operator="greaterThan">
      <formula>0.85</formula>
    </cfRule>
  </conditionalFormatting>
  <conditionalFormatting sqref="AV197">
    <cfRule type="colorScale" priority="4">
      <colorScale>
        <cfvo type="min"/>
        <cfvo type="percentile" val="50"/>
        <cfvo type="max"/>
        <color rgb="FFF8696B"/>
        <color rgb="FFFFEB84"/>
        <color rgb="FF63BE7B"/>
      </colorScale>
    </cfRule>
  </conditionalFormatting>
  <conditionalFormatting sqref="AV196">
    <cfRule type="colorScale" priority="5">
      <colorScale>
        <cfvo type="min"/>
        <cfvo type="percentile" val="50"/>
        <cfvo type="max"/>
        <color rgb="FFF8696B"/>
        <color rgb="FFFFEB84"/>
        <color rgb="FF63BE7B"/>
      </colorScale>
    </cfRule>
  </conditionalFormatting>
  <conditionalFormatting sqref="AV198:AV199">
    <cfRule type="colorScale" priority="3">
      <colorScale>
        <cfvo type="min"/>
        <cfvo type="percentile" val="50"/>
        <cfvo type="max"/>
        <color rgb="FFF8696B"/>
        <color rgb="FFFFEB84"/>
        <color rgb="FF63BE7B"/>
      </colorScale>
    </cfRule>
  </conditionalFormatting>
  <conditionalFormatting sqref="AV18">
    <cfRule type="cellIs" dxfId="2" priority="1" operator="lessThan">
      <formula>0.5</formula>
    </cfRule>
    <cfRule type="cellIs" dxfId="1" priority="2" operator="greaterThan">
      <formula>0.85</formula>
    </cfRule>
  </conditionalFormatting>
  <pageMargins left="0.7" right="0.7" top="0.75" bottom="0.75" header="0.3" footer="0.3"/>
  <pageSetup paperSize="9"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CR38"/>
  <sheetViews>
    <sheetView tabSelected="1" zoomScale="85" zoomScaleNormal="85" workbookViewId="0">
      <pane xSplit="2" ySplit="3" topLeftCell="BQ7" activePane="bottomRight" state="frozen"/>
      <selection activeCell="G41" sqref="G41"/>
      <selection pane="topRight" activeCell="G41" sqref="G41"/>
      <selection pane="bottomLeft" activeCell="G41" sqref="G41"/>
      <selection pane="bottomRight" activeCell="CB10" sqref="CB10"/>
    </sheetView>
  </sheetViews>
  <sheetFormatPr defaultColWidth="8.08984375" defaultRowHeight="14.5"/>
  <cols>
    <col min="1" max="1" width="15" style="126" bestFit="1" customWidth="1"/>
    <col min="2" max="2" width="34.90625" style="126" customWidth="1"/>
    <col min="3" max="9" width="8.08984375" style="126" bestFit="1" customWidth="1"/>
    <col min="10" max="26" width="9.08984375" style="126" customWidth="1"/>
    <col min="27" max="27" width="8.90625" style="126" customWidth="1"/>
    <col min="28" max="28" width="10.08984375" style="126" bestFit="1" customWidth="1"/>
    <col min="29" max="29" width="8.08984375" style="126" customWidth="1"/>
    <col min="30" max="31" width="10.08984375" style="126" bestFit="1" customWidth="1"/>
    <col min="32" max="32" width="8.08984375" style="126" bestFit="1" customWidth="1"/>
    <col min="33" max="34" width="9.08984375" style="126" customWidth="1"/>
    <col min="35" max="35" width="8.08984375" style="126" bestFit="1" customWidth="1"/>
    <col min="36" max="69" width="9" style="126" customWidth="1"/>
    <col min="70" max="70" width="8.81640625" style="126" customWidth="1"/>
    <col min="71" max="86" width="9" style="126" customWidth="1"/>
    <col min="87" max="88" width="9" style="126" bestFit="1" customWidth="1"/>
    <col min="89" max="89" width="8.08984375" style="126"/>
    <col min="90" max="94" width="9" style="126" bestFit="1" customWidth="1"/>
    <col min="95" max="95" width="8.36328125" style="126" bestFit="1" customWidth="1"/>
    <col min="96" max="16384" width="8.08984375" style="126"/>
  </cols>
  <sheetData>
    <row r="1" spans="1:96">
      <c r="B1" s="452" t="s">
        <v>389</v>
      </c>
      <c r="AM1" s="127">
        <v>69</v>
      </c>
      <c r="AN1" s="127">
        <v>68.959999999999994</v>
      </c>
      <c r="AO1" s="127">
        <v>83</v>
      </c>
      <c r="AP1" s="127">
        <v>80.008456709956704</v>
      </c>
      <c r="AQ1" s="127">
        <v>80.637</v>
      </c>
      <c r="AR1" s="127">
        <v>78</v>
      </c>
      <c r="AS1" s="127">
        <v>85.386547619047604</v>
      </c>
      <c r="AT1" s="127">
        <v>83.894000000000005</v>
      </c>
      <c r="AU1" s="127">
        <v>82.285551948051932</v>
      </c>
      <c r="AV1" s="127">
        <v>80.510000000000005</v>
      </c>
      <c r="AW1" s="127">
        <v>82.3</v>
      </c>
      <c r="AX1" s="127">
        <v>85.6</v>
      </c>
      <c r="AY1" s="127">
        <v>80.5</v>
      </c>
      <c r="AZ1" s="127">
        <v>75.5</v>
      </c>
      <c r="BA1" s="127">
        <v>80.8</v>
      </c>
      <c r="BB1" s="127">
        <v>77.786000000000001</v>
      </c>
      <c r="BC1" s="127">
        <v>60.347000000000001</v>
      </c>
      <c r="BD1" s="127">
        <v>59.180454545454538</v>
      </c>
      <c r="BE1" s="127">
        <v>62.7</v>
      </c>
      <c r="BF1" s="127">
        <v>71.587909090909093</v>
      </c>
      <c r="BG1" s="127">
        <v>73.900000000000006</v>
      </c>
      <c r="BH1" s="127">
        <v>79.302000000000007</v>
      </c>
      <c r="BI1" s="127">
        <v>71.215000000000003</v>
      </c>
      <c r="BJ1" s="127">
        <v>69.162000000000006</v>
      </c>
      <c r="BK1" s="127">
        <v>81.400000000000006</v>
      </c>
      <c r="BL1" s="127">
        <v>73.696513482172435</v>
      </c>
      <c r="BM1" s="127">
        <v>82.295560574202909</v>
      </c>
      <c r="BN1" s="127">
        <v>78.086476881859795</v>
      </c>
      <c r="BO1" s="127">
        <v>82.831999999999994</v>
      </c>
      <c r="BP1" s="127">
        <v>80.595511852062202</v>
      </c>
      <c r="BQ1" s="127">
        <v>63.642969918798407</v>
      </c>
      <c r="BR1" s="127">
        <v>74.607936554805264</v>
      </c>
      <c r="BS1" s="127">
        <v>68.531788472417276</v>
      </c>
      <c r="BT1" s="127">
        <v>66.308557944549975</v>
      </c>
      <c r="BU1" s="127">
        <v>67.682496309149215</v>
      </c>
      <c r="BV1" s="127">
        <v>67.948190916736735</v>
      </c>
      <c r="BW1" s="127">
        <v>71.523534622932431</v>
      </c>
      <c r="BX1" s="127">
        <v>62.561345668629095</v>
      </c>
      <c r="BY1" s="127">
        <v>68.790932716568534</v>
      </c>
      <c r="BZ1" s="127">
        <v>67.003546677880564</v>
      </c>
      <c r="CA1" s="127">
        <v>65.011805255843441</v>
      </c>
      <c r="CB1" s="127">
        <v>63.093201850294371</v>
      </c>
      <c r="CC1" s="127">
        <v>65.19920857863751</v>
      </c>
      <c r="CD1" s="127">
        <v>62.669687941228929</v>
      </c>
      <c r="CE1" s="127">
        <v>67.222709840201858</v>
      </c>
      <c r="CF1" s="127">
        <v>69.466366834875245</v>
      </c>
      <c r="CG1" s="127">
        <v>66.994417157275009</v>
      </c>
      <c r="CH1" s="127">
        <v>65.166422483880012</v>
      </c>
    </row>
    <row r="2" spans="1:96" ht="15" thickBot="1">
      <c r="AM2" s="371">
        <f>AM6-AM1</f>
        <v>0.93000000000000682</v>
      </c>
      <c r="AN2" s="371">
        <f>AN6-AN1</f>
        <v>1.3840000000000003</v>
      </c>
      <c r="AO2" s="371">
        <f t="shared" ref="AO2:BP2" si="0">AO6-AO1</f>
        <v>1</v>
      </c>
      <c r="AP2" s="371">
        <f t="shared" si="0"/>
        <v>0.99154329004329611</v>
      </c>
      <c r="AQ2" s="371">
        <f t="shared" si="0"/>
        <v>0</v>
      </c>
      <c r="AR2" s="371">
        <f t="shared" si="0"/>
        <v>0</v>
      </c>
      <c r="AS2" s="371">
        <f t="shared" si="0"/>
        <v>-0.9865476190475988</v>
      </c>
      <c r="AT2" s="371">
        <f t="shared" si="0"/>
        <v>0</v>
      </c>
      <c r="AU2" s="371">
        <f t="shared" si="0"/>
        <v>-1.6015519480519345</v>
      </c>
      <c r="AV2" s="371">
        <f t="shared" si="0"/>
        <v>0.78999999999999204</v>
      </c>
      <c r="AW2" s="371">
        <f t="shared" si="0"/>
        <v>0.70000000000000284</v>
      </c>
      <c r="AX2" s="371">
        <f t="shared" si="0"/>
        <v>0</v>
      </c>
      <c r="AY2" s="371">
        <f t="shared" si="0"/>
        <v>0</v>
      </c>
      <c r="AZ2" s="371">
        <f t="shared" si="0"/>
        <v>-5.7000000000000028</v>
      </c>
      <c r="BA2" s="371">
        <f t="shared" si="0"/>
        <v>0</v>
      </c>
      <c r="BB2" s="371">
        <f t="shared" si="0"/>
        <v>-13.286000000000001</v>
      </c>
      <c r="BC2" s="371">
        <f t="shared" si="0"/>
        <v>-3.1829999999999998</v>
      </c>
      <c r="BD2" s="371">
        <f>BD6-BD1</f>
        <v>2.0195454545454652</v>
      </c>
      <c r="BE2" s="371">
        <f>BE6-BE1</f>
        <v>3.5</v>
      </c>
      <c r="BF2" s="371">
        <f>BF6-BF1</f>
        <v>2.8710909090909098</v>
      </c>
      <c r="BG2" s="371">
        <f>BG6-BG1</f>
        <v>2.6999999999999886</v>
      </c>
      <c r="BH2" s="371">
        <f>BH6-BH1</f>
        <v>-1.2310000000000088</v>
      </c>
      <c r="BI2" s="371">
        <f t="shared" si="0"/>
        <v>0.86399999999999011</v>
      </c>
      <c r="BJ2" s="371">
        <f t="shared" si="0"/>
        <v>9.8379999999999939</v>
      </c>
      <c r="BK2" s="371">
        <f t="shared" si="0"/>
        <v>0.48458356309541273</v>
      </c>
      <c r="BL2" s="371">
        <f t="shared" si="0"/>
        <v>0.39782810199932328</v>
      </c>
      <c r="BM2" s="371">
        <f t="shared" si="0"/>
        <v>-0.34890938240690161</v>
      </c>
      <c r="BN2" s="371">
        <f t="shared" si="0"/>
        <v>-3.7664342467194984</v>
      </c>
      <c r="BO2" s="371">
        <f t="shared" si="0"/>
        <v>-2.1319999999999908</v>
      </c>
      <c r="BP2" s="371">
        <f t="shared" si="0"/>
        <v>0.14049196746650239</v>
      </c>
      <c r="BQ2" s="371">
        <f t="shared" ref="BQ2:BW2" si="1">BQ6-BQ1</f>
        <v>-1.9795518354610095</v>
      </c>
      <c r="BR2" s="371">
        <f>BR6-BR1</f>
        <v>-1.9379365548052618</v>
      </c>
      <c r="BS2" s="457">
        <f t="shared" si="1"/>
        <v>-0.27398131217510979</v>
      </c>
      <c r="BT2" s="457">
        <f t="shared" si="1"/>
        <v>0</v>
      </c>
      <c r="BU2" s="457">
        <f t="shared" si="1"/>
        <v>-0.12123322274435111</v>
      </c>
      <c r="BV2" s="457">
        <f t="shared" si="1"/>
        <v>-0.23819091673674109</v>
      </c>
      <c r="BW2" s="492">
        <f t="shared" si="1"/>
        <v>-0.12666666666666515</v>
      </c>
      <c r="BX2" s="492">
        <f t="shared" ref="BX2:BY2" si="2">BX6-BX1</f>
        <v>1.2600000000000051</v>
      </c>
      <c r="BY2" s="556">
        <f t="shared" si="2"/>
        <v>0</v>
      </c>
      <c r="BZ2" s="556">
        <f t="shared" ref="BZ2:CA2" si="3">BZ6-BZ1</f>
        <v>0</v>
      </c>
      <c r="CA2" s="556">
        <f t="shared" si="3"/>
        <v>0</v>
      </c>
      <c r="CB2" s="556">
        <f t="shared" ref="CB2:CC2" si="4">CB6-CB1</f>
        <v>0</v>
      </c>
      <c r="CC2" s="669">
        <f t="shared" si="4"/>
        <v>0</v>
      </c>
      <c r="CD2" s="669">
        <f t="shared" ref="CD2:CE2" si="5">CD6-CD1</f>
        <v>0</v>
      </c>
      <c r="CE2" s="688">
        <f t="shared" si="5"/>
        <v>0</v>
      </c>
      <c r="CF2" s="688">
        <f t="shared" ref="CF2:CG2" si="6">CF6-CF1</f>
        <v>0</v>
      </c>
      <c r="CG2" s="688">
        <f t="shared" si="6"/>
        <v>0</v>
      </c>
      <c r="CH2" s="688">
        <f t="shared" ref="CH2" si="7">CH6-CH1</f>
        <v>0</v>
      </c>
    </row>
    <row r="3" spans="1:96" ht="15" thickBot="1">
      <c r="A3" s="963" t="s">
        <v>54</v>
      </c>
      <c r="B3" s="964"/>
      <c r="C3" s="128">
        <v>42370</v>
      </c>
      <c r="D3" s="129">
        <v>42401</v>
      </c>
      <c r="E3" s="128">
        <v>42430</v>
      </c>
      <c r="F3" s="129">
        <v>42461</v>
      </c>
      <c r="G3" s="128">
        <v>42491</v>
      </c>
      <c r="H3" s="129">
        <v>42522</v>
      </c>
      <c r="I3" s="130">
        <v>42552</v>
      </c>
      <c r="J3" s="129">
        <v>42583</v>
      </c>
      <c r="K3" s="129">
        <v>42614</v>
      </c>
      <c r="L3" s="131">
        <v>42644</v>
      </c>
      <c r="M3" s="132">
        <v>42675</v>
      </c>
      <c r="N3" s="129">
        <v>42705</v>
      </c>
      <c r="O3" s="133">
        <v>42736</v>
      </c>
      <c r="P3" s="133">
        <v>42767</v>
      </c>
      <c r="Q3" s="134">
        <v>42795</v>
      </c>
      <c r="R3" s="135">
        <v>42826</v>
      </c>
      <c r="S3" s="136">
        <v>42856</v>
      </c>
      <c r="T3" s="135">
        <v>42887</v>
      </c>
      <c r="U3" s="137">
        <v>42917</v>
      </c>
      <c r="V3" s="135">
        <v>42948</v>
      </c>
      <c r="W3" s="137">
        <v>42979</v>
      </c>
      <c r="X3" s="135">
        <v>43009</v>
      </c>
      <c r="Y3" s="137">
        <v>43040</v>
      </c>
      <c r="Z3" s="137">
        <v>43070</v>
      </c>
      <c r="AA3" s="137">
        <v>43101</v>
      </c>
      <c r="AB3" s="137">
        <v>43132</v>
      </c>
      <c r="AC3" s="137">
        <v>43160</v>
      </c>
      <c r="AD3" s="137">
        <v>43191</v>
      </c>
      <c r="AE3" s="137">
        <v>43221</v>
      </c>
      <c r="AF3" s="137">
        <v>43252</v>
      </c>
      <c r="AG3" s="137">
        <v>43282</v>
      </c>
      <c r="AH3" s="137">
        <v>43313</v>
      </c>
      <c r="AI3" s="137">
        <v>43344</v>
      </c>
      <c r="AJ3" s="137">
        <v>43374</v>
      </c>
      <c r="AK3" s="137">
        <v>43405</v>
      </c>
      <c r="AL3" s="137">
        <v>43435</v>
      </c>
      <c r="AM3" s="137">
        <v>43466</v>
      </c>
      <c r="AN3" s="137">
        <v>43497</v>
      </c>
      <c r="AO3" s="137">
        <v>43525</v>
      </c>
      <c r="AP3" s="137">
        <v>43556</v>
      </c>
      <c r="AQ3" s="137">
        <v>43586</v>
      </c>
      <c r="AR3" s="137">
        <v>43617</v>
      </c>
      <c r="AS3" s="137">
        <v>43647</v>
      </c>
      <c r="AT3" s="137">
        <v>43678</v>
      </c>
      <c r="AU3" s="137">
        <v>43709</v>
      </c>
      <c r="AV3" s="137">
        <v>43739</v>
      </c>
      <c r="AW3" s="137">
        <v>43770</v>
      </c>
      <c r="AX3" s="137">
        <v>43800</v>
      </c>
      <c r="AY3" s="137">
        <v>43831</v>
      </c>
      <c r="AZ3" s="137">
        <v>43862</v>
      </c>
      <c r="BA3" s="137">
        <v>43891</v>
      </c>
      <c r="BB3" s="138">
        <v>43922</v>
      </c>
      <c r="BC3" s="381">
        <v>43952</v>
      </c>
      <c r="BD3" s="381">
        <v>43983</v>
      </c>
      <c r="BE3" s="138">
        <v>44013</v>
      </c>
      <c r="BF3" s="138">
        <v>44044</v>
      </c>
      <c r="BG3" s="138">
        <v>44075</v>
      </c>
      <c r="BH3" s="138">
        <v>44105</v>
      </c>
      <c r="BI3" s="138">
        <v>44136</v>
      </c>
      <c r="BJ3" s="138">
        <v>44166</v>
      </c>
      <c r="BK3" s="138">
        <v>44197</v>
      </c>
      <c r="BL3" s="138">
        <v>44228</v>
      </c>
      <c r="BM3" s="138">
        <v>44256</v>
      </c>
      <c r="BN3" s="138">
        <v>44287</v>
      </c>
      <c r="BO3" s="138">
        <v>44317</v>
      </c>
      <c r="BP3" s="138">
        <v>44348</v>
      </c>
      <c r="BQ3" s="138">
        <v>44378</v>
      </c>
      <c r="BR3" s="138">
        <v>44409</v>
      </c>
      <c r="BS3" s="138">
        <v>44440</v>
      </c>
      <c r="BT3" s="713">
        <v>44470</v>
      </c>
      <c r="BU3" s="713">
        <v>44501</v>
      </c>
      <c r="BV3" s="713">
        <v>44531</v>
      </c>
      <c r="BW3" s="713">
        <v>44562</v>
      </c>
      <c r="BX3" s="713">
        <v>44593</v>
      </c>
      <c r="BY3" s="713">
        <v>44621</v>
      </c>
      <c r="BZ3" s="713">
        <v>44652</v>
      </c>
      <c r="CA3" s="713">
        <v>44682</v>
      </c>
      <c r="CB3" s="713">
        <v>44713</v>
      </c>
      <c r="CC3" s="713">
        <v>44743</v>
      </c>
      <c r="CD3" s="713">
        <v>44774</v>
      </c>
      <c r="CE3" s="713">
        <v>44805</v>
      </c>
      <c r="CF3" s="713">
        <v>44835</v>
      </c>
      <c r="CG3" s="713">
        <v>44866</v>
      </c>
      <c r="CH3" s="713">
        <v>44896</v>
      </c>
    </row>
    <row r="4" spans="1:96">
      <c r="A4" s="139"/>
      <c r="B4" s="139"/>
      <c r="C4" s="140"/>
      <c r="D4" s="140"/>
      <c r="E4" s="140"/>
      <c r="F4" s="140"/>
      <c r="G4" s="140"/>
      <c r="H4" s="141"/>
      <c r="I4" s="141"/>
      <c r="J4" s="141"/>
      <c r="K4" s="141"/>
      <c r="L4" s="141"/>
      <c r="M4" s="141"/>
      <c r="N4" s="141"/>
      <c r="O4" s="141">
        <v>31</v>
      </c>
      <c r="P4" s="141">
        <v>28</v>
      </c>
      <c r="Q4" s="141">
        <v>31</v>
      </c>
      <c r="R4" s="142">
        <v>30</v>
      </c>
      <c r="S4" s="142">
        <v>31</v>
      </c>
      <c r="T4" s="142">
        <v>30</v>
      </c>
      <c r="U4" s="142">
        <v>31</v>
      </c>
      <c r="V4" s="142">
        <v>31</v>
      </c>
      <c r="W4" s="142">
        <v>30</v>
      </c>
      <c r="X4" s="142">
        <v>31</v>
      </c>
      <c r="Y4" s="142">
        <v>30</v>
      </c>
      <c r="Z4" s="142">
        <v>31</v>
      </c>
      <c r="AA4" s="142">
        <v>31</v>
      </c>
      <c r="AB4" s="142">
        <v>28</v>
      </c>
      <c r="AC4" s="143">
        <v>31</v>
      </c>
      <c r="AD4" s="143">
        <v>30</v>
      </c>
      <c r="AE4" s="143">
        <v>31</v>
      </c>
      <c r="AF4" s="143">
        <v>30</v>
      </c>
      <c r="AG4" s="143">
        <v>31</v>
      </c>
      <c r="AH4" s="143">
        <v>31</v>
      </c>
      <c r="AI4" s="143">
        <v>30</v>
      </c>
      <c r="AJ4" s="143">
        <v>31</v>
      </c>
      <c r="AK4" s="143">
        <v>30</v>
      </c>
      <c r="AL4" s="143">
        <v>31</v>
      </c>
      <c r="AM4" s="143">
        <v>31</v>
      </c>
      <c r="AN4" s="143">
        <v>28</v>
      </c>
      <c r="AO4" s="143">
        <v>31</v>
      </c>
      <c r="AP4" s="143">
        <v>30</v>
      </c>
      <c r="AQ4" s="143">
        <v>31</v>
      </c>
      <c r="AR4" s="143">
        <v>30</v>
      </c>
      <c r="AS4" s="143">
        <v>31</v>
      </c>
      <c r="AT4" s="143">
        <v>31</v>
      </c>
      <c r="AU4" s="143">
        <v>30</v>
      </c>
      <c r="AV4" s="143">
        <v>31</v>
      </c>
      <c r="AW4" s="143">
        <v>30</v>
      </c>
      <c r="AX4" s="143">
        <v>31</v>
      </c>
      <c r="AY4" s="143">
        <v>31</v>
      </c>
      <c r="AZ4" s="143">
        <v>29</v>
      </c>
      <c r="BA4" s="143">
        <v>31</v>
      </c>
      <c r="BB4" s="143">
        <v>30</v>
      </c>
      <c r="BC4" s="143">
        <v>31</v>
      </c>
      <c r="BD4" s="143">
        <v>30</v>
      </c>
      <c r="BE4" s="143">
        <v>31</v>
      </c>
      <c r="BF4" s="143">
        <v>31</v>
      </c>
      <c r="BG4" s="143">
        <v>30</v>
      </c>
      <c r="BH4" s="143">
        <v>31</v>
      </c>
      <c r="BI4" s="143">
        <v>30</v>
      </c>
      <c r="BJ4" s="143">
        <v>31</v>
      </c>
      <c r="BK4" s="143">
        <v>31</v>
      </c>
      <c r="BL4" s="561">
        <v>28</v>
      </c>
      <c r="BM4" s="561">
        <v>31</v>
      </c>
      <c r="BN4" s="561">
        <v>30</v>
      </c>
      <c r="BO4" s="561">
        <v>31</v>
      </c>
      <c r="BP4" s="561">
        <v>30</v>
      </c>
      <c r="BQ4" s="561">
        <v>31</v>
      </c>
      <c r="BR4" s="561">
        <v>31</v>
      </c>
      <c r="BS4" s="561">
        <v>30</v>
      </c>
      <c r="BT4" s="561">
        <v>31</v>
      </c>
      <c r="BU4" s="561">
        <v>30</v>
      </c>
      <c r="BV4" s="561">
        <v>31</v>
      </c>
      <c r="BW4" s="561">
        <v>31</v>
      </c>
      <c r="BX4" s="561">
        <v>28</v>
      </c>
      <c r="BY4" s="561">
        <v>31</v>
      </c>
      <c r="BZ4" s="561">
        <v>30</v>
      </c>
      <c r="CA4" s="561">
        <v>31</v>
      </c>
      <c r="CB4" s="561">
        <v>30</v>
      </c>
      <c r="CC4" s="561">
        <v>31</v>
      </c>
      <c r="CD4" s="561">
        <v>31</v>
      </c>
      <c r="CE4" s="561">
        <v>30</v>
      </c>
      <c r="CF4" s="561">
        <v>31</v>
      </c>
      <c r="CG4" s="561">
        <v>30</v>
      </c>
      <c r="CH4" s="561">
        <v>31</v>
      </c>
      <c r="CI4" s="147"/>
      <c r="CJ4" s="481" t="s">
        <v>55</v>
      </c>
      <c r="CK4" s="482" t="s">
        <v>44</v>
      </c>
      <c r="CL4" s="481" t="s">
        <v>55</v>
      </c>
      <c r="CM4" s="482" t="s">
        <v>44</v>
      </c>
      <c r="CN4" s="481" t="s">
        <v>55</v>
      </c>
      <c r="CO4" s="482" t="s">
        <v>44</v>
      </c>
    </row>
    <row r="5" spans="1:96" ht="15" thickBot="1">
      <c r="A5" s="139"/>
      <c r="B5" s="139"/>
      <c r="C5" s="140"/>
      <c r="D5" s="140"/>
      <c r="E5" s="140"/>
      <c r="F5" s="140"/>
      <c r="G5" s="140"/>
      <c r="H5" s="141"/>
      <c r="I5" s="141"/>
      <c r="J5" s="141"/>
      <c r="K5" s="141"/>
      <c r="L5" s="141"/>
      <c r="M5" s="141"/>
      <c r="N5" s="141"/>
      <c r="O5" s="141"/>
      <c r="P5" s="141"/>
      <c r="Q5" s="144">
        <v>87.28</v>
      </c>
      <c r="R5" s="144">
        <v>80.59</v>
      </c>
      <c r="S5" s="144"/>
      <c r="T5" s="144"/>
      <c r="U5" s="144"/>
      <c r="V5" s="145"/>
      <c r="W5" s="144"/>
      <c r="X5" s="144"/>
      <c r="Y5" s="144"/>
      <c r="Z5" s="144"/>
      <c r="AA5" s="144"/>
      <c r="AB5" s="144"/>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7"/>
      <c r="CJ5" s="833">
        <v>2020</v>
      </c>
      <c r="CK5" s="834">
        <v>2020</v>
      </c>
      <c r="CL5" s="833">
        <v>2021</v>
      </c>
      <c r="CM5" s="834">
        <v>2021</v>
      </c>
      <c r="CN5" s="833">
        <v>2022</v>
      </c>
      <c r="CO5" s="834">
        <v>2022</v>
      </c>
    </row>
    <row r="6" spans="1:96" s="147" customFormat="1" ht="15" thickBot="1">
      <c r="A6" s="148" t="s">
        <v>56</v>
      </c>
      <c r="B6" s="452" t="s">
        <v>395</v>
      </c>
      <c r="C6" s="149"/>
      <c r="D6" s="150">
        <v>81.403073829000007</v>
      </c>
      <c r="E6" s="150">
        <v>82.923235591999997</v>
      </c>
      <c r="F6" s="150">
        <v>88.145956060999993</v>
      </c>
      <c r="G6" s="150">
        <v>86.867129508999994</v>
      </c>
      <c r="H6" s="150">
        <v>85.79563047900001</v>
      </c>
      <c r="I6" s="150">
        <v>90.18</v>
      </c>
      <c r="J6" s="151">
        <v>86.242000000000004</v>
      </c>
      <c r="K6" s="150">
        <v>87.343999999999994</v>
      </c>
      <c r="L6" s="150">
        <v>91.8</v>
      </c>
      <c r="M6" s="152">
        <v>87.174999999999997</v>
      </c>
      <c r="N6" s="150">
        <v>88.4</v>
      </c>
      <c r="O6" s="152">
        <v>87.058000000000007</v>
      </c>
      <c r="P6" s="150">
        <v>80.992999999999995</v>
      </c>
      <c r="Q6" s="150">
        <v>90.6</v>
      </c>
      <c r="R6" s="153">
        <v>76.8</v>
      </c>
      <c r="S6" s="154">
        <v>86.93</v>
      </c>
      <c r="T6" s="155">
        <v>79.861000000000004</v>
      </c>
      <c r="U6" s="156">
        <v>76.353999999999999</v>
      </c>
      <c r="V6" s="156">
        <v>82.415999999999997</v>
      </c>
      <c r="W6" s="156">
        <v>77.09</v>
      </c>
      <c r="X6" s="156">
        <f>88.073</f>
        <v>88.072999999999993</v>
      </c>
      <c r="Y6" s="156">
        <v>90.5</v>
      </c>
      <c r="Z6" s="156">
        <v>89.215999999999994</v>
      </c>
      <c r="AA6" s="156">
        <v>86.5</v>
      </c>
      <c r="AB6" s="156">
        <v>75.268000000000001</v>
      </c>
      <c r="AC6" s="156">
        <v>82</v>
      </c>
      <c r="AD6" s="156">
        <v>77.295000000000002</v>
      </c>
      <c r="AE6" s="156">
        <v>82.748999999999995</v>
      </c>
      <c r="AF6" s="156">
        <v>81.87</v>
      </c>
      <c r="AG6" s="156">
        <v>80.123000000000005</v>
      </c>
      <c r="AH6" s="156">
        <v>82.5</v>
      </c>
      <c r="AI6" s="157">
        <v>72.971090909090918</v>
      </c>
      <c r="AJ6" s="156">
        <v>82.519000000000005</v>
      </c>
      <c r="AK6" s="156">
        <v>78.2</v>
      </c>
      <c r="AL6" s="156">
        <v>79.95</v>
      </c>
      <c r="AM6" s="156">
        <v>69.930000000000007</v>
      </c>
      <c r="AN6" s="156">
        <v>70.343999999999994</v>
      </c>
      <c r="AO6" s="156">
        <v>84</v>
      </c>
      <c r="AP6" s="156">
        <v>81</v>
      </c>
      <c r="AQ6" s="156">
        <v>80.637</v>
      </c>
      <c r="AR6" s="156">
        <v>78</v>
      </c>
      <c r="AS6" s="156">
        <v>84.4</v>
      </c>
      <c r="AT6" s="156">
        <v>83.894000000000005</v>
      </c>
      <c r="AU6" s="156">
        <v>80.683999999999997</v>
      </c>
      <c r="AV6" s="156">
        <v>81.3</v>
      </c>
      <c r="AW6" s="156">
        <v>83</v>
      </c>
      <c r="AX6" s="156">
        <v>85.6</v>
      </c>
      <c r="AY6" s="156">
        <v>80.5</v>
      </c>
      <c r="AZ6" s="156">
        <v>69.8</v>
      </c>
      <c r="BA6" s="275">
        <v>80.8</v>
      </c>
      <c r="BB6" s="375">
        <v>64.5</v>
      </c>
      <c r="BC6" s="276">
        <v>57.164000000000001</v>
      </c>
      <c r="BD6" s="276">
        <v>61.2</v>
      </c>
      <c r="BE6" s="448">
        <v>66.2</v>
      </c>
      <c r="BF6" s="453">
        <v>74.459000000000003</v>
      </c>
      <c r="BG6" s="453">
        <v>76.599999999999994</v>
      </c>
      <c r="BH6" s="453">
        <v>78.070999999999998</v>
      </c>
      <c r="BI6" s="453">
        <v>72.078999999999994</v>
      </c>
      <c r="BJ6" s="453">
        <v>79</v>
      </c>
      <c r="BK6" s="453">
        <v>81.884583563095418</v>
      </c>
      <c r="BL6" s="453">
        <v>74.094341584171758</v>
      </c>
      <c r="BM6" s="453">
        <v>81.946651191796008</v>
      </c>
      <c r="BN6" s="453">
        <f>77.8200426351403-2-1.5</f>
        <v>74.320042635140297</v>
      </c>
      <c r="BO6" s="453">
        <v>80.7</v>
      </c>
      <c r="BP6" s="453">
        <v>80.736003819528705</v>
      </c>
      <c r="BQ6" s="453">
        <v>61.663418083337397</v>
      </c>
      <c r="BR6" s="697">
        <v>72.67</v>
      </c>
      <c r="BS6" s="453">
        <v>68.257807160242166</v>
      </c>
      <c r="BT6" s="453">
        <v>66.308557944549975</v>
      </c>
      <c r="BU6" s="453">
        <v>67.561263086404864</v>
      </c>
      <c r="BV6" s="453">
        <v>67.709999999999994</v>
      </c>
      <c r="BW6" s="453">
        <v>71.396867956265766</v>
      </c>
      <c r="BX6" s="453">
        <v>63.8213456686291</v>
      </c>
      <c r="BY6" s="453">
        <v>68.790932716568534</v>
      </c>
      <c r="BZ6" s="453">
        <v>67.003546677880564</v>
      </c>
      <c r="CA6" s="453">
        <v>65.011805255843441</v>
      </c>
      <c r="CB6" s="453">
        <v>63.093201850294371</v>
      </c>
      <c r="CC6" s="453">
        <v>65.19920857863751</v>
      </c>
      <c r="CD6" s="453">
        <v>62.669687941228929</v>
      </c>
      <c r="CE6" s="453">
        <v>67.222709840201858</v>
      </c>
      <c r="CF6" s="453">
        <v>69.466366834875245</v>
      </c>
      <c r="CG6" s="453">
        <v>66.994417157275009</v>
      </c>
      <c r="CH6" s="453">
        <v>65.166422483880012</v>
      </c>
      <c r="CJ6" s="835">
        <f>SUM(AY6:BJ6)</f>
        <v>860.37300000000005</v>
      </c>
      <c r="CK6" s="836">
        <f>CJ6*0.648</f>
        <v>557.521704</v>
      </c>
      <c r="CL6" s="835">
        <f>SUM(BK6:BV6)</f>
        <v>877.85266906826655</v>
      </c>
      <c r="CM6" s="836">
        <f>CL6*0.648</f>
        <v>568.84852955623671</v>
      </c>
      <c r="CN6" s="837">
        <f>SUM(BW6:CH6)</f>
        <v>795.83651296158041</v>
      </c>
      <c r="CO6" s="838">
        <f>CN6*0.648</f>
        <v>515.70206039910408</v>
      </c>
      <c r="CP6" s="856"/>
      <c r="CQ6" s="857"/>
    </row>
    <row r="7" spans="1:96" s="147" customFormat="1">
      <c r="A7" s="965" t="s">
        <v>57</v>
      </c>
      <c r="B7" s="445" t="s">
        <v>58</v>
      </c>
      <c r="C7" s="158">
        <v>53.985610000000001</v>
      </c>
      <c r="D7" s="159">
        <v>45.941310999999999</v>
      </c>
      <c r="E7" s="159">
        <v>46.670610000000003</v>
      </c>
      <c r="F7" s="159">
        <v>49.345337000000001</v>
      </c>
      <c r="G7" s="159">
        <v>50.110622999999997</v>
      </c>
      <c r="H7" s="159">
        <v>50.597169999999998</v>
      </c>
      <c r="I7" s="160">
        <v>52.5</v>
      </c>
      <c r="J7" s="161">
        <v>52.5</v>
      </c>
      <c r="K7" s="160">
        <v>52.5</v>
      </c>
      <c r="L7" s="160">
        <v>55</v>
      </c>
      <c r="M7" s="162">
        <v>58</v>
      </c>
      <c r="N7" s="160">
        <v>55.648000000000003</v>
      </c>
      <c r="O7" s="160">
        <v>31</v>
      </c>
      <c r="P7" s="160">
        <v>28.548999999999999</v>
      </c>
      <c r="Q7" s="161">
        <v>30</v>
      </c>
      <c r="R7" s="161">
        <v>26.234000000000002</v>
      </c>
      <c r="S7" s="161">
        <v>21.6</v>
      </c>
      <c r="T7" s="161">
        <v>4.5999999999999996</v>
      </c>
      <c r="U7" s="161">
        <v>23</v>
      </c>
      <c r="V7" s="161">
        <v>25</v>
      </c>
      <c r="W7" s="161">
        <v>21.5</v>
      </c>
      <c r="X7" s="161">
        <f>27.8+3.4</f>
        <v>31.2</v>
      </c>
      <c r="Y7" s="161">
        <v>34</v>
      </c>
      <c r="Z7" s="161">
        <f>33.179+2</f>
        <v>35.179000000000002</v>
      </c>
      <c r="AA7" s="163">
        <f>1000*AA4/1000</f>
        <v>31</v>
      </c>
      <c r="AB7" s="164">
        <f>1050*AB4/1000</f>
        <v>29.4</v>
      </c>
      <c r="AC7" s="164">
        <v>23.6</v>
      </c>
      <c r="AD7" s="164">
        <v>27.78</v>
      </c>
      <c r="AE7" s="164">
        <v>23</v>
      </c>
      <c r="AF7" s="164">
        <v>28.56</v>
      </c>
      <c r="AG7" s="164">
        <v>27.32</v>
      </c>
      <c r="AH7" s="164">
        <v>22.5</v>
      </c>
      <c r="AI7" s="165">
        <v>15</v>
      </c>
      <c r="AJ7" s="164">
        <v>23.8</v>
      </c>
      <c r="AK7" s="164">
        <f>23/0.648</f>
        <v>35.493827160493829</v>
      </c>
      <c r="AL7" s="164">
        <f>19.5/0.648</f>
        <v>30.092592592592592</v>
      </c>
      <c r="AM7" s="164">
        <f>12/0.648</f>
        <v>18.518518518518519</v>
      </c>
      <c r="AN7" s="164">
        <f>15/0.648</f>
        <v>23.148148148148149</v>
      </c>
      <c r="AO7" s="164">
        <f>21/0.648</f>
        <v>32.407407407407405</v>
      </c>
      <c r="AP7" s="164">
        <f>21/0.648</f>
        <v>32.407407407407405</v>
      </c>
      <c r="AQ7" s="164">
        <f>17/0.648</f>
        <v>26.234567901234566</v>
      </c>
      <c r="AR7" s="164">
        <f>19/0.648</f>
        <v>29.320987654320987</v>
      </c>
      <c r="AS7" s="164">
        <f>18.5/0.648</f>
        <v>28.549382716049383</v>
      </c>
      <c r="AT7" s="164">
        <f>20/0.648</f>
        <v>30.864197530864196</v>
      </c>
      <c r="AU7" s="164">
        <f>19/0.648</f>
        <v>29.320987654320987</v>
      </c>
      <c r="AV7" s="164">
        <f>18/0.648</f>
        <v>27.777777777777779</v>
      </c>
      <c r="AW7" s="164">
        <f>17.5/0.648</f>
        <v>27.006172839506171</v>
      </c>
      <c r="AX7" s="164">
        <v>32.407407407407398</v>
      </c>
      <c r="AY7" s="164">
        <f>(15+3+1)/0.648</f>
        <v>29.320987654320987</v>
      </c>
      <c r="AZ7" s="164">
        <f>5.8/0.648</f>
        <v>8.9506172839506171</v>
      </c>
      <c r="BA7" s="171">
        <f>(22.5+2.7)/0.648</f>
        <v>38.888888888888886</v>
      </c>
      <c r="BB7" s="171">
        <f>15/0.648</f>
        <v>23.148148148148149</v>
      </c>
      <c r="BC7" s="171">
        <f>9/0.648</f>
        <v>13.888888888888889</v>
      </c>
      <c r="BD7" s="171">
        <f>5/0.648</f>
        <v>7.716049382716049</v>
      </c>
      <c r="BE7" s="171">
        <f>5/0.648</f>
        <v>7.716049382716049</v>
      </c>
      <c r="BF7" s="171">
        <f>15/0.648</f>
        <v>23.148148148148149</v>
      </c>
      <c r="BG7" s="171">
        <f>23/0.648</f>
        <v>35.493827160493829</v>
      </c>
      <c r="BH7" s="171">
        <f>25.5/0.648</f>
        <v>39.351851851851848</v>
      </c>
      <c r="BI7" s="171">
        <f>(21.5-1.5)/0.648</f>
        <v>30.864197530864196</v>
      </c>
      <c r="BJ7" s="171">
        <f>22/0.648</f>
        <v>33.950617283950614</v>
      </c>
      <c r="BK7" s="171">
        <f>24.5/0.648</f>
        <v>37.808641975308639</v>
      </c>
      <c r="BL7" s="171">
        <f>(23+1.5)/0.648</f>
        <v>37.808641975308639</v>
      </c>
      <c r="BM7" s="171">
        <f>26/0.648</f>
        <v>40.123456790123456</v>
      </c>
      <c r="BN7" s="171">
        <f>(19)/0.648</f>
        <v>29.320987654320987</v>
      </c>
      <c r="BO7" s="171">
        <f>(26/0.648)</f>
        <v>40.123456790123456</v>
      </c>
      <c r="BP7" s="171">
        <f>22/0.648</f>
        <v>33.950617283950614</v>
      </c>
      <c r="BQ7" s="171">
        <f>19/0.648-(1/0.648)</f>
        <v>27.777777777777779</v>
      </c>
      <c r="BR7" s="690">
        <f>(22/0.648)-(0.8/0.648)-(1/0.648)-(0.5/0.648)</f>
        <v>30.401234567901231</v>
      </c>
      <c r="BS7" s="690">
        <f>17.5/0.648-(1/0.648)</f>
        <v>25.462962962962962</v>
      </c>
      <c r="BT7" s="690">
        <f>(16.5/0.648)+(0.5/0.648)-(5/0.648)</f>
        <v>18.518518518518519</v>
      </c>
      <c r="BU7" s="171">
        <f>16/0.648</f>
        <v>24.691358024691358</v>
      </c>
      <c r="BV7" s="918">
        <f>16/0.648</f>
        <v>24.691358024691358</v>
      </c>
      <c r="BW7" s="172">
        <f>23/0.648</f>
        <v>35.493827160493829</v>
      </c>
      <c r="BX7" s="172">
        <f>20/0.648</f>
        <v>30.864197530864196</v>
      </c>
      <c r="BY7" s="172">
        <f>22/0.648</f>
        <v>33.950617283950614</v>
      </c>
      <c r="BZ7" s="172">
        <f t="shared" ref="BZ7" si="8">22/0.648</f>
        <v>33.950617283950614</v>
      </c>
      <c r="CA7" s="172">
        <f>20/0.648</f>
        <v>30.864197530864196</v>
      </c>
      <c r="CB7" s="172">
        <f>19/0.648</f>
        <v>29.320987654320987</v>
      </c>
      <c r="CC7" s="172">
        <f t="shared" ref="CC7:CH7" si="9">20/0.648</f>
        <v>30.864197530864196</v>
      </c>
      <c r="CD7" s="172">
        <f>19/0.648</f>
        <v>29.320987654320987</v>
      </c>
      <c r="CE7" s="172">
        <f>21/0.648</f>
        <v>32.407407407407405</v>
      </c>
      <c r="CF7" s="172">
        <f>23/0.648</f>
        <v>35.493827160493829</v>
      </c>
      <c r="CG7" s="172">
        <f>22/0.648</f>
        <v>33.950617283950614</v>
      </c>
      <c r="CH7" s="172">
        <f t="shared" si="9"/>
        <v>30.864197530864196</v>
      </c>
      <c r="CJ7" s="835">
        <f>SUM(AY7:BJ7)</f>
        <v>292.43827160493828</v>
      </c>
      <c r="CK7" s="836">
        <f>CJ7*0.648</f>
        <v>189.5</v>
      </c>
      <c r="CL7" s="835">
        <f>SUM(BK7:BV7)</f>
        <v>370.67901234567893</v>
      </c>
      <c r="CM7" s="836">
        <f>CL7*0.648</f>
        <v>240.19999999999996</v>
      </c>
      <c r="CN7" s="837">
        <f>SUM(BW7:CH7)</f>
        <v>387.34567901234567</v>
      </c>
      <c r="CO7" s="838">
        <f>CN7*0.648</f>
        <v>251</v>
      </c>
      <c r="CR7" s="486"/>
    </row>
    <row r="8" spans="1:96" s="147" customFormat="1" ht="15" thickBot="1">
      <c r="A8" s="966"/>
      <c r="B8" s="446" t="s">
        <v>296</v>
      </c>
      <c r="C8" s="166">
        <v>30.989631000000003</v>
      </c>
      <c r="D8" s="167">
        <v>29.898712</v>
      </c>
      <c r="E8" s="167">
        <v>32.193482000000003</v>
      </c>
      <c r="F8" s="167">
        <v>31.362504000000001</v>
      </c>
      <c r="G8" s="167">
        <v>31.123810000000002</v>
      </c>
      <c r="H8" s="167">
        <v>33.331128</v>
      </c>
      <c r="I8" s="168">
        <v>32</v>
      </c>
      <c r="J8" s="169">
        <v>33</v>
      </c>
      <c r="K8" s="168">
        <v>30</v>
      </c>
      <c r="L8" s="168">
        <v>30</v>
      </c>
      <c r="M8" s="170">
        <v>25</v>
      </c>
      <c r="N8" s="168">
        <v>29.111000000000001</v>
      </c>
      <c r="O8" s="168">
        <v>50</v>
      </c>
      <c r="P8" s="168">
        <v>53</v>
      </c>
      <c r="Q8" s="168">
        <f>53+0.8</f>
        <v>53.8</v>
      </c>
      <c r="R8" s="168">
        <v>53</v>
      </c>
      <c r="S8" s="168">
        <v>58</v>
      </c>
      <c r="T8" s="168">
        <v>56</v>
      </c>
      <c r="U8" s="168">
        <v>56</v>
      </c>
      <c r="V8" s="168">
        <v>55</v>
      </c>
      <c r="W8" s="168">
        <v>54</v>
      </c>
      <c r="X8" s="168">
        <v>58</v>
      </c>
      <c r="Y8" s="168">
        <v>56</v>
      </c>
      <c r="Z8" s="168">
        <v>55</v>
      </c>
      <c r="AA8" s="171">
        <f>48/0.648*AA4*24/1000</f>
        <v>55.111111111111114</v>
      </c>
      <c r="AB8" s="171">
        <f t="shared" ref="AB8:AG8" si="10">48/0.648*AB4*24/1000</f>
        <v>49.777777777777771</v>
      </c>
      <c r="AC8" s="171">
        <f t="shared" si="10"/>
        <v>55.111111111111114</v>
      </c>
      <c r="AD8" s="171">
        <f t="shared" si="10"/>
        <v>53.333333333333329</v>
      </c>
      <c r="AE8" s="171">
        <f t="shared" si="10"/>
        <v>55.111111111111114</v>
      </c>
      <c r="AF8" s="171">
        <f t="shared" si="10"/>
        <v>53.333333333333329</v>
      </c>
      <c r="AG8" s="171">
        <f t="shared" si="10"/>
        <v>55.111111111111114</v>
      </c>
      <c r="AH8" s="171">
        <f>48/0.648*AH4*24/1000</f>
        <v>55.111111111111114</v>
      </c>
      <c r="AI8" s="171">
        <v>46.9</v>
      </c>
      <c r="AJ8" s="171">
        <v>45</v>
      </c>
      <c r="AK8" s="171">
        <v>40</v>
      </c>
      <c r="AL8" s="171">
        <f>48/0.648*AL4*24/1000</f>
        <v>55.111111111111114</v>
      </c>
      <c r="AM8" s="171">
        <f>52-7</f>
        <v>45</v>
      </c>
      <c r="AN8" s="171">
        <v>48</v>
      </c>
      <c r="AO8" s="171">
        <v>55</v>
      </c>
      <c r="AP8" s="171">
        <v>53</v>
      </c>
      <c r="AQ8" s="171">
        <v>55</v>
      </c>
      <c r="AR8" s="171">
        <v>53</v>
      </c>
      <c r="AS8" s="171">
        <v>55</v>
      </c>
      <c r="AT8" s="171">
        <v>55</v>
      </c>
      <c r="AU8" s="171">
        <v>51.5</v>
      </c>
      <c r="AV8" s="171">
        <f>48*AV4/0.648/1000*24</f>
        <v>55.111111111111114</v>
      </c>
      <c r="AW8" s="171">
        <f>48*AW4/0.648/1000*24</f>
        <v>53.333333333333336</v>
      </c>
      <c r="AX8" s="171">
        <v>55</v>
      </c>
      <c r="AY8" s="171">
        <f>53+2</f>
        <v>55</v>
      </c>
      <c r="AZ8" s="171">
        <f>48/0.648*AZ4*24/1000</f>
        <v>51.555555555555564</v>
      </c>
      <c r="BA8" s="171">
        <v>43.6</v>
      </c>
      <c r="BB8" s="171">
        <v>42.2</v>
      </c>
      <c r="BC8" s="171">
        <v>42.2</v>
      </c>
      <c r="BD8" s="171">
        <f>48/0.648*BD4*24/1000</f>
        <v>53.333333333333329</v>
      </c>
      <c r="BE8" s="171">
        <v>58.857999999999997</v>
      </c>
      <c r="BF8" s="171">
        <f>48/0.648*BF4*24/1000</f>
        <v>55.111111111111114</v>
      </c>
      <c r="BG8" s="171">
        <f>38/0.648*BG4*24/1000</f>
        <v>42.222222222222221</v>
      </c>
      <c r="BH8" s="171">
        <f>38/0.648*BH4*24/1000</f>
        <v>43.629629629629626</v>
      </c>
      <c r="BI8" s="171">
        <f>(38/0.648*BI4*24/1000)-2.22</f>
        <v>40.002222222222223</v>
      </c>
      <c r="BJ8" s="171">
        <f>(38/0.648*BJ4*24/1000)-3.03+2</f>
        <v>42.599629629629625</v>
      </c>
      <c r="BK8" s="171">
        <v>45</v>
      </c>
      <c r="BL8" s="171">
        <v>39</v>
      </c>
      <c r="BM8" s="171">
        <f>38/0.648*BM4*24/1000</f>
        <v>43.629629629629626</v>
      </c>
      <c r="BN8" s="171">
        <v>43.7</v>
      </c>
      <c r="BO8" s="171">
        <f t="shared" ref="BO8:BP8" si="11">38/0.648*BO4*24/1000</f>
        <v>43.629629629629626</v>
      </c>
      <c r="BP8" s="171">
        <f t="shared" si="11"/>
        <v>42.222222222222221</v>
      </c>
      <c r="BQ8" s="171">
        <f>33+3.5+1.5</f>
        <v>38</v>
      </c>
      <c r="BR8" s="691">
        <f>45.95-1.55-0.9-2</f>
        <v>41.500000000000007</v>
      </c>
      <c r="BS8" s="171">
        <f>(38/0.648*BS4*24/1000)+(1.5/0.648)-1</f>
        <v>43.537037037037038</v>
      </c>
      <c r="BT8" s="699">
        <f>(34/0.648*BT4*24/1000)+(4/0.648)</f>
        <v>45.20987654320988</v>
      </c>
      <c r="BU8" s="171">
        <f>43+2</f>
        <v>45</v>
      </c>
      <c r="BV8" s="918">
        <v>44</v>
      </c>
      <c r="BW8" s="172">
        <f>30.5/0.648*BW4*24/1000</f>
        <v>35.018518518518519</v>
      </c>
      <c r="BX8" s="172">
        <f>31.5/0.648*BX4*24/1000</f>
        <v>32.666666666666664</v>
      </c>
      <c r="BY8" s="172">
        <f>30.5/0.648*BY4*24/1000</f>
        <v>35.018518518518519</v>
      </c>
      <c r="BZ8" s="172">
        <f>30/0.648*BZ4*24/1000</f>
        <v>33.333333333333336</v>
      </c>
      <c r="CA8" s="172">
        <f t="shared" ref="CA8:CH8" si="12">30/0.648*CA4*24/1000</f>
        <v>34.444444444444443</v>
      </c>
      <c r="CB8" s="172">
        <f t="shared" si="12"/>
        <v>33.333333333333336</v>
      </c>
      <c r="CC8" s="172">
        <f t="shared" si="12"/>
        <v>34.444444444444443</v>
      </c>
      <c r="CD8" s="172">
        <f>29.5/0.648*CD4*24/1000</f>
        <v>33.870370370370367</v>
      </c>
      <c r="CE8" s="172">
        <f t="shared" si="12"/>
        <v>33.333333333333336</v>
      </c>
      <c r="CF8" s="172">
        <f t="shared" si="12"/>
        <v>34.444444444444443</v>
      </c>
      <c r="CG8" s="172">
        <f t="shared" si="12"/>
        <v>33.333333333333336</v>
      </c>
      <c r="CH8" s="172">
        <f t="shared" si="12"/>
        <v>34.444444444444443</v>
      </c>
      <c r="CJ8" s="839">
        <f>SUM(AY8:BJ8)</f>
        <v>570.31170370370364</v>
      </c>
      <c r="CK8" s="840">
        <f>CJ8*0.648</f>
        <v>369.561984</v>
      </c>
      <c r="CL8" s="839">
        <f>SUM(BK8:BV8)</f>
        <v>514.42839506172845</v>
      </c>
      <c r="CM8" s="840">
        <f>CL8*0.648</f>
        <v>333.34960000000007</v>
      </c>
      <c r="CN8" s="841">
        <f>SUM(BW8:CH8)</f>
        <v>407.68518518518516</v>
      </c>
      <c r="CO8" s="842">
        <f>CN8*0.648</f>
        <v>264.18</v>
      </c>
    </row>
    <row r="9" spans="1:96" s="147" customFormat="1">
      <c r="A9" s="966"/>
      <c r="B9" s="446" t="s">
        <v>59</v>
      </c>
      <c r="C9" s="166">
        <v>0.78237099999999993</v>
      </c>
      <c r="D9" s="167">
        <v>0.7522279999999999</v>
      </c>
      <c r="E9" s="167">
        <v>0.775474</v>
      </c>
      <c r="F9" s="167">
        <v>0.79658699999999993</v>
      </c>
      <c r="G9" s="167">
        <v>0.84058900000000003</v>
      </c>
      <c r="H9" s="167">
        <v>0.81647700000000001</v>
      </c>
      <c r="I9" s="168">
        <v>0.8</v>
      </c>
      <c r="J9" s="169">
        <v>0.8</v>
      </c>
      <c r="K9" s="168">
        <v>0.8</v>
      </c>
      <c r="L9" s="168">
        <v>0.8</v>
      </c>
      <c r="M9" s="173">
        <v>0.8</v>
      </c>
      <c r="N9" s="168">
        <v>0.8</v>
      </c>
      <c r="O9" s="168">
        <v>0.8</v>
      </c>
      <c r="P9" s="168">
        <v>0.8</v>
      </c>
      <c r="Q9" s="169">
        <v>0.8</v>
      </c>
      <c r="R9" s="169">
        <v>0</v>
      </c>
      <c r="S9" s="169">
        <v>0</v>
      </c>
      <c r="T9" s="169">
        <v>0</v>
      </c>
      <c r="U9" s="169">
        <v>0</v>
      </c>
      <c r="V9" s="169">
        <v>0</v>
      </c>
      <c r="W9" s="169">
        <v>0</v>
      </c>
      <c r="X9" s="169"/>
      <c r="Y9" s="169"/>
      <c r="Z9" s="169">
        <v>0</v>
      </c>
      <c r="AA9" s="171"/>
      <c r="AB9" s="174"/>
      <c r="AC9" s="174">
        <v>0</v>
      </c>
      <c r="AD9" s="175">
        <v>-2.5</v>
      </c>
      <c r="AE9" s="174">
        <v>0</v>
      </c>
      <c r="AF9" s="174">
        <v>0</v>
      </c>
      <c r="AG9" s="174">
        <v>0</v>
      </c>
      <c r="AH9" s="174">
        <v>0</v>
      </c>
      <c r="AI9" s="174">
        <v>0</v>
      </c>
      <c r="AJ9" s="174">
        <v>0</v>
      </c>
      <c r="AK9" s="176"/>
      <c r="AL9" s="174"/>
      <c r="AM9" s="174"/>
      <c r="AN9" s="174">
        <v>0</v>
      </c>
      <c r="AO9" s="174"/>
      <c r="AP9" s="174"/>
      <c r="AQ9" s="174"/>
      <c r="AR9" s="174">
        <v>0</v>
      </c>
      <c r="AS9" s="174">
        <v>0</v>
      </c>
      <c r="AT9" s="174">
        <v>0</v>
      </c>
      <c r="AU9" s="174">
        <v>0</v>
      </c>
      <c r="AV9" s="174">
        <v>0</v>
      </c>
      <c r="AW9" s="174">
        <v>0</v>
      </c>
      <c r="AX9" s="174">
        <v>0</v>
      </c>
      <c r="AY9" s="174">
        <v>0</v>
      </c>
      <c r="AZ9" s="174"/>
      <c r="BA9" s="174"/>
      <c r="BB9" s="174"/>
      <c r="BC9" s="174">
        <v>0</v>
      </c>
      <c r="BD9" s="174">
        <v>0</v>
      </c>
      <c r="BE9" s="174"/>
      <c r="BF9" s="174">
        <v>0</v>
      </c>
      <c r="BG9" s="174">
        <v>0</v>
      </c>
      <c r="BH9" s="174">
        <v>0</v>
      </c>
      <c r="BI9" s="174">
        <v>0</v>
      </c>
      <c r="BJ9" s="174">
        <v>0</v>
      </c>
      <c r="BK9" s="176"/>
      <c r="BL9" s="174"/>
      <c r="BM9" s="174">
        <v>0</v>
      </c>
      <c r="BN9" s="174">
        <v>0</v>
      </c>
      <c r="BO9" s="174">
        <v>0</v>
      </c>
      <c r="BP9" s="174">
        <v>0</v>
      </c>
      <c r="BQ9" s="174">
        <v>0</v>
      </c>
      <c r="BR9" s="174">
        <v>0</v>
      </c>
      <c r="BS9" s="174">
        <v>0</v>
      </c>
      <c r="BT9" s="174">
        <v>0</v>
      </c>
      <c r="BU9" s="176"/>
      <c r="BV9" s="174"/>
      <c r="BW9" s="174">
        <v>0</v>
      </c>
      <c r="BX9" s="174">
        <v>0</v>
      </c>
      <c r="BY9" s="174">
        <v>0</v>
      </c>
      <c r="BZ9" s="174">
        <v>0</v>
      </c>
      <c r="CA9" s="174">
        <v>0</v>
      </c>
      <c r="CB9" s="174">
        <v>0</v>
      </c>
      <c r="CC9" s="174">
        <v>0</v>
      </c>
      <c r="CD9" s="174">
        <v>0</v>
      </c>
      <c r="CE9" s="174">
        <v>0</v>
      </c>
      <c r="CF9" s="174">
        <v>0</v>
      </c>
      <c r="CG9" s="174">
        <v>0</v>
      </c>
      <c r="CH9" s="174">
        <v>0</v>
      </c>
      <c r="CL9" s="257"/>
    </row>
    <row r="10" spans="1:96" s="147" customFormat="1" ht="15" thickBot="1">
      <c r="A10" s="966"/>
      <c r="B10" s="177" t="s">
        <v>406</v>
      </c>
      <c r="C10" s="178">
        <v>0</v>
      </c>
      <c r="D10" s="179">
        <v>4.7416499999999999</v>
      </c>
      <c r="E10" s="179">
        <v>0</v>
      </c>
      <c r="F10" s="179">
        <v>5.2014629999999995</v>
      </c>
      <c r="G10" s="179">
        <v>0</v>
      </c>
      <c r="H10" s="179">
        <v>0</v>
      </c>
      <c r="I10" s="180">
        <v>5</v>
      </c>
      <c r="J10" s="181">
        <v>0</v>
      </c>
      <c r="K10" s="180">
        <f>4.697+4.9</f>
        <v>9.5970000000000013</v>
      </c>
      <c r="L10" s="180">
        <v>4.524</v>
      </c>
      <c r="M10" s="182">
        <v>0</v>
      </c>
      <c r="N10" s="180">
        <f>3.85+4.8+3.7</f>
        <v>12.350000000000001</v>
      </c>
      <c r="O10" s="180">
        <v>0</v>
      </c>
      <c r="P10" s="183"/>
      <c r="Q10" s="181"/>
      <c r="R10" s="180">
        <v>5</v>
      </c>
      <c r="S10" s="184">
        <v>10</v>
      </c>
      <c r="T10" s="184">
        <f>15+2.4</f>
        <v>17.399999999999999</v>
      </c>
      <c r="U10" s="180">
        <v>0</v>
      </c>
      <c r="V10" s="180" t="s">
        <v>60</v>
      </c>
      <c r="W10" s="180">
        <v>0</v>
      </c>
      <c r="X10" s="180"/>
      <c r="Y10" s="180">
        <v>0</v>
      </c>
      <c r="Z10" s="180">
        <v>5</v>
      </c>
      <c r="AA10" s="185">
        <v>0</v>
      </c>
      <c r="AB10" s="185">
        <v>4.2</v>
      </c>
      <c r="AC10" s="185">
        <v>0</v>
      </c>
      <c r="AD10" s="185">
        <v>0</v>
      </c>
      <c r="AE10" s="186"/>
      <c r="AF10" s="185">
        <v>0</v>
      </c>
      <c r="AG10" s="187">
        <v>1.9</v>
      </c>
      <c r="AH10" s="187"/>
      <c r="AI10" s="187"/>
      <c r="AJ10" s="187">
        <v>1.9</v>
      </c>
      <c r="AK10" s="185">
        <v>1.9</v>
      </c>
      <c r="AL10" s="185">
        <v>0</v>
      </c>
      <c r="AM10" s="185"/>
      <c r="AN10" s="185"/>
      <c r="AO10" s="185"/>
      <c r="AP10" s="185"/>
      <c r="AQ10" s="185"/>
      <c r="AR10" s="185"/>
      <c r="AS10" s="185"/>
      <c r="AT10" s="185"/>
      <c r="AU10" s="185"/>
      <c r="AV10" s="185"/>
      <c r="AW10" s="185">
        <v>0</v>
      </c>
      <c r="AX10" s="185"/>
      <c r="AY10" s="185"/>
      <c r="AZ10" s="185">
        <f>0.5+0.6</f>
        <v>1.1000000000000001</v>
      </c>
      <c r="BA10" s="185">
        <f>1.9+1.2</f>
        <v>3.0999999999999996</v>
      </c>
      <c r="BB10" s="185"/>
      <c r="BC10" s="185"/>
      <c r="BD10" s="185"/>
      <c r="BE10" s="185"/>
      <c r="BF10" s="171"/>
      <c r="BG10" s="171"/>
      <c r="BH10" s="172"/>
      <c r="BI10" s="185"/>
      <c r="BJ10" s="185"/>
      <c r="BK10" s="185">
        <v>0.6</v>
      </c>
      <c r="BL10" s="185"/>
      <c r="BM10" s="185"/>
      <c r="BN10" s="185"/>
      <c r="BO10" s="185"/>
      <c r="BP10" s="185"/>
      <c r="BQ10" s="185">
        <v>1.9</v>
      </c>
      <c r="BR10" s="186">
        <v>1.3</v>
      </c>
      <c r="BS10" s="186">
        <v>0.6</v>
      </c>
      <c r="BT10" s="185">
        <f>1.45+0.3</f>
        <v>1.75</v>
      </c>
      <c r="BU10" s="185">
        <v>0.15</v>
      </c>
      <c r="BV10" s="185">
        <v>0.7</v>
      </c>
      <c r="BW10" s="185">
        <v>0.15</v>
      </c>
      <c r="BX10" s="185">
        <v>0.17</v>
      </c>
      <c r="BY10" s="185">
        <v>1.58</v>
      </c>
      <c r="BZ10" s="185"/>
      <c r="CA10" s="185"/>
      <c r="CB10" s="185"/>
      <c r="CC10" s="185"/>
      <c r="CD10" s="185"/>
      <c r="CE10" s="185"/>
      <c r="CF10" s="185"/>
      <c r="CG10" s="185"/>
      <c r="CH10" s="185"/>
    </row>
    <row r="11" spans="1:96" s="147" customFormat="1" ht="15" thickBot="1">
      <c r="A11" s="920"/>
      <c r="B11" s="177" t="s">
        <v>407</v>
      </c>
      <c r="C11" s="979"/>
      <c r="D11" s="980"/>
      <c r="E11" s="980"/>
      <c r="F11" s="980"/>
      <c r="G11" s="980"/>
      <c r="H11" s="980"/>
      <c r="I11" s="981"/>
      <c r="J11" s="982"/>
      <c r="K11" s="981"/>
      <c r="L11" s="981"/>
      <c r="M11" s="983"/>
      <c r="N11" s="981"/>
      <c r="O11" s="981"/>
      <c r="P11" s="984"/>
      <c r="Q11" s="982"/>
      <c r="R11" s="981"/>
      <c r="S11" s="985"/>
      <c r="T11" s="985"/>
      <c r="U11" s="981"/>
      <c r="V11" s="981"/>
      <c r="W11" s="981"/>
      <c r="X11" s="981"/>
      <c r="Y11" s="981"/>
      <c r="Z11" s="981"/>
      <c r="AA11" s="986"/>
      <c r="AB11" s="986"/>
      <c r="AC11" s="986"/>
      <c r="AD11" s="986"/>
      <c r="AE11" s="987"/>
      <c r="AF11" s="986"/>
      <c r="AG11" s="988"/>
      <c r="AH11" s="988"/>
      <c r="AI11" s="988"/>
      <c r="AJ11" s="988"/>
      <c r="AK11" s="986"/>
      <c r="AL11" s="986"/>
      <c r="AM11" s="986"/>
      <c r="AN11" s="986"/>
      <c r="AO11" s="986"/>
      <c r="AP11" s="986"/>
      <c r="AQ11" s="986"/>
      <c r="AR11" s="986"/>
      <c r="AS11" s="986"/>
      <c r="AT11" s="986"/>
      <c r="AU11" s="986"/>
      <c r="AV11" s="986"/>
      <c r="AW11" s="986"/>
      <c r="AX11" s="986"/>
      <c r="AY11" s="986"/>
      <c r="AZ11" s="986"/>
      <c r="BA11" s="986"/>
      <c r="BB11" s="986"/>
      <c r="BC11" s="986"/>
      <c r="BD11" s="986"/>
      <c r="BE11" s="986"/>
      <c r="BF11" s="171"/>
      <c r="BG11" s="171"/>
      <c r="BH11" s="172"/>
      <c r="BI11" s="986"/>
      <c r="BJ11" s="986"/>
      <c r="BK11" s="986"/>
      <c r="BL11" s="986"/>
      <c r="BM11" s="986"/>
      <c r="BN11" s="986"/>
      <c r="BO11" s="986"/>
      <c r="BP11" s="986"/>
      <c r="BQ11" s="986"/>
      <c r="BR11" s="987"/>
      <c r="BS11" s="987"/>
      <c r="BT11" s="986"/>
      <c r="BU11" s="986"/>
      <c r="BV11" s="986"/>
      <c r="BW11" s="986"/>
      <c r="BX11" s="986"/>
      <c r="BY11" s="986">
        <v>1.9</v>
      </c>
      <c r="BZ11" s="986"/>
      <c r="CA11" s="986"/>
      <c r="CB11" s="986"/>
      <c r="CC11" s="986"/>
      <c r="CD11" s="986"/>
      <c r="CE11" s="986"/>
      <c r="CF11" s="986"/>
      <c r="CG11" s="986"/>
      <c r="CH11" s="986"/>
    </row>
    <row r="12" spans="1:96">
      <c r="A12" s="967" t="s">
        <v>61</v>
      </c>
      <c r="B12" s="188" t="s">
        <v>62</v>
      </c>
      <c r="C12" s="189">
        <v>12801</v>
      </c>
      <c r="D12" s="190">
        <v>11978</v>
      </c>
      <c r="E12" s="190">
        <v>11819</v>
      </c>
      <c r="F12" s="190">
        <v>12516</v>
      </c>
      <c r="G12" s="190">
        <v>15372</v>
      </c>
      <c r="H12" s="190">
        <v>14218</v>
      </c>
      <c r="I12" s="190">
        <v>15829</v>
      </c>
      <c r="J12" s="190">
        <v>16938</v>
      </c>
      <c r="K12" s="190">
        <v>12542</v>
      </c>
      <c r="L12" s="190">
        <v>14998.005565862706</v>
      </c>
      <c r="M12" s="190">
        <v>17756</v>
      </c>
      <c r="N12" s="191">
        <v>10570</v>
      </c>
      <c r="O12" s="190">
        <v>14582</v>
      </c>
      <c r="P12" s="190">
        <v>10587</v>
      </c>
      <c r="Q12" s="190">
        <v>18260</v>
      </c>
      <c r="R12" s="190">
        <v>10952</v>
      </c>
      <c r="S12" s="190">
        <v>10878</v>
      </c>
      <c r="T12" s="190">
        <v>13661</v>
      </c>
      <c r="U12" s="190">
        <v>8620</v>
      </c>
      <c r="V12" s="190">
        <v>12250</v>
      </c>
      <c r="W12" s="190">
        <v>15873</v>
      </c>
      <c r="X12" s="190">
        <v>16544</v>
      </c>
      <c r="Y12" s="190">
        <v>17135.611999511748</v>
      </c>
      <c r="Z12" s="190">
        <v>12707</v>
      </c>
      <c r="AA12" s="190">
        <v>13801</v>
      </c>
      <c r="AB12" s="190">
        <v>6198</v>
      </c>
      <c r="AC12" s="190">
        <v>9407</v>
      </c>
      <c r="AD12" s="190">
        <v>6916</v>
      </c>
      <c r="AE12" s="190">
        <v>9122.472412109375</v>
      </c>
      <c r="AF12" s="190">
        <v>9923.3910827636719</v>
      </c>
      <c r="AG12" s="190">
        <f>AF12+((AG6-AG14)*1000)</f>
        <v>5715.2799716525633</v>
      </c>
      <c r="AH12" s="190">
        <v>2608</v>
      </c>
      <c r="AI12" s="190">
        <v>5452</v>
      </c>
      <c r="AJ12" s="190">
        <v>12416</v>
      </c>
      <c r="AK12" s="190">
        <v>13315</v>
      </c>
      <c r="AL12" s="190">
        <v>8617</v>
      </c>
      <c r="AM12" s="190">
        <v>15252.196105957031</v>
      </c>
      <c r="AN12" s="190">
        <v>15784</v>
      </c>
      <c r="AO12" s="190">
        <v>14297</v>
      </c>
      <c r="AP12" s="190">
        <v>11185.101745605469</v>
      </c>
      <c r="AQ12" s="190">
        <v>10090.282043457031</v>
      </c>
      <c r="AR12" s="190">
        <v>10986</v>
      </c>
      <c r="AS12" s="190">
        <v>12870</v>
      </c>
      <c r="AT12" s="190">
        <v>9734</v>
      </c>
      <c r="AU12" s="190">
        <v>8503.5310573577881</v>
      </c>
      <c r="AV12" s="190">
        <v>7993.1530246734619</v>
      </c>
      <c r="AW12" s="190">
        <v>11222.628784179688</v>
      </c>
      <c r="AX12" s="190">
        <v>10678.500749588013</v>
      </c>
      <c r="AY12" s="190">
        <v>6267.9736328125</v>
      </c>
      <c r="AZ12" s="190">
        <v>14970.42724609375</v>
      </c>
      <c r="BA12" s="190">
        <v>10564.156494140625</v>
      </c>
      <c r="BB12" s="190">
        <v>10702</v>
      </c>
      <c r="BC12" s="190">
        <v>13927</v>
      </c>
      <c r="BD12" s="190">
        <v>16225.431045145331</v>
      </c>
      <c r="BE12" s="190">
        <v>17232.923314780463</v>
      </c>
      <c r="BF12" s="190">
        <v>15020</v>
      </c>
      <c r="BG12" s="190">
        <v>13565</v>
      </c>
      <c r="BH12" s="190">
        <v>8818</v>
      </c>
      <c r="BI12" s="190">
        <v>11744</v>
      </c>
      <c r="BJ12" s="190">
        <v>14198.392</v>
      </c>
      <c r="BK12" s="190">
        <v>12896</v>
      </c>
      <c r="BL12" s="190">
        <v>10073</v>
      </c>
      <c r="BM12" s="190">
        <v>8688.06</v>
      </c>
      <c r="BN12" s="190">
        <v>11362</v>
      </c>
      <c r="BO12" s="190">
        <v>8550.6630000000005</v>
      </c>
      <c r="BP12" s="190">
        <v>13795.124</v>
      </c>
      <c r="BQ12" s="190">
        <v>9822</v>
      </c>
      <c r="BR12" s="190">
        <v>10098.948</v>
      </c>
      <c r="BS12" s="190">
        <v>9186</v>
      </c>
      <c r="BT12" s="190">
        <v>11342</v>
      </c>
      <c r="BU12" s="190">
        <v>9997</v>
      </c>
      <c r="BV12" s="190">
        <f>BU12+((BV6-BV14)*1000)</f>
        <v>8315.6419753086375</v>
      </c>
      <c r="BW12" s="190">
        <f>BV12+((BW6-BW14)*1000)</f>
        <v>9050.1642525620409</v>
      </c>
      <c r="BX12" s="190">
        <f>BW12+((BX6-BX14)*1000)</f>
        <v>9170.6457236602782</v>
      </c>
      <c r="BY12" s="190">
        <f>BX12+((BY6-BY14)*1000)</f>
        <v>7412.4426377596737</v>
      </c>
      <c r="BZ12" s="190">
        <f>BY12+((BZ6-BZ14)*1000)</f>
        <v>7132.0386983562885</v>
      </c>
      <c r="CA12" s="190">
        <f>BZ12+((CA6-CA14)*1000)</f>
        <v>6835.2019788910984</v>
      </c>
      <c r="CB12" s="190">
        <f>CA12+((CB6-CB14)*1000)</f>
        <v>7274.0828415311462</v>
      </c>
      <c r="CC12" s="190">
        <f>CB12+((CC6-CC14)*1000)</f>
        <v>7164.6494448600242</v>
      </c>
      <c r="CD12" s="190">
        <f>CC12+((CD6-CD14)*1000)</f>
        <v>6642.9793613975999</v>
      </c>
      <c r="CE12" s="190">
        <f>CD12+((CE6-CE14)*1000)</f>
        <v>8124.9484608587245</v>
      </c>
      <c r="CF12" s="190">
        <f>CE12+((CF6-CF14)*1000)</f>
        <v>7653.0436907956901</v>
      </c>
      <c r="CG12" s="190">
        <f>CF12+((CG6-CG14)*1000)</f>
        <v>7363.5102307867501</v>
      </c>
      <c r="CH12" s="190">
        <f>CG12+((CH6-CH14)*1000)</f>
        <v>7221.2907393581308</v>
      </c>
    </row>
    <row r="13" spans="1:96" s="196" customFormat="1" ht="15" thickBot="1">
      <c r="A13" s="968"/>
      <c r="B13" s="192" t="s">
        <v>63</v>
      </c>
      <c r="C13" s="193">
        <f>C12/49624.4*100</f>
        <v>25.795777883460552</v>
      </c>
      <c r="D13" s="194">
        <f>D12/49624.4*100</f>
        <v>24.137319544417664</v>
      </c>
      <c r="E13" s="194">
        <f>E12/45790.8*100</f>
        <v>25.810861570446463</v>
      </c>
      <c r="F13" s="194">
        <f>F12/45790.8*100</f>
        <v>27.333001388925283</v>
      </c>
      <c r="G13" s="194">
        <f>G12/45790.8*100</f>
        <v>33.57006210854582</v>
      </c>
      <c r="H13" s="194">
        <f>H12/45790.8*100</f>
        <v>31.049905221136122</v>
      </c>
      <c r="I13" s="194">
        <f>I12/22600*100</f>
        <v>70.039823008849552</v>
      </c>
      <c r="J13" s="194">
        <f t="shared" ref="J13:AS13" si="13">J12/22600*100</f>
        <v>74.946902654867259</v>
      </c>
      <c r="K13" s="194">
        <f t="shared" si="13"/>
        <v>55.495575221238937</v>
      </c>
      <c r="L13" s="194">
        <f t="shared" si="13"/>
        <v>66.362856486118176</v>
      </c>
      <c r="M13" s="194">
        <f t="shared" si="13"/>
        <v>78.56637168141593</v>
      </c>
      <c r="N13" s="194">
        <f t="shared" si="13"/>
        <v>46.769911504424776</v>
      </c>
      <c r="O13" s="194">
        <f t="shared" si="13"/>
        <v>64.522123893805301</v>
      </c>
      <c r="P13" s="194">
        <f t="shared" si="13"/>
        <v>46.845132743362832</v>
      </c>
      <c r="Q13" s="194">
        <f t="shared" si="13"/>
        <v>80.796460176991147</v>
      </c>
      <c r="R13" s="194">
        <f t="shared" si="13"/>
        <v>48.460176991150448</v>
      </c>
      <c r="S13" s="194">
        <f t="shared" si="13"/>
        <v>48.13274336283186</v>
      </c>
      <c r="T13" s="194">
        <f t="shared" si="13"/>
        <v>60.446902654867252</v>
      </c>
      <c r="U13" s="194">
        <f t="shared" si="13"/>
        <v>38.141592920353986</v>
      </c>
      <c r="V13" s="194">
        <f t="shared" si="13"/>
        <v>54.203539823008853</v>
      </c>
      <c r="W13" s="194">
        <f t="shared" si="13"/>
        <v>70.23451327433628</v>
      </c>
      <c r="X13" s="194">
        <f t="shared" si="13"/>
        <v>73.203539823008839</v>
      </c>
      <c r="Y13" s="194">
        <f t="shared" si="13"/>
        <v>75.821292033237825</v>
      </c>
      <c r="Z13" s="194">
        <f t="shared" si="13"/>
        <v>56.225663716814154</v>
      </c>
      <c r="AA13" s="194">
        <f t="shared" si="13"/>
        <v>61.06637168141593</v>
      </c>
      <c r="AB13" s="194">
        <f t="shared" si="13"/>
        <v>27.424778761061948</v>
      </c>
      <c r="AC13" s="194">
        <f t="shared" si="13"/>
        <v>41.623893805309734</v>
      </c>
      <c r="AD13" s="194">
        <f t="shared" si="13"/>
        <v>30.601769911504423</v>
      </c>
      <c r="AE13" s="194">
        <f t="shared" si="13"/>
        <v>40.364922177475108</v>
      </c>
      <c r="AF13" s="194">
        <f t="shared" si="13"/>
        <v>43.90881010072421</v>
      </c>
      <c r="AG13" s="194">
        <f t="shared" si="13"/>
        <v>25.288849432090988</v>
      </c>
      <c r="AH13" s="194">
        <f t="shared" si="13"/>
        <v>11.539823008849558</v>
      </c>
      <c r="AI13" s="194">
        <f>AI12/22600*100</f>
        <v>24.123893805309734</v>
      </c>
      <c r="AJ13" s="194">
        <f t="shared" si="13"/>
        <v>54.938053097345133</v>
      </c>
      <c r="AK13" s="194">
        <f t="shared" si="13"/>
        <v>58.915929203539818</v>
      </c>
      <c r="AL13" s="194">
        <f t="shared" si="13"/>
        <v>38.128318584070797</v>
      </c>
      <c r="AM13" s="194">
        <f t="shared" si="13"/>
        <v>67.487593389190408</v>
      </c>
      <c r="AN13" s="194">
        <f t="shared" si="13"/>
        <v>69.840707964601762</v>
      </c>
      <c r="AO13" s="194">
        <f t="shared" si="13"/>
        <v>63.26106194690265</v>
      </c>
      <c r="AP13" s="194">
        <f t="shared" si="13"/>
        <v>49.49160064427199</v>
      </c>
      <c r="AQ13" s="194">
        <f t="shared" si="13"/>
        <v>44.647265679013415</v>
      </c>
      <c r="AR13" s="194">
        <f t="shared" si="13"/>
        <v>48.610619469026553</v>
      </c>
      <c r="AS13" s="194">
        <f t="shared" si="13"/>
        <v>56.946902654867259</v>
      </c>
      <c r="AT13" s="195">
        <f t="shared" ref="AT13:AY13" si="14">AT12/18350*100</f>
        <v>53.046321525885553</v>
      </c>
      <c r="AU13" s="195">
        <f t="shared" si="14"/>
        <v>46.340768704947074</v>
      </c>
      <c r="AV13" s="195">
        <f t="shared" si="14"/>
        <v>43.559417028193252</v>
      </c>
      <c r="AW13" s="195">
        <f t="shared" si="14"/>
        <v>61.158739968281672</v>
      </c>
      <c r="AX13" s="195">
        <f t="shared" si="14"/>
        <v>58.193464575411511</v>
      </c>
      <c r="AY13" s="194">
        <f t="shared" si="14"/>
        <v>34.157894456743868</v>
      </c>
      <c r="AZ13" s="339">
        <f>AZ12/22600</f>
        <v>0.66240828522538719</v>
      </c>
      <c r="BA13" s="339">
        <f t="shared" ref="BA13:BP13" si="15">BA12/22600</f>
        <v>0.46744055283808073</v>
      </c>
      <c r="BB13" s="339">
        <f t="shared" si="15"/>
        <v>0.47353982300884956</v>
      </c>
      <c r="BC13" s="339">
        <f t="shared" si="15"/>
        <v>0.61623893805309737</v>
      </c>
      <c r="BD13" s="339">
        <f t="shared" si="15"/>
        <v>0.71793942677634204</v>
      </c>
      <c r="BE13" s="339">
        <f t="shared" si="15"/>
        <v>0.76251873074249832</v>
      </c>
      <c r="BF13" s="339">
        <f t="shared" si="15"/>
        <v>0.66460176991150444</v>
      </c>
      <c r="BG13" s="339">
        <f t="shared" si="15"/>
        <v>0.60022123893805313</v>
      </c>
      <c r="BH13" s="339">
        <f t="shared" si="15"/>
        <v>0.39017699115044246</v>
      </c>
      <c r="BI13" s="339">
        <f t="shared" si="15"/>
        <v>0.519646017699115</v>
      </c>
      <c r="BJ13" s="339">
        <f t="shared" si="15"/>
        <v>0.62824743362831859</v>
      </c>
      <c r="BK13" s="339">
        <f t="shared" si="15"/>
        <v>0.5706194690265487</v>
      </c>
      <c r="BL13" s="339">
        <f t="shared" si="15"/>
        <v>0.44570796460176992</v>
      </c>
      <c r="BM13" s="339">
        <f t="shared" si="15"/>
        <v>0.38442743362831855</v>
      </c>
      <c r="BN13" s="339">
        <f t="shared" si="15"/>
        <v>0.50274336283185839</v>
      </c>
      <c r="BO13" s="339">
        <f t="shared" si="15"/>
        <v>0.37834792035398235</v>
      </c>
      <c r="BP13" s="339">
        <f t="shared" si="15"/>
        <v>0.61040371681415928</v>
      </c>
      <c r="BQ13" s="339">
        <f t="shared" ref="BQ13:BW13" si="16">BQ12/22600</f>
        <v>0.4346017699115044</v>
      </c>
      <c r="BR13" s="339">
        <f t="shared" si="16"/>
        <v>0.44685610619469029</v>
      </c>
      <c r="BS13" s="339">
        <f t="shared" si="16"/>
        <v>0.40646017699115045</v>
      </c>
      <c r="BT13" s="339">
        <f t="shared" si="16"/>
        <v>0.50185840707964602</v>
      </c>
      <c r="BU13" s="339">
        <f t="shared" si="16"/>
        <v>0.44234513274336285</v>
      </c>
      <c r="BV13" s="339">
        <f t="shared" si="16"/>
        <v>0.36794875996940873</v>
      </c>
      <c r="BW13" s="339">
        <f t="shared" si="16"/>
        <v>0.40044974568858588</v>
      </c>
      <c r="BX13" s="339">
        <f t="shared" ref="BX13:BY13" si="17">BX12/22600</f>
        <v>0.40578078423275565</v>
      </c>
      <c r="BY13" s="339">
        <f t="shared" si="17"/>
        <v>0.32798418751149</v>
      </c>
      <c r="BZ13" s="339">
        <f t="shared" ref="BZ13:CA13" si="18">BZ12/22600</f>
        <v>0.31557693355558797</v>
      </c>
      <c r="CA13" s="339">
        <f t="shared" si="18"/>
        <v>0.30244256543765924</v>
      </c>
      <c r="CB13" s="339">
        <f t="shared" ref="CB13:CC13" si="19">CB12/22600</f>
        <v>0.32186207263412153</v>
      </c>
      <c r="CC13" s="339">
        <f t="shared" si="19"/>
        <v>0.31701988694070904</v>
      </c>
      <c r="CD13" s="339">
        <f t="shared" ref="CD13:CE13" si="20">CD12/22600</f>
        <v>0.29393713988484954</v>
      </c>
      <c r="CE13" s="339">
        <f t="shared" si="20"/>
        <v>0.35951099384330637</v>
      </c>
      <c r="CF13" s="339">
        <f t="shared" ref="CF13:CG13" si="21">CF12/22600</f>
        <v>0.33863025180511902</v>
      </c>
      <c r="CG13" s="339">
        <f t="shared" si="21"/>
        <v>0.32581903676047569</v>
      </c>
      <c r="CH13" s="339">
        <f t="shared" ref="CH13" si="22">CH12/22600</f>
        <v>0.31952613890965181</v>
      </c>
    </row>
    <row r="14" spans="1:96" s="199" customFormat="1">
      <c r="A14" s="197"/>
      <c r="B14" s="197" t="s">
        <v>50</v>
      </c>
      <c r="C14" s="198">
        <f>SUM(C7:C10)</f>
        <v>85.757612000000009</v>
      </c>
      <c r="D14" s="198">
        <f>SUM(D7:D10)</f>
        <v>81.333900999999997</v>
      </c>
      <c r="E14" s="198">
        <f>SUM(E7:E10)</f>
        <v>79.639566000000002</v>
      </c>
      <c r="F14" s="198">
        <f>SUM(F7:F10)</f>
        <v>86.705891000000008</v>
      </c>
      <c r="G14" s="198">
        <f>SUM(G7:G10)</f>
        <v>82.07502199999999</v>
      </c>
      <c r="H14" s="198">
        <f>SUM(H7:H10)</f>
        <v>84.744775000000004</v>
      </c>
      <c r="I14" s="198">
        <f>SUM(I7:I10)</f>
        <v>90.3</v>
      </c>
      <c r="J14" s="198">
        <f>SUM(J7:J10)</f>
        <v>86.3</v>
      </c>
      <c r="K14" s="198">
        <f>SUM(K7:K10)</f>
        <v>92.896999999999991</v>
      </c>
      <c r="L14" s="198">
        <f>SUM(L7:L10)</f>
        <v>90.323999999999998</v>
      </c>
      <c r="M14" s="198">
        <f>SUM(M7:M10)</f>
        <v>83.8</v>
      </c>
      <c r="N14" s="198">
        <f>SUM(N7:N10)</f>
        <v>97.908999999999992</v>
      </c>
      <c r="O14" s="198">
        <f>SUM(O7:O10)</f>
        <v>81.8</v>
      </c>
      <c r="P14" s="198">
        <f>SUM(P7:P10)</f>
        <v>82.349000000000004</v>
      </c>
      <c r="Q14" s="198">
        <f>SUM(Q7:Q10)</f>
        <v>84.6</v>
      </c>
      <c r="R14" s="198">
        <f>SUM(R7:R10)</f>
        <v>84.234000000000009</v>
      </c>
      <c r="S14" s="198">
        <f>SUM(S7:S10)</f>
        <v>89.6</v>
      </c>
      <c r="T14" s="198">
        <f>SUM(T7:T10)</f>
        <v>78</v>
      </c>
      <c r="U14" s="198">
        <f>SUM(U7:U10)</f>
        <v>79</v>
      </c>
      <c r="V14" s="198">
        <f>SUM(V7:V10)</f>
        <v>80</v>
      </c>
      <c r="W14" s="198">
        <f>SUM(W7:W10)</f>
        <v>75.5</v>
      </c>
      <c r="X14" s="198">
        <f>SUM(X7:X10)</f>
        <v>89.2</v>
      </c>
      <c r="Y14" s="198">
        <f>SUM(Y7:Y10)</f>
        <v>90</v>
      </c>
      <c r="Z14" s="198">
        <f>SUM(Z7:Z10)</f>
        <v>95.179000000000002</v>
      </c>
      <c r="AA14" s="198">
        <f>SUM(AA7:AA10)</f>
        <v>86.111111111111114</v>
      </c>
      <c r="AB14" s="198">
        <f>SUM(AB7:AB10)</f>
        <v>83.37777777777778</v>
      </c>
      <c r="AC14" s="198">
        <f>SUM(AC7:AC10)</f>
        <v>78.711111111111109</v>
      </c>
      <c r="AD14" s="198">
        <f>SUM(AD7:AD10)</f>
        <v>78.61333333333333</v>
      </c>
      <c r="AE14" s="198">
        <f>SUM(AE7:AE10)</f>
        <v>78.111111111111114</v>
      </c>
      <c r="AF14" s="198">
        <f>SUM(AF7:AF10)</f>
        <v>81.893333333333331</v>
      </c>
      <c r="AG14" s="198">
        <f>SUM(AG7:AG10)</f>
        <v>84.331111111111113</v>
      </c>
      <c r="AH14" s="198">
        <f>SUM(AH7:AH10)</f>
        <v>77.611111111111114</v>
      </c>
      <c r="AI14" s="198">
        <f>SUM(AI7:AI10)</f>
        <v>61.9</v>
      </c>
      <c r="AJ14" s="198">
        <f>SUM(AJ7:AJ10)</f>
        <v>70.7</v>
      </c>
      <c r="AK14" s="198">
        <f>SUM(AK7:AK10)</f>
        <v>77.393827160493828</v>
      </c>
      <c r="AL14" s="198">
        <f>SUM(AL7:AL10)</f>
        <v>85.203703703703709</v>
      </c>
      <c r="AM14" s="198">
        <f>SUM(AM7:AM10)</f>
        <v>63.518518518518519</v>
      </c>
      <c r="AN14" s="198">
        <f>SUM(AN7:AN10)</f>
        <v>71.148148148148152</v>
      </c>
      <c r="AO14" s="198">
        <f>SUM(AO7:AO10)</f>
        <v>87.407407407407405</v>
      </c>
      <c r="AP14" s="198">
        <f>SUM(AP7:AP10)</f>
        <v>85.407407407407405</v>
      </c>
      <c r="AQ14" s="198">
        <f>SUM(AQ7:AQ10)</f>
        <v>81.23456790123457</v>
      </c>
      <c r="AR14" s="198">
        <f>SUM(AR7:AR10)</f>
        <v>82.320987654320987</v>
      </c>
      <c r="AS14" s="198">
        <f>SUM(AS7:AS10)</f>
        <v>83.549382716049379</v>
      </c>
      <c r="AT14" s="198">
        <f>SUM(AT7:AT10)</f>
        <v>85.864197530864203</v>
      </c>
      <c r="AU14" s="198">
        <f>SUM(AU7:AU10)</f>
        <v>80.820987654320987</v>
      </c>
      <c r="AV14" s="198">
        <f>SUM(AV7:AV10)</f>
        <v>82.888888888888886</v>
      </c>
      <c r="AW14" s="198">
        <f>SUM(AW7:AW10)</f>
        <v>80.339506172839506</v>
      </c>
      <c r="AX14" s="198">
        <f>SUM(AX7:AX10)</f>
        <v>87.407407407407391</v>
      </c>
      <c r="AY14" s="198">
        <f>SUM(AY7:AY10)</f>
        <v>84.320987654320987</v>
      </c>
      <c r="AZ14" s="198">
        <f>SUM(AZ7:AZ10)</f>
        <v>61.606172839506179</v>
      </c>
      <c r="BA14" s="198">
        <f>SUM(BA7:BA10)</f>
        <v>85.588888888888874</v>
      </c>
      <c r="BB14" s="198">
        <f>SUM(BB7:BB10)</f>
        <v>65.348148148148155</v>
      </c>
      <c r="BC14" s="198">
        <f>SUM(BC7:BC10)</f>
        <v>56.088888888888889</v>
      </c>
      <c r="BD14" s="198">
        <f>SUM(BD7:BD10)</f>
        <v>61.049382716049379</v>
      </c>
      <c r="BE14" s="198">
        <f>SUM(BE7:BE10)</f>
        <v>66.574049382716041</v>
      </c>
      <c r="BF14" s="198">
        <f>SUM(BF7:BF10)</f>
        <v>78.259259259259267</v>
      </c>
      <c r="BG14" s="198">
        <f>SUM(BG7:BG10)</f>
        <v>77.716049382716051</v>
      </c>
      <c r="BH14" s="198">
        <f>SUM(BH7:BH10)</f>
        <v>82.981481481481467</v>
      </c>
      <c r="BI14" s="198">
        <f>SUM(BI7:BI10)</f>
        <v>70.866419753086419</v>
      </c>
      <c r="BJ14" s="198">
        <f>SUM(BJ7:BJ10)</f>
        <v>76.550246913580239</v>
      </c>
      <c r="BK14" s="198">
        <f>SUM(BK7:BK10)</f>
        <v>83.408641975308626</v>
      </c>
      <c r="BL14" s="198">
        <f>SUM(BL7:BL10)</f>
        <v>76.808641975308632</v>
      </c>
      <c r="BM14" s="198">
        <f>SUM(BM7:BM10)</f>
        <v>83.753086419753089</v>
      </c>
      <c r="BN14" s="198">
        <f>SUM(BN7:BN10)</f>
        <v>73.02098765432099</v>
      </c>
      <c r="BO14" s="198">
        <f>SUM(BO7:BO10)</f>
        <v>83.753086419753089</v>
      </c>
      <c r="BP14" s="198">
        <f>SUM(BP7:BP10)</f>
        <v>76.172839506172835</v>
      </c>
      <c r="BQ14" s="198">
        <f>SUM(BQ7:BQ10)</f>
        <v>67.677777777777777</v>
      </c>
      <c r="BR14" s="198">
        <f>SUM(BR7:BR10)</f>
        <v>73.201234567901238</v>
      </c>
      <c r="BS14" s="198">
        <f>SUM(BS7:BS10)</f>
        <v>69.599999999999994</v>
      </c>
      <c r="BT14" s="198">
        <f>SUM(BT7:BT10)</f>
        <v>65.478395061728406</v>
      </c>
      <c r="BU14" s="198">
        <f>SUM(BU7:BU10)</f>
        <v>69.84135802469136</v>
      </c>
      <c r="BV14" s="198">
        <f>SUM(BV7:BV10)</f>
        <v>69.391358024691357</v>
      </c>
      <c r="BW14" s="198">
        <f>SUM(BW7:BW10)</f>
        <v>70.662345679012361</v>
      </c>
      <c r="BX14" s="198">
        <f>SUM(BX7:BX10)</f>
        <v>63.700864197530862</v>
      </c>
      <c r="BY14" s="198">
        <f>SUM(BY7:BY10)</f>
        <v>70.549135802469138</v>
      </c>
      <c r="BZ14" s="198">
        <f>SUM(BZ7:BZ10)</f>
        <v>67.283950617283949</v>
      </c>
      <c r="CA14" s="198">
        <f>SUM(CA7:CA10)</f>
        <v>65.308641975308632</v>
      </c>
      <c r="CB14" s="198">
        <f>SUM(CB7:CB10)</f>
        <v>62.654320987654323</v>
      </c>
      <c r="CC14" s="198">
        <f>SUM(CC7:CC10)</f>
        <v>65.308641975308632</v>
      </c>
      <c r="CD14" s="198">
        <f>SUM(CD7:CD10)</f>
        <v>63.191358024691354</v>
      </c>
      <c r="CE14" s="198">
        <f>SUM(CE7:CE10)</f>
        <v>65.740740740740733</v>
      </c>
      <c r="CF14" s="198">
        <f>SUM(CF7:CF10)</f>
        <v>69.938271604938279</v>
      </c>
      <c r="CG14" s="198">
        <f>SUM(CG7:CG10)</f>
        <v>67.283950617283949</v>
      </c>
      <c r="CH14" s="198">
        <f>SUM(CH7:CH10)</f>
        <v>65.308641975308632</v>
      </c>
      <c r="CI14" s="200"/>
      <c r="CO14" s="487"/>
    </row>
    <row r="15" spans="1:96" s="199" customFormat="1">
      <c r="A15" s="197"/>
      <c r="B15" s="197" t="s">
        <v>64</v>
      </c>
      <c r="C15" s="198">
        <f>C6-C14</f>
        <v>-85.757612000000009</v>
      </c>
      <c r="D15" s="198">
        <f>D6-D14</f>
        <v>6.9172829000009983E-2</v>
      </c>
      <c r="E15" s="198">
        <f>E6-E14</f>
        <v>3.2836695919999954</v>
      </c>
      <c r="F15" s="198">
        <f>F6-F14</f>
        <v>1.4400650609999843</v>
      </c>
      <c r="G15" s="198">
        <f>G6-G14</f>
        <v>4.7921075090000045</v>
      </c>
      <c r="H15" s="198">
        <f>H6-H14</f>
        <v>1.0508554790000062</v>
      </c>
      <c r="I15" s="198">
        <f>I6-I14</f>
        <v>-0.11999999999999034</v>
      </c>
      <c r="J15" s="198">
        <f>J6-J14</f>
        <v>-5.7999999999992724E-2</v>
      </c>
      <c r="K15" s="198">
        <f>K6-K14</f>
        <v>-5.5529999999999973</v>
      </c>
      <c r="L15" s="198">
        <f>L6-L14</f>
        <v>1.4759999999999991</v>
      </c>
      <c r="M15" s="198">
        <f>M6-M14</f>
        <v>3.375</v>
      </c>
      <c r="N15" s="198">
        <f>N6-N14</f>
        <v>-9.5089999999999861</v>
      </c>
      <c r="O15" s="198">
        <f>O6-O14</f>
        <v>5.2580000000000098</v>
      </c>
      <c r="P15" s="198">
        <f>P6-P14</f>
        <v>-1.3560000000000088</v>
      </c>
      <c r="Q15" s="198">
        <f>Q6-Q14</f>
        <v>6</v>
      </c>
      <c r="R15" s="198">
        <f>R6-R14</f>
        <v>-7.4340000000000117</v>
      </c>
      <c r="S15" s="198">
        <f>S6-S14</f>
        <v>-2.6699999999999875</v>
      </c>
      <c r="T15" s="198">
        <f>T6-T14</f>
        <v>1.8610000000000042</v>
      </c>
      <c r="U15" s="198">
        <f>U6-U14</f>
        <v>-2.6460000000000008</v>
      </c>
      <c r="V15" s="198">
        <f>V6-V14</f>
        <v>2.4159999999999968</v>
      </c>
      <c r="W15" s="198">
        <f>W6-W14</f>
        <v>1.5900000000000034</v>
      </c>
      <c r="X15" s="198">
        <f>X6-X14</f>
        <v>-1.1270000000000095</v>
      </c>
      <c r="Y15" s="198">
        <f>Y6-Y14</f>
        <v>0.5</v>
      </c>
      <c r="Z15" s="198">
        <f>Z6-Z14</f>
        <v>-5.9630000000000081</v>
      </c>
      <c r="AA15" s="198">
        <f>AA6-AA14</f>
        <v>0.38888888888888573</v>
      </c>
      <c r="AB15" s="198">
        <f>AB6-AB14</f>
        <v>-8.1097777777777793</v>
      </c>
      <c r="AC15" s="198">
        <f>AC6-AC14</f>
        <v>3.2888888888888914</v>
      </c>
      <c r="AD15" s="198">
        <f>AD6-AD14</f>
        <v>-1.318333333333328</v>
      </c>
      <c r="AE15" s="198">
        <f>AE6-AE14</f>
        <v>4.637888888888881</v>
      </c>
      <c r="AF15" s="198">
        <f>AF6-AF14</f>
        <v>-2.3333333333326323E-2</v>
      </c>
      <c r="AG15" s="198">
        <f>AG6-AG14</f>
        <v>-4.2081111111111085</v>
      </c>
      <c r="AH15" s="198">
        <f>AH6-AH14</f>
        <v>4.8888888888888857</v>
      </c>
      <c r="AI15" s="198">
        <f>AI6-AI14</f>
        <v>11.07109090909092</v>
      </c>
      <c r="AJ15" s="198">
        <f>AJ6-AJ14</f>
        <v>11.819000000000003</v>
      </c>
      <c r="AK15" s="198">
        <f>AK6-AK14</f>
        <v>0.80617283950617491</v>
      </c>
      <c r="AL15" s="198">
        <f>AL6-AL14</f>
        <v>-5.2537037037037067</v>
      </c>
      <c r="AM15" s="198">
        <f>AM6-AM14</f>
        <v>6.4114814814814878</v>
      </c>
      <c r="AN15" s="198">
        <f>AN6-AN14</f>
        <v>-0.80414814814815827</v>
      </c>
      <c r="AO15" s="198">
        <f>AO6-AO14</f>
        <v>-3.4074074074074048</v>
      </c>
      <c r="AP15" s="198">
        <f>AP6-AP14</f>
        <v>-4.4074074074074048</v>
      </c>
      <c r="AQ15" s="198">
        <f>AQ6-AQ14</f>
        <v>-0.59756790123456938</v>
      </c>
      <c r="AR15" s="198">
        <f>AR6-AR14</f>
        <v>-4.3209876543209873</v>
      </c>
      <c r="AS15" s="198">
        <f>AS6-AS14</f>
        <v>0.8506172839506263</v>
      </c>
      <c r="AT15" s="198">
        <f>AT6-AT14</f>
        <v>-1.9701975308641977</v>
      </c>
      <c r="AU15" s="198">
        <f>AU6-AU14</f>
        <v>-0.1369876543209898</v>
      </c>
      <c r="AV15" s="198">
        <f>AV6-AV14</f>
        <v>-1.5888888888888886</v>
      </c>
      <c r="AW15" s="198">
        <f>AW6-AW14</f>
        <v>2.6604938271604937</v>
      </c>
      <c r="AX15" s="198">
        <f>AX6-AX14</f>
        <v>-1.8074074074073962</v>
      </c>
      <c r="AY15" s="198">
        <f>AY6-AY14</f>
        <v>-3.8209876543209873</v>
      </c>
      <c r="AZ15" s="198">
        <f>AZ6-AZ14</f>
        <v>8.193827160493818</v>
      </c>
      <c r="BA15" s="198">
        <f>BA6-BA14</f>
        <v>-4.7888888888888772</v>
      </c>
      <c r="BB15" s="198">
        <f>BB6-BB14</f>
        <v>-0.8481481481481552</v>
      </c>
      <c r="BC15" s="198">
        <f>BC6-BC14</f>
        <v>1.0751111111111129</v>
      </c>
      <c r="BD15" s="198">
        <f>BD6-BD14</f>
        <v>0.15061728395062346</v>
      </c>
      <c r="BE15" s="198">
        <f>BE6-BE14</f>
        <v>-0.37404938271603783</v>
      </c>
      <c r="BF15" s="198">
        <f>BF6-BF14</f>
        <v>-3.8002592592592634</v>
      </c>
      <c r="BG15" s="198">
        <f>BG6-BG14</f>
        <v>-1.1160493827160565</v>
      </c>
      <c r="BH15" s="198">
        <f>BH6-BH14</f>
        <v>-4.9104814814814688</v>
      </c>
      <c r="BI15" s="198">
        <f>BI6-BI14</f>
        <v>1.2125802469135749</v>
      </c>
      <c r="BJ15" s="198">
        <f>BJ6-BJ14</f>
        <v>2.4497530864197614</v>
      </c>
      <c r="BK15" s="198">
        <f>BK6-BK14</f>
        <v>-1.5240584122132077</v>
      </c>
      <c r="BL15" s="198">
        <f>BL6-BL14</f>
        <v>-2.7143003911368737</v>
      </c>
      <c r="BM15" s="198">
        <f>BM6-BM14</f>
        <v>-1.8064352279570812</v>
      </c>
      <c r="BN15" s="198">
        <f>BN6-BN14</f>
        <v>1.2990549808193066</v>
      </c>
      <c r="BO15" s="198">
        <f>BO6-BO14</f>
        <v>-3.053086419753086</v>
      </c>
      <c r="BP15" s="198">
        <f>BP6-BP14</f>
        <v>4.5631643133558697</v>
      </c>
      <c r="BQ15" s="198">
        <f>BQ6-BQ14</f>
        <v>-6.0143596944403797</v>
      </c>
      <c r="BR15" s="198">
        <f>BR6-BR14</f>
        <v>-0.53123456790123669</v>
      </c>
      <c r="BS15" s="198">
        <f>BS6-BS14</f>
        <v>-1.3421928397578284</v>
      </c>
      <c r="BT15" s="198">
        <f>BT6-BT14</f>
        <v>0.83016288282156836</v>
      </c>
      <c r="BU15" s="198">
        <f>BU6-BU14</f>
        <v>-2.2800949382864957</v>
      </c>
      <c r="BV15" s="198">
        <f>BV6-BV14</f>
        <v>-1.6813580246913631</v>
      </c>
      <c r="BW15" s="198">
        <f>BW6-BW14</f>
        <v>0.73452227725340435</v>
      </c>
      <c r="BX15" s="198">
        <f>BX6-BX14</f>
        <v>0.12048147109823759</v>
      </c>
      <c r="BY15" s="198">
        <f>BY6-BY14</f>
        <v>-1.7582030859006039</v>
      </c>
      <c r="BZ15" s="198">
        <f>BZ6-BZ14</f>
        <v>-0.28040393940338504</v>
      </c>
      <c r="CA15" s="198">
        <f>CA6-CA14</f>
        <v>-0.29683671946519041</v>
      </c>
      <c r="CB15" s="198">
        <f>CB6-CB14</f>
        <v>0.43888086264004755</v>
      </c>
      <c r="CC15" s="198">
        <f>CC6-CC14</f>
        <v>-0.10943339667112184</v>
      </c>
      <c r="CD15" s="198">
        <f>CD6-CD14</f>
        <v>-0.52167008346242483</v>
      </c>
      <c r="CE15" s="198">
        <f>CE6-CE14</f>
        <v>1.481969099461125</v>
      </c>
      <c r="CF15" s="198">
        <f>CF6-CF14</f>
        <v>-0.47190477006303411</v>
      </c>
      <c r="CG15" s="198">
        <f>CG6-CG14</f>
        <v>-0.28953346000893987</v>
      </c>
      <c r="CH15" s="198">
        <f>CH6-CH14</f>
        <v>-0.14221949142861945</v>
      </c>
    </row>
    <row r="16" spans="1:96">
      <c r="B16" s="126" t="s">
        <v>65</v>
      </c>
      <c r="C16" s="371">
        <f t="shared" ref="C16:BN16" si="23">C17+C18</f>
        <v>85.757612000000009</v>
      </c>
      <c r="D16" s="371">
        <f t="shared" si="23"/>
        <v>81.333900999999997</v>
      </c>
      <c r="E16" s="371">
        <f t="shared" si="23"/>
        <v>79.639566000000002</v>
      </c>
      <c r="F16" s="371">
        <f t="shared" si="23"/>
        <v>86.705891000000008</v>
      </c>
      <c r="G16" s="371">
        <f t="shared" si="23"/>
        <v>82.075022000000004</v>
      </c>
      <c r="H16" s="371">
        <f t="shared" si="23"/>
        <v>84.744775000000004</v>
      </c>
      <c r="I16" s="371">
        <f t="shared" si="23"/>
        <v>85.3</v>
      </c>
      <c r="J16" s="371">
        <f t="shared" si="23"/>
        <v>86.3</v>
      </c>
      <c r="K16" s="371">
        <f t="shared" si="23"/>
        <v>92.897000000000006</v>
      </c>
      <c r="L16" s="371">
        <f t="shared" si="23"/>
        <v>90.323999999999998</v>
      </c>
      <c r="M16" s="371">
        <f t="shared" si="23"/>
        <v>83.8</v>
      </c>
      <c r="N16" s="371">
        <f t="shared" si="23"/>
        <v>97.909000000000006</v>
      </c>
      <c r="O16" s="371">
        <f>O17+O18</f>
        <v>81.8</v>
      </c>
      <c r="P16" s="371">
        <f t="shared" si="23"/>
        <v>82.34899999999999</v>
      </c>
      <c r="Q16" s="371">
        <f t="shared" si="23"/>
        <v>84.6</v>
      </c>
      <c r="R16" s="371">
        <f t="shared" si="23"/>
        <v>84.234000000000009</v>
      </c>
      <c r="S16" s="371">
        <f t="shared" si="23"/>
        <v>89.6</v>
      </c>
      <c r="T16" s="371">
        <f t="shared" si="23"/>
        <v>78</v>
      </c>
      <c r="U16" s="371">
        <f t="shared" si="23"/>
        <v>79</v>
      </c>
      <c r="V16" s="371" t="e">
        <f t="shared" si="23"/>
        <v>#VALUE!</v>
      </c>
      <c r="W16" s="371">
        <f t="shared" si="23"/>
        <v>75.5</v>
      </c>
      <c r="X16" s="371">
        <f t="shared" si="23"/>
        <v>89.2</v>
      </c>
      <c r="Y16" s="371">
        <f t="shared" si="23"/>
        <v>90</v>
      </c>
      <c r="Z16" s="371">
        <f t="shared" si="23"/>
        <v>95.179000000000002</v>
      </c>
      <c r="AA16" s="371">
        <f>AA17+AA18</f>
        <v>86.111111111111114</v>
      </c>
      <c r="AB16" s="371">
        <f t="shared" ref="AB16:AR16" si="24">AB17+AB18</f>
        <v>83.377777777777766</v>
      </c>
      <c r="AC16" s="371">
        <f t="shared" si="24"/>
        <v>78.711111111111109</v>
      </c>
      <c r="AD16" s="371">
        <f t="shared" si="24"/>
        <v>78.61333333333333</v>
      </c>
      <c r="AE16" s="371">
        <f t="shared" si="24"/>
        <v>78.111111111111114</v>
      </c>
      <c r="AF16" s="371">
        <f t="shared" si="24"/>
        <v>81.893333333333331</v>
      </c>
      <c r="AG16" s="371">
        <f t="shared" si="24"/>
        <v>82.431111111111107</v>
      </c>
      <c r="AH16" s="371">
        <f t="shared" si="24"/>
        <v>77.611111111111114</v>
      </c>
      <c r="AI16" s="371">
        <f t="shared" si="24"/>
        <v>61.9</v>
      </c>
      <c r="AJ16" s="371">
        <f t="shared" si="24"/>
        <v>68.8</v>
      </c>
      <c r="AK16" s="371">
        <f t="shared" si="24"/>
        <v>75.493827160493822</v>
      </c>
      <c r="AL16" s="371">
        <f t="shared" si="24"/>
        <v>85.203703703703709</v>
      </c>
      <c r="AM16" s="371">
        <f t="shared" si="24"/>
        <v>63.518518518518519</v>
      </c>
      <c r="AN16" s="371">
        <f t="shared" si="24"/>
        <v>71.148148148148152</v>
      </c>
      <c r="AO16" s="371">
        <f t="shared" si="24"/>
        <v>87.407407407407405</v>
      </c>
      <c r="AP16" s="371">
        <f t="shared" si="24"/>
        <v>85.407407407407405</v>
      </c>
      <c r="AQ16" s="371">
        <f t="shared" si="24"/>
        <v>81.23456790123457</v>
      </c>
      <c r="AR16" s="371">
        <f t="shared" si="24"/>
        <v>82.320987654320987</v>
      </c>
      <c r="AS16" s="371">
        <f t="shared" si="23"/>
        <v>83.549382716049379</v>
      </c>
      <c r="AT16" s="371">
        <f t="shared" si="23"/>
        <v>85.864197530864203</v>
      </c>
      <c r="AU16" s="371">
        <f t="shared" si="23"/>
        <v>80.820987654320987</v>
      </c>
      <c r="AV16" s="371">
        <f t="shared" si="23"/>
        <v>82.888888888888886</v>
      </c>
      <c r="AW16" s="371">
        <f t="shared" si="23"/>
        <v>80.339506172839506</v>
      </c>
      <c r="AX16" s="371">
        <f t="shared" si="23"/>
        <v>87.407407407407391</v>
      </c>
      <c r="AY16" s="371">
        <f t="shared" si="23"/>
        <v>84.320987654320987</v>
      </c>
      <c r="AZ16" s="371">
        <f t="shared" si="23"/>
        <v>60.506172839506178</v>
      </c>
      <c r="BA16" s="371">
        <f t="shared" si="23"/>
        <v>82.48888888888888</v>
      </c>
      <c r="BB16" s="371">
        <f t="shared" si="23"/>
        <v>65.348148148148155</v>
      </c>
      <c r="BC16" s="371">
        <f t="shared" si="23"/>
        <v>56.088888888888889</v>
      </c>
      <c r="BD16" s="371">
        <f>BD17+BD18</f>
        <v>61.049382716049379</v>
      </c>
      <c r="BE16" s="371">
        <f>BE17+BE18</f>
        <v>66.574049382716041</v>
      </c>
      <c r="BF16" s="371">
        <f>BF17+BF18</f>
        <v>78.259259259259267</v>
      </c>
      <c r="BG16" s="371">
        <f>BG17+BG18</f>
        <v>77.716049382716051</v>
      </c>
      <c r="BH16" s="371">
        <f>BH17+BH18</f>
        <v>82.981481481481467</v>
      </c>
      <c r="BI16" s="371">
        <f t="shared" si="23"/>
        <v>70.866419753086419</v>
      </c>
      <c r="BJ16" s="371">
        <f t="shared" si="23"/>
        <v>76.550246913580239</v>
      </c>
      <c r="BK16" s="371">
        <f t="shared" si="23"/>
        <v>82.808641975308632</v>
      </c>
      <c r="BL16" s="371">
        <f t="shared" si="23"/>
        <v>76.808641975308632</v>
      </c>
      <c r="BM16" s="371">
        <f t="shared" si="23"/>
        <v>83.753086419753089</v>
      </c>
      <c r="BN16" s="371">
        <f t="shared" si="23"/>
        <v>73.02098765432099</v>
      </c>
      <c r="BO16" s="371">
        <f t="shared" ref="BO16:BW16" si="25">BO17+BO18</f>
        <v>83.753086419753089</v>
      </c>
      <c r="BP16" s="371">
        <f t="shared" si="25"/>
        <v>76.172839506172835</v>
      </c>
      <c r="BQ16" s="371">
        <f t="shared" si="25"/>
        <v>65.777777777777771</v>
      </c>
      <c r="BR16" s="371">
        <f t="shared" si="25"/>
        <v>71.901234567901241</v>
      </c>
      <c r="BS16" s="457">
        <f t="shared" si="25"/>
        <v>69</v>
      </c>
      <c r="BT16" s="457">
        <f t="shared" si="25"/>
        <v>63.728395061728399</v>
      </c>
      <c r="BU16" s="457">
        <f t="shared" si="25"/>
        <v>69.691358024691354</v>
      </c>
      <c r="BV16" s="457">
        <f t="shared" si="25"/>
        <v>68.691358024691354</v>
      </c>
      <c r="BW16" s="492">
        <f t="shared" si="25"/>
        <v>70.512345679012356</v>
      </c>
      <c r="BX16" s="492">
        <f t="shared" ref="BX16:BY16" si="26">BX17+BX18</f>
        <v>63.53086419753086</v>
      </c>
      <c r="BY16" s="556">
        <f t="shared" si="26"/>
        <v>68.96913580246914</v>
      </c>
      <c r="BZ16" s="556">
        <f t="shared" ref="BZ16:CA16" si="27">BZ17+BZ18</f>
        <v>67.283950617283949</v>
      </c>
      <c r="CA16" s="556">
        <f t="shared" si="27"/>
        <v>65.308641975308632</v>
      </c>
      <c r="CB16" s="556">
        <f t="shared" ref="CB16:CC16" si="28">CB17+CB18</f>
        <v>62.654320987654323</v>
      </c>
      <c r="CC16" s="669">
        <f t="shared" si="28"/>
        <v>65.308641975308632</v>
      </c>
      <c r="CD16" s="669">
        <f t="shared" ref="CD16:CE16" si="29">CD17+CD18</f>
        <v>63.191358024691354</v>
      </c>
      <c r="CE16" s="688">
        <f t="shared" si="29"/>
        <v>65.740740740740733</v>
      </c>
      <c r="CF16" s="688">
        <f t="shared" ref="CF16:CG16" si="30">CF17+CF18</f>
        <v>69.938271604938279</v>
      </c>
      <c r="CG16" s="688">
        <f t="shared" si="30"/>
        <v>67.283950617283949</v>
      </c>
      <c r="CH16" s="688">
        <f t="shared" ref="CH16" si="31">CH17+CH18</f>
        <v>65.308641975308632</v>
      </c>
    </row>
    <row r="17" spans="1:90">
      <c r="B17" s="126" t="s">
        <v>9</v>
      </c>
      <c r="C17" s="371">
        <f>C7</f>
        <v>53.985610000000001</v>
      </c>
      <c r="D17" s="371">
        <f>D7</f>
        <v>45.941310999999999</v>
      </c>
      <c r="E17" s="371">
        <f>E7</f>
        <v>46.670610000000003</v>
      </c>
      <c r="F17" s="371">
        <f>F7</f>
        <v>49.345337000000001</v>
      </c>
      <c r="G17" s="371">
        <f>G7</f>
        <v>50.110622999999997</v>
      </c>
      <c r="H17" s="371">
        <f>H7</f>
        <v>50.597169999999998</v>
      </c>
      <c r="I17" s="371">
        <f>I7</f>
        <v>52.5</v>
      </c>
      <c r="J17" s="371">
        <f>J7</f>
        <v>52.5</v>
      </c>
      <c r="K17" s="371">
        <f>K7</f>
        <v>52.5</v>
      </c>
      <c r="L17" s="371">
        <f>L7</f>
        <v>55</v>
      </c>
      <c r="M17" s="371">
        <f>M7</f>
        <v>58</v>
      </c>
      <c r="N17" s="371">
        <f>N7</f>
        <v>55.648000000000003</v>
      </c>
      <c r="O17" s="371">
        <f>O7</f>
        <v>31</v>
      </c>
      <c r="P17" s="371">
        <f>P7</f>
        <v>28.548999999999999</v>
      </c>
      <c r="Q17" s="371">
        <f>Q7</f>
        <v>30</v>
      </c>
      <c r="R17" s="371">
        <f>R7</f>
        <v>26.234000000000002</v>
      </c>
      <c r="S17" s="371">
        <f>S7</f>
        <v>21.6</v>
      </c>
      <c r="T17" s="371">
        <f>T7</f>
        <v>4.5999999999999996</v>
      </c>
      <c r="U17" s="371">
        <f>U7</f>
        <v>23</v>
      </c>
      <c r="V17" s="371">
        <f>V7</f>
        <v>25</v>
      </c>
      <c r="W17" s="371">
        <f>W7</f>
        <v>21.5</v>
      </c>
      <c r="X17" s="371">
        <f>X7</f>
        <v>31.2</v>
      </c>
      <c r="Y17" s="371">
        <f>Y7</f>
        <v>34</v>
      </c>
      <c r="Z17" s="371">
        <f>Z7</f>
        <v>35.179000000000002</v>
      </c>
      <c r="AA17" s="371">
        <f>AA7</f>
        <v>31</v>
      </c>
      <c r="AB17" s="371">
        <f>AB7</f>
        <v>29.4</v>
      </c>
      <c r="AC17" s="371">
        <f>AC7+AC8</f>
        <v>78.711111111111109</v>
      </c>
      <c r="AD17" s="371">
        <f>AD7+AD8</f>
        <v>81.11333333333333</v>
      </c>
      <c r="AE17" s="371">
        <f>AE7+AE8</f>
        <v>78.111111111111114</v>
      </c>
      <c r="AF17" s="371">
        <f>AF7+AF8</f>
        <v>81.893333333333331</v>
      </c>
      <c r="AG17" s="371">
        <f>AG7+AG8</f>
        <v>82.431111111111107</v>
      </c>
      <c r="AH17" s="371">
        <f>AH7+AH8</f>
        <v>77.611111111111114</v>
      </c>
      <c r="AI17" s="371">
        <f>AI7+AI8</f>
        <v>61.9</v>
      </c>
      <c r="AJ17" s="371">
        <f>AJ7+AJ8</f>
        <v>68.8</v>
      </c>
      <c r="AK17" s="371">
        <f>AK7+AK8</f>
        <v>75.493827160493822</v>
      </c>
      <c r="AL17" s="371">
        <f>AL7+AL8</f>
        <v>85.203703703703709</v>
      </c>
      <c r="AM17" s="371">
        <f>AM7+AM8</f>
        <v>63.518518518518519</v>
      </c>
      <c r="AN17" s="371">
        <f>AN7+AN8</f>
        <v>71.148148148148152</v>
      </c>
      <c r="AO17" s="371">
        <f>AO7+AO8</f>
        <v>87.407407407407405</v>
      </c>
      <c r="AP17" s="371">
        <f>AP7+AP8</f>
        <v>85.407407407407405</v>
      </c>
      <c r="AQ17" s="371">
        <f>AQ7+AQ8</f>
        <v>81.23456790123457</v>
      </c>
      <c r="AR17" s="371">
        <f>AR7+AR8</f>
        <v>82.320987654320987</v>
      </c>
      <c r="AS17" s="371">
        <f>AS7+AS8</f>
        <v>83.549382716049379</v>
      </c>
      <c r="AT17" s="371">
        <f>AT7+AT8</f>
        <v>85.864197530864203</v>
      </c>
      <c r="AU17" s="371">
        <f>AU7+AU8</f>
        <v>80.820987654320987</v>
      </c>
      <c r="AV17" s="371">
        <f>AV7+AV8</f>
        <v>82.888888888888886</v>
      </c>
      <c r="AW17" s="371">
        <f>AW7+AW8</f>
        <v>80.339506172839506</v>
      </c>
      <c r="AX17" s="371">
        <f>AX7+AX8</f>
        <v>87.407407407407391</v>
      </c>
      <c r="AY17" s="371">
        <f>AY7+AY8</f>
        <v>84.320987654320987</v>
      </c>
      <c r="AZ17" s="371">
        <f>AZ7+AZ8</f>
        <v>60.506172839506178</v>
      </c>
      <c r="BA17" s="371">
        <f>BA7+BA8</f>
        <v>82.48888888888888</v>
      </c>
      <c r="BB17" s="371">
        <f>BB7+BB8</f>
        <v>65.348148148148155</v>
      </c>
      <c r="BC17" s="371">
        <f>BC7+BC8</f>
        <v>56.088888888888889</v>
      </c>
      <c r="BD17" s="371">
        <f>BD7+BD8</f>
        <v>61.049382716049379</v>
      </c>
      <c r="BE17" s="371">
        <f>BE7+BE8</f>
        <v>66.574049382716041</v>
      </c>
      <c r="BF17" s="371">
        <f>BF7+BF8</f>
        <v>78.259259259259267</v>
      </c>
      <c r="BG17" s="371">
        <f>BG7+BG8</f>
        <v>77.716049382716051</v>
      </c>
      <c r="BH17" s="371">
        <f>BH7+BH8</f>
        <v>82.981481481481467</v>
      </c>
      <c r="BI17" s="371">
        <f>BI7+BI8</f>
        <v>70.866419753086419</v>
      </c>
      <c r="BJ17" s="371">
        <f>BJ7+BJ8</f>
        <v>76.550246913580239</v>
      </c>
      <c r="BK17" s="371">
        <f>BK7+BK8</f>
        <v>82.808641975308632</v>
      </c>
      <c r="BL17" s="371">
        <f>BL7+BL8</f>
        <v>76.808641975308632</v>
      </c>
      <c r="BM17" s="371">
        <f>BM7+BM8</f>
        <v>83.753086419753089</v>
      </c>
      <c r="BN17" s="371">
        <f>BN7+BN8</f>
        <v>73.02098765432099</v>
      </c>
      <c r="BO17" s="371">
        <f>BO7+BO8</f>
        <v>83.753086419753089</v>
      </c>
      <c r="BP17" s="371">
        <f>BP7+BP8</f>
        <v>76.172839506172835</v>
      </c>
      <c r="BQ17" s="371">
        <f>BQ7+BQ8</f>
        <v>65.777777777777771</v>
      </c>
      <c r="BR17" s="371">
        <f>BR7+BR8</f>
        <v>71.901234567901241</v>
      </c>
      <c r="BS17" s="457">
        <f>BS7+BS8</f>
        <v>69</v>
      </c>
      <c r="BT17" s="457">
        <f>BT7+BT8</f>
        <v>63.728395061728399</v>
      </c>
      <c r="BU17" s="457">
        <f>BU7+BU8</f>
        <v>69.691358024691354</v>
      </c>
      <c r="BV17" s="457">
        <f>BV7+BV8</f>
        <v>68.691358024691354</v>
      </c>
      <c r="BW17" s="492">
        <f>BW7+BW8</f>
        <v>70.512345679012356</v>
      </c>
      <c r="BX17" s="492">
        <f>BX7+BX8</f>
        <v>63.53086419753086</v>
      </c>
      <c r="BY17" s="556">
        <f>BY7+BY8</f>
        <v>68.96913580246914</v>
      </c>
      <c r="BZ17" s="556">
        <f>BZ7+BZ8</f>
        <v>67.283950617283949</v>
      </c>
      <c r="CA17" s="556">
        <f>CA7+CA8</f>
        <v>65.308641975308632</v>
      </c>
      <c r="CB17" s="556">
        <f>CB7+CB8</f>
        <v>62.654320987654323</v>
      </c>
      <c r="CC17" s="669">
        <f>CC7+CC8</f>
        <v>65.308641975308632</v>
      </c>
      <c r="CD17" s="669">
        <f>CD7+CD8</f>
        <v>63.191358024691354</v>
      </c>
      <c r="CE17" s="688">
        <f>CE7+CE8</f>
        <v>65.740740740740733</v>
      </c>
      <c r="CF17" s="688">
        <f>CF7+CF8</f>
        <v>69.938271604938279</v>
      </c>
      <c r="CG17" s="688">
        <f>CG7+CG8</f>
        <v>67.283950617283949</v>
      </c>
      <c r="CH17" s="688">
        <f>CH7+CH8</f>
        <v>65.308641975308632</v>
      </c>
      <c r="CL17" s="207" t="s">
        <v>363</v>
      </c>
    </row>
    <row r="18" spans="1:90" ht="15" thickBot="1">
      <c r="B18" s="126" t="s">
        <v>66</v>
      </c>
      <c r="C18" s="371">
        <f>C8+C9+C10</f>
        <v>31.772002000000004</v>
      </c>
      <c r="D18" s="371">
        <f>D8+D9+D10</f>
        <v>35.392589999999998</v>
      </c>
      <c r="E18" s="371">
        <f>E8+E9+E10</f>
        <v>32.968956000000006</v>
      </c>
      <c r="F18" s="371">
        <f>F8+F9+F10</f>
        <v>37.360554</v>
      </c>
      <c r="G18" s="371">
        <f>G8+G9+G10</f>
        <v>31.964399000000004</v>
      </c>
      <c r="H18" s="371">
        <f>H8+H9+H10</f>
        <v>34.147604999999999</v>
      </c>
      <c r="I18" s="371">
        <f>I8+I9</f>
        <v>32.799999999999997</v>
      </c>
      <c r="J18" s="371">
        <f>J8+J9+J10</f>
        <v>33.799999999999997</v>
      </c>
      <c r="K18" s="371">
        <f>K8+K9+K10</f>
        <v>40.397000000000006</v>
      </c>
      <c r="L18" s="371">
        <f>L8+L9+L10</f>
        <v>35.323999999999998</v>
      </c>
      <c r="M18" s="371">
        <f>M8+M9+M10</f>
        <v>25.8</v>
      </c>
      <c r="N18" s="371">
        <f>N8+N9+N10</f>
        <v>42.261000000000003</v>
      </c>
      <c r="O18" s="371">
        <f>O8+O9+O10</f>
        <v>50.8</v>
      </c>
      <c r="P18" s="371">
        <f>P8+P9+P10</f>
        <v>53.8</v>
      </c>
      <c r="Q18" s="371">
        <f>Q8+Q9+Q10</f>
        <v>54.599999999999994</v>
      </c>
      <c r="R18" s="371">
        <f>R8+R9+R10</f>
        <v>58</v>
      </c>
      <c r="S18" s="371">
        <f>S8+S9+S10</f>
        <v>68</v>
      </c>
      <c r="T18" s="371">
        <f>T8+T9+T10</f>
        <v>73.400000000000006</v>
      </c>
      <c r="U18" s="371">
        <f>U8+U9+U10</f>
        <v>56</v>
      </c>
      <c r="V18" s="371" t="e">
        <f>V8+V9+V10</f>
        <v>#VALUE!</v>
      </c>
      <c r="W18" s="371">
        <f>W8+W9+W10</f>
        <v>54</v>
      </c>
      <c r="X18" s="371">
        <f>X8+X9+X10</f>
        <v>58</v>
      </c>
      <c r="Y18" s="371">
        <f>Y8+Y9+Y10</f>
        <v>56</v>
      </c>
      <c r="Z18" s="371">
        <f>Z8+Z9+Z10</f>
        <v>60</v>
      </c>
      <c r="AA18" s="371">
        <f>AA8+AA9+AA10</f>
        <v>55.111111111111114</v>
      </c>
      <c r="AB18" s="371">
        <f>AB8+AB9+AB10</f>
        <v>53.977777777777774</v>
      </c>
      <c r="AC18" s="371">
        <f>AC9</f>
        <v>0</v>
      </c>
      <c r="AD18" s="371">
        <f>AD9</f>
        <v>-2.5</v>
      </c>
      <c r="AE18" s="371">
        <f>AE9</f>
        <v>0</v>
      </c>
      <c r="AF18" s="371">
        <f>AF9</f>
        <v>0</v>
      </c>
      <c r="AG18" s="371">
        <f>AG9</f>
        <v>0</v>
      </c>
      <c r="AH18" s="371">
        <f>AH9</f>
        <v>0</v>
      </c>
      <c r="AI18" s="371">
        <f>AI9</f>
        <v>0</v>
      </c>
      <c r="AJ18" s="371">
        <f>AJ9</f>
        <v>0</v>
      </c>
      <c r="AK18" s="371">
        <f>AK9</f>
        <v>0</v>
      </c>
      <c r="AL18" s="371">
        <f>AL9</f>
        <v>0</v>
      </c>
      <c r="AM18" s="371">
        <f>AM9</f>
        <v>0</v>
      </c>
      <c r="AN18" s="371">
        <f>AN9</f>
        <v>0</v>
      </c>
      <c r="AO18" s="371">
        <f>AO9</f>
        <v>0</v>
      </c>
      <c r="AP18" s="371">
        <f>AP9</f>
        <v>0</v>
      </c>
      <c r="AQ18" s="371">
        <f>AQ9</f>
        <v>0</v>
      </c>
      <c r="AR18" s="371">
        <f>AR9</f>
        <v>0</v>
      </c>
      <c r="AS18" s="371">
        <f>AS9</f>
        <v>0</v>
      </c>
      <c r="AT18" s="371">
        <f>AT9</f>
        <v>0</v>
      </c>
      <c r="AU18" s="371">
        <f>AU9</f>
        <v>0</v>
      </c>
      <c r="AV18" s="371">
        <f>AV9</f>
        <v>0</v>
      </c>
      <c r="AW18" s="371">
        <f>AW9</f>
        <v>0</v>
      </c>
      <c r="AX18" s="371">
        <f>AX9</f>
        <v>0</v>
      </c>
      <c r="AY18" s="371">
        <f>AY9</f>
        <v>0</v>
      </c>
      <c r="AZ18" s="371">
        <f>AZ9</f>
        <v>0</v>
      </c>
      <c r="BA18" s="371">
        <f>BA9</f>
        <v>0</v>
      </c>
      <c r="BB18" s="371">
        <f>BB9</f>
        <v>0</v>
      </c>
      <c r="BC18" s="371">
        <f>BC9</f>
        <v>0</v>
      </c>
      <c r="BD18" s="371">
        <f>BD9</f>
        <v>0</v>
      </c>
      <c r="BE18" s="371">
        <f>BE9</f>
        <v>0</v>
      </c>
      <c r="BF18" s="371">
        <f>BF9</f>
        <v>0</v>
      </c>
      <c r="BG18" s="371">
        <f>BG9</f>
        <v>0</v>
      </c>
      <c r="BH18" s="371">
        <f>BH9</f>
        <v>0</v>
      </c>
      <c r="BI18" s="371">
        <f>BI9</f>
        <v>0</v>
      </c>
      <c r="BJ18" s="371">
        <f>BJ9</f>
        <v>0</v>
      </c>
      <c r="BK18" s="371">
        <f>BK9</f>
        <v>0</v>
      </c>
      <c r="BL18" s="371">
        <f>BL9</f>
        <v>0</v>
      </c>
      <c r="BM18" s="371">
        <f>BM9</f>
        <v>0</v>
      </c>
      <c r="BN18" s="371">
        <f>BN9</f>
        <v>0</v>
      </c>
      <c r="BO18" s="371">
        <f>BO9</f>
        <v>0</v>
      </c>
      <c r="BP18" s="371">
        <f>BP9</f>
        <v>0</v>
      </c>
      <c r="BQ18" s="371">
        <f>BQ9</f>
        <v>0</v>
      </c>
      <c r="BR18" s="371">
        <f>BR9</f>
        <v>0</v>
      </c>
      <c r="BS18" s="457">
        <f>BS9</f>
        <v>0</v>
      </c>
      <c r="BT18" s="457">
        <f>BT9</f>
        <v>0</v>
      </c>
      <c r="BU18" s="457">
        <f>BU9</f>
        <v>0</v>
      </c>
      <c r="BV18" s="457">
        <f>BV9</f>
        <v>0</v>
      </c>
      <c r="BW18" s="492">
        <f>BW9</f>
        <v>0</v>
      </c>
      <c r="BX18" s="492">
        <f>BX9</f>
        <v>0</v>
      </c>
      <c r="BY18" s="556">
        <f>BY9</f>
        <v>0</v>
      </c>
      <c r="BZ18" s="556">
        <f>BZ9</f>
        <v>0</v>
      </c>
      <c r="CA18" s="556">
        <f>CA9</f>
        <v>0</v>
      </c>
      <c r="CB18" s="556">
        <f>CB9</f>
        <v>0</v>
      </c>
      <c r="CC18" s="669">
        <f>CC9</f>
        <v>0</v>
      </c>
      <c r="CD18" s="669">
        <f>CD9</f>
        <v>0</v>
      </c>
      <c r="CE18" s="688">
        <f>CE9</f>
        <v>0</v>
      </c>
      <c r="CF18" s="688">
        <f>CF9</f>
        <v>0</v>
      </c>
      <c r="CG18" s="688">
        <f>CG9</f>
        <v>0</v>
      </c>
      <c r="CH18" s="688">
        <f>CH9</f>
        <v>0</v>
      </c>
    </row>
    <row r="19" spans="1:90" ht="15" thickBot="1">
      <c r="C19" s="371"/>
      <c r="D19" s="371"/>
      <c r="E19" s="371"/>
      <c r="F19" s="371"/>
      <c r="G19" s="371"/>
      <c r="H19" s="371"/>
      <c r="I19" s="371"/>
      <c r="J19" s="371"/>
      <c r="K19" s="371"/>
      <c r="L19" s="371"/>
      <c r="M19" s="371"/>
      <c r="N19" s="371"/>
      <c r="O19" s="371"/>
      <c r="P19" s="371"/>
      <c r="Q19" s="371"/>
      <c r="R19" s="371"/>
      <c r="S19" s="371"/>
      <c r="T19" s="371"/>
      <c r="U19" s="371"/>
      <c r="V19" s="371"/>
      <c r="W19" s="371"/>
      <c r="X19" s="371"/>
      <c r="Y19" s="371"/>
      <c r="Z19" s="371"/>
      <c r="AA19" s="371"/>
      <c r="AB19" s="371"/>
      <c r="AC19" s="371"/>
      <c r="AD19" s="371"/>
      <c r="AE19" s="371"/>
      <c r="AF19" s="371"/>
      <c r="AG19" s="371"/>
      <c r="AH19" s="371"/>
      <c r="AI19" s="371"/>
      <c r="AJ19" s="371"/>
      <c r="AK19" s="371"/>
      <c r="AL19" s="371"/>
      <c r="AM19" s="371"/>
      <c r="AN19" s="371"/>
      <c r="AO19" s="371"/>
      <c r="AP19" s="371"/>
      <c r="AQ19" s="371"/>
      <c r="AR19" s="371"/>
      <c r="AS19" s="371"/>
      <c r="AT19" s="371"/>
      <c r="AU19" s="371"/>
      <c r="AV19" s="371"/>
      <c r="AW19" s="371"/>
      <c r="AX19" s="371"/>
      <c r="AY19" s="371"/>
      <c r="AZ19" s="371"/>
      <c r="BA19" s="371"/>
      <c r="BB19" s="371"/>
      <c r="BC19" s="203">
        <f>BC6*0.648</f>
        <v>37.042272000000004</v>
      </c>
      <c r="BD19" s="203">
        <f>BD6*0.648</f>
        <v>39.657600000000002</v>
      </c>
      <c r="BE19" s="371"/>
      <c r="BF19" s="371"/>
      <c r="BG19" s="371"/>
      <c r="BH19" s="371"/>
      <c r="BI19" s="371"/>
      <c r="BJ19" s="371"/>
      <c r="BK19" s="371"/>
      <c r="BL19" s="371"/>
      <c r="BM19" s="371"/>
      <c r="BN19" s="371"/>
      <c r="BO19" s="371"/>
      <c r="BP19" s="371"/>
      <c r="BQ19" s="371"/>
      <c r="BR19" s="371"/>
      <c r="BS19" s="457"/>
      <c r="BT19" s="457"/>
      <c r="BU19" s="457"/>
      <c r="BV19" s="457"/>
      <c r="BW19" s="492"/>
      <c r="BX19" s="492"/>
      <c r="BY19" s="556"/>
      <c r="BZ19" s="556"/>
      <c r="CA19" s="556"/>
      <c r="CB19" s="556"/>
      <c r="CC19" s="669"/>
      <c r="CD19" s="669"/>
      <c r="CE19" s="688"/>
      <c r="CF19" s="688"/>
      <c r="CG19" s="688"/>
      <c r="CH19" s="688"/>
    </row>
    <row r="20" spans="1:90" ht="15" thickBot="1">
      <c r="A20" s="201" t="s">
        <v>57</v>
      </c>
      <c r="B20" s="201" t="s">
        <v>67</v>
      </c>
      <c r="C20" s="202">
        <f>C7*0.648</f>
        <v>34.982675280000002</v>
      </c>
      <c r="D20" s="202">
        <f>D7*0.648</f>
        <v>29.769969528000001</v>
      </c>
      <c r="E20" s="202">
        <f>E7*0.648</f>
        <v>30.242555280000005</v>
      </c>
      <c r="F20" s="202">
        <f>F7*0.648</f>
        <v>31.975778376000001</v>
      </c>
      <c r="G20" s="202">
        <f>G7*0.648</f>
        <v>32.471683704</v>
      </c>
      <c r="H20" s="202">
        <f>H7*0.648</f>
        <v>32.786966159999999</v>
      </c>
      <c r="I20" s="203">
        <f>I7*0.648</f>
        <v>34.020000000000003</v>
      </c>
      <c r="J20" s="203">
        <f>J7*0.648</f>
        <v>34.020000000000003</v>
      </c>
      <c r="K20" s="203">
        <f>K7*0.648</f>
        <v>34.020000000000003</v>
      </c>
      <c r="L20" s="203">
        <f>L7*0.648</f>
        <v>35.64</v>
      </c>
      <c r="M20" s="203">
        <f>M7*0.648</f>
        <v>37.584000000000003</v>
      </c>
      <c r="N20" s="203">
        <f>N7*0.648</f>
        <v>36.059904000000003</v>
      </c>
      <c r="O20" s="203">
        <f>O7*0.648</f>
        <v>20.088000000000001</v>
      </c>
      <c r="P20" s="203">
        <f>P7*0.648</f>
        <v>18.499752000000001</v>
      </c>
      <c r="Q20" s="203">
        <f>Q7*0.648</f>
        <v>19.440000000000001</v>
      </c>
      <c r="R20" s="203">
        <f>R7*0.648</f>
        <v>16.999632000000002</v>
      </c>
      <c r="S20" s="203">
        <f>S7*0.648</f>
        <v>13.996800000000002</v>
      </c>
      <c r="T20" s="203">
        <f>T7*0.648</f>
        <v>2.9807999999999999</v>
      </c>
      <c r="U20" s="203">
        <f>U7*0.648</f>
        <v>14.904</v>
      </c>
      <c r="V20" s="203">
        <f>V7*0.648</f>
        <v>16.2</v>
      </c>
      <c r="W20" s="203">
        <f>W7*0.648</f>
        <v>13.932</v>
      </c>
      <c r="X20" s="203">
        <f>X7*0.648</f>
        <v>20.217600000000001</v>
      </c>
      <c r="Y20" s="203">
        <f>Y7*0.648</f>
        <v>22.032</v>
      </c>
      <c r="Z20" s="203">
        <f>Z7*0.648</f>
        <v>22.795992000000002</v>
      </c>
      <c r="AA20" s="203">
        <f>AA7*0.648</f>
        <v>20.088000000000001</v>
      </c>
      <c r="AB20" s="203">
        <f>AB7*0.648</f>
        <v>19.051199999999998</v>
      </c>
      <c r="AC20" s="203">
        <f>AC7*0.648</f>
        <v>15.292800000000002</v>
      </c>
      <c r="AD20" s="203">
        <f>AD7*0.648</f>
        <v>18.001440000000002</v>
      </c>
      <c r="AE20" s="203">
        <f>AE7*0.648</f>
        <v>14.904</v>
      </c>
      <c r="AF20" s="203">
        <f>AF7*0.648</f>
        <v>18.506879999999999</v>
      </c>
      <c r="AG20" s="203">
        <f>AG7*0.648</f>
        <v>17.70336</v>
      </c>
      <c r="AH20" s="203">
        <f>AH7*0.648</f>
        <v>14.58</v>
      </c>
      <c r="AI20" s="203">
        <f>AI7*0.648</f>
        <v>9.7200000000000006</v>
      </c>
      <c r="AJ20" s="203">
        <f>AJ7*0.648</f>
        <v>15.422400000000001</v>
      </c>
      <c r="AK20" s="203">
        <f>AK7*0.648</f>
        <v>23.000000000000004</v>
      </c>
      <c r="AL20" s="203">
        <f>AL7*0.648</f>
        <v>19.5</v>
      </c>
      <c r="AM20" s="203">
        <f>AM7*0.648</f>
        <v>12</v>
      </c>
      <c r="AN20" s="203">
        <f>AN7*0.648</f>
        <v>15.000000000000002</v>
      </c>
      <c r="AO20" s="203">
        <f>AO7*0.648</f>
        <v>21</v>
      </c>
      <c r="AP20" s="203">
        <f>AP7*0.648</f>
        <v>21</v>
      </c>
      <c r="AQ20" s="203">
        <f>AQ7*0.648</f>
        <v>17</v>
      </c>
      <c r="AR20" s="203">
        <f>AR7*0.648</f>
        <v>19</v>
      </c>
      <c r="AS20" s="203">
        <f>AS7*0.648</f>
        <v>18.5</v>
      </c>
      <c r="AT20" s="203">
        <f>AT7*0.648</f>
        <v>20</v>
      </c>
      <c r="AU20" s="203">
        <f>AU7*0.648</f>
        <v>19</v>
      </c>
      <c r="AV20" s="203">
        <f>AV7*0.648</f>
        <v>18</v>
      </c>
      <c r="AW20" s="203">
        <f>AW7*0.648</f>
        <v>17.5</v>
      </c>
      <c r="AX20" s="203">
        <f>AX7*0.648</f>
        <v>20.999999999999993</v>
      </c>
      <c r="AY20" s="247">
        <f>AY7*0.648</f>
        <v>19</v>
      </c>
      <c r="AZ20" s="247">
        <f>AZ7*0.648</f>
        <v>5.8</v>
      </c>
      <c r="BA20" s="203">
        <f>BA7*0.648</f>
        <v>25.2</v>
      </c>
      <c r="BB20" s="203">
        <f>BB7*0.648</f>
        <v>15.000000000000002</v>
      </c>
      <c r="BC20" s="203">
        <f>BC7*0.648</f>
        <v>9</v>
      </c>
      <c r="BD20" s="203">
        <f>BD7*0.648</f>
        <v>5</v>
      </c>
      <c r="BE20" s="203">
        <f>BE7*0.648</f>
        <v>5</v>
      </c>
      <c r="BF20" s="203">
        <f>BF7*0.648</f>
        <v>15.000000000000002</v>
      </c>
      <c r="BG20" s="203">
        <f>BG7*0.648</f>
        <v>23.000000000000004</v>
      </c>
      <c r="BH20" s="203">
        <f>BH7*0.648</f>
        <v>25.499999999999996</v>
      </c>
      <c r="BI20" s="203">
        <f>BI7*0.648</f>
        <v>20</v>
      </c>
      <c r="BJ20" s="203">
        <f>BJ7*0.648</f>
        <v>22</v>
      </c>
      <c r="BK20" s="203">
        <f>BK7*0.648</f>
        <v>24.5</v>
      </c>
      <c r="BL20" s="203">
        <f>BL7*0.648</f>
        <v>24.5</v>
      </c>
      <c r="BM20" s="203">
        <f>BM7*0.648</f>
        <v>26</v>
      </c>
      <c r="BN20" s="628">
        <f>BN7*0.648</f>
        <v>19</v>
      </c>
      <c r="BO20" s="628">
        <f>BO7*0.648</f>
        <v>26</v>
      </c>
      <c r="BP20" s="628">
        <f>BP7*0.648</f>
        <v>22</v>
      </c>
      <c r="BQ20" s="628">
        <f>BQ7*0.648</f>
        <v>18</v>
      </c>
      <c r="BR20" s="628">
        <f>BR7*0.648</f>
        <v>19.7</v>
      </c>
      <c r="BS20" s="628">
        <f>BS7*0.648</f>
        <v>16.5</v>
      </c>
      <c r="BT20" s="628">
        <f>BT7*0.648</f>
        <v>12</v>
      </c>
      <c r="BU20" s="628">
        <f>BU7*0.648</f>
        <v>16</v>
      </c>
      <c r="BV20" s="628">
        <f>BV7*0.648</f>
        <v>16</v>
      </c>
      <c r="BW20" s="628">
        <f>BW7*0.648</f>
        <v>23.000000000000004</v>
      </c>
      <c r="BX20" s="628">
        <f>BX7*0.648</f>
        <v>20</v>
      </c>
      <c r="BY20" s="628">
        <f>BY7*0.648</f>
        <v>22</v>
      </c>
      <c r="BZ20" s="628">
        <f>BZ7*0.648</f>
        <v>22</v>
      </c>
      <c r="CA20" s="628">
        <f>CA7*0.648</f>
        <v>20</v>
      </c>
      <c r="CB20" s="628">
        <f>CB7*0.648</f>
        <v>19</v>
      </c>
      <c r="CC20" s="628">
        <f>CC7*0.648</f>
        <v>20</v>
      </c>
      <c r="CD20" s="628">
        <f>CD7*0.648</f>
        <v>19</v>
      </c>
      <c r="CE20" s="628">
        <f>CE7*0.648</f>
        <v>21</v>
      </c>
      <c r="CF20" s="628">
        <f>CF7*0.648</f>
        <v>23.000000000000004</v>
      </c>
      <c r="CG20" s="628">
        <f>CG7*0.648</f>
        <v>22</v>
      </c>
      <c r="CH20" s="628">
        <f>CH7*0.648</f>
        <v>20</v>
      </c>
    </row>
    <row r="21" spans="1:90" ht="15" thickBot="1">
      <c r="H21" s="371"/>
      <c r="I21" s="371"/>
      <c r="J21" s="371"/>
      <c r="K21" s="371"/>
      <c r="L21" s="371"/>
      <c r="M21" s="371"/>
      <c r="N21" s="371"/>
      <c r="O21" s="371"/>
      <c r="P21" s="371">
        <v>2500</v>
      </c>
      <c r="Q21" s="371">
        <v>1500</v>
      </c>
      <c r="R21" s="371"/>
      <c r="S21" s="371"/>
      <c r="T21" s="371"/>
      <c r="U21" s="371"/>
      <c r="V21" s="371"/>
      <c r="W21" s="371"/>
      <c r="X21" s="371"/>
      <c r="Y21" s="371"/>
      <c r="Z21" s="371"/>
      <c r="AA21" s="371"/>
      <c r="AB21" s="371"/>
      <c r="AC21" s="371"/>
      <c r="AD21" s="371"/>
      <c r="AE21" s="371"/>
      <c r="AF21" s="371"/>
      <c r="AG21" s="371"/>
      <c r="AH21" s="371"/>
      <c r="AI21" s="371"/>
      <c r="AJ21" s="371"/>
      <c r="AK21" s="371"/>
      <c r="AL21" s="371"/>
      <c r="AM21" s="371"/>
      <c r="AN21" s="371"/>
      <c r="AO21" s="371"/>
      <c r="AP21" s="371"/>
      <c r="AQ21" s="371"/>
      <c r="AR21" s="371"/>
      <c r="AS21" s="371"/>
      <c r="AT21" s="371"/>
      <c r="AU21" s="371"/>
      <c r="AV21" s="371"/>
      <c r="AW21" s="371"/>
      <c r="AX21" s="371"/>
      <c r="AY21" s="248" t="s">
        <v>144</v>
      </c>
      <c r="AZ21" s="248" t="s">
        <v>147</v>
      </c>
      <c r="BA21" s="371"/>
      <c r="BB21" s="371"/>
      <c r="BC21" s="203">
        <f>BC8*0.648</f>
        <v>27.345600000000001</v>
      </c>
      <c r="BD21" s="203">
        <f>BD8*0.648</f>
        <v>34.559999999999995</v>
      </c>
      <c r="BE21" s="203">
        <f>BE8*0.648</f>
        <v>38.139983999999998</v>
      </c>
      <c r="BF21" s="203">
        <f>BF8*0.648</f>
        <v>35.712000000000003</v>
      </c>
      <c r="BG21" s="203">
        <f>BG8*0.648</f>
        <v>27.36</v>
      </c>
      <c r="BH21" s="203">
        <f>BH8*0.648</f>
        <v>28.271999999999998</v>
      </c>
      <c r="BI21" s="203">
        <f>BI8*0.648</f>
        <v>25.92144</v>
      </c>
      <c r="BJ21" s="203">
        <f>BJ8*0.648</f>
        <v>27.604559999999999</v>
      </c>
      <c r="BK21" s="203">
        <f>BK8*0.648</f>
        <v>29.16</v>
      </c>
      <c r="BL21" s="203">
        <f>BL8*0.648</f>
        <v>25.272000000000002</v>
      </c>
      <c r="BM21" s="203">
        <f>BM8*0.648</f>
        <v>28.271999999999998</v>
      </c>
      <c r="BN21" s="628">
        <f>BN8*0.648</f>
        <v>28.317600000000002</v>
      </c>
      <c r="BO21" s="628">
        <f>BO8*0.648</f>
        <v>28.271999999999998</v>
      </c>
      <c r="BP21" s="628">
        <f>BP8*0.648</f>
        <v>27.36</v>
      </c>
      <c r="BQ21" s="628">
        <f>BQ8*0.648</f>
        <v>24.624000000000002</v>
      </c>
      <c r="BR21" s="628">
        <f>BR8*0.648</f>
        <v>26.892000000000007</v>
      </c>
      <c r="BS21" s="628">
        <f>BS8*0.648</f>
        <v>28.212000000000003</v>
      </c>
      <c r="BT21" s="628">
        <f>BT8*0.648</f>
        <v>29.296000000000003</v>
      </c>
      <c r="BU21" s="628">
        <f>BU8*0.648</f>
        <v>29.16</v>
      </c>
      <c r="BV21" s="628">
        <f>BV8*0.648</f>
        <v>28.512</v>
      </c>
      <c r="BW21" s="628">
        <f>BW8*0.648</f>
        <v>22.692</v>
      </c>
      <c r="BX21" s="628">
        <f>BX8*0.648</f>
        <v>21.167999999999999</v>
      </c>
      <c r="BY21" s="628">
        <f>BY8*0.648</f>
        <v>22.692</v>
      </c>
      <c r="BZ21" s="628">
        <f>BZ8*0.648</f>
        <v>21.6</v>
      </c>
      <c r="CA21" s="628">
        <f>CA8*0.648</f>
        <v>22.32</v>
      </c>
      <c r="CB21" s="628">
        <f>CB8*0.648</f>
        <v>21.6</v>
      </c>
      <c r="CC21" s="628">
        <f>CC8*0.648</f>
        <v>22.32</v>
      </c>
      <c r="CD21" s="628">
        <f>CD8*0.648</f>
        <v>21.947999999999997</v>
      </c>
      <c r="CE21" s="628">
        <f>CE8*0.648</f>
        <v>21.6</v>
      </c>
      <c r="CF21" s="628">
        <f>CF8*0.648</f>
        <v>22.32</v>
      </c>
      <c r="CG21" s="628">
        <f>CG8*0.648</f>
        <v>21.6</v>
      </c>
      <c r="CH21" s="628">
        <f>CH8*0.648</f>
        <v>22.32</v>
      </c>
    </row>
    <row r="22" spans="1:90">
      <c r="AI22" s="126">
        <v>8.8000000000000007</v>
      </c>
      <c r="AN22" s="126" t="s">
        <v>0</v>
      </c>
      <c r="AQ22" s="126" t="s">
        <v>44</v>
      </c>
      <c r="BL22" s="556"/>
      <c r="BM22" s="556"/>
      <c r="BN22" s="556"/>
      <c r="BO22" s="556"/>
      <c r="BP22" s="556"/>
      <c r="BQ22" s="556"/>
      <c r="BR22" s="556"/>
      <c r="BS22" s="556"/>
      <c r="BT22" s="556"/>
      <c r="BU22" s="556"/>
      <c r="BV22" s="556"/>
    </row>
    <row r="23" spans="1:90">
      <c r="A23" s="215" t="s">
        <v>272</v>
      </c>
      <c r="B23" s="207" t="s">
        <v>275</v>
      </c>
      <c r="AM23" s="126">
        <v>79.371857142857138</v>
      </c>
      <c r="AN23" s="126" t="s">
        <v>68</v>
      </c>
      <c r="AO23" s="126">
        <v>1</v>
      </c>
      <c r="AP23" s="126">
        <v>4</v>
      </c>
      <c r="AQ23" s="126" t="s">
        <v>55</v>
      </c>
      <c r="BT23" s="126">
        <f>SUM(BT24:BT25)</f>
        <v>78.629629629629619</v>
      </c>
      <c r="BU23" s="208"/>
    </row>
    <row r="24" spans="1:90">
      <c r="A24" s="629" t="s">
        <v>273</v>
      </c>
      <c r="B24" s="207" t="s">
        <v>274</v>
      </c>
      <c r="AI24" s="126">
        <f>5000/0.648</f>
        <v>7716.049382716049</v>
      </c>
      <c r="AM24" s="371">
        <v>77.8</v>
      </c>
      <c r="AO24" s="371"/>
      <c r="AP24" s="371"/>
      <c r="AQ24" s="371"/>
      <c r="AY24" s="371">
        <f>AY8+AY7</f>
        <v>84.320987654320987</v>
      </c>
      <c r="AZ24" s="371">
        <f>AZ8+AZ7</f>
        <v>60.506172839506178</v>
      </c>
      <c r="BA24" s="371">
        <f>BA8+BA7</f>
        <v>82.48888888888888</v>
      </c>
      <c r="BB24" s="371">
        <f>BB8+BB7</f>
        <v>65.348148148148155</v>
      </c>
      <c r="BC24" s="371">
        <f>BC8+BC7</f>
        <v>56.088888888888889</v>
      </c>
      <c r="BD24" s="371">
        <f>BD8+BD7</f>
        <v>61.049382716049379</v>
      </c>
      <c r="BE24" s="371">
        <f>BE8+BE7</f>
        <v>66.574049382716041</v>
      </c>
      <c r="BF24" s="371">
        <f>BF8+BF7</f>
        <v>78.259259259259267</v>
      </c>
      <c r="BG24" s="371">
        <f>BG8+BG7</f>
        <v>77.716049382716051</v>
      </c>
      <c r="BH24" s="371">
        <f>BH8+BH7</f>
        <v>82.981481481481467</v>
      </c>
      <c r="BI24" s="371">
        <v>37.037037037037038</v>
      </c>
      <c r="BJ24" s="371">
        <f>4/$BI$26*BI24</f>
        <v>1.8365472910927461</v>
      </c>
      <c r="BK24" s="492">
        <f>BI24-BJ24</f>
        <v>35.200489745944289</v>
      </c>
      <c r="BL24" s="492">
        <f>BK24*0.648</f>
        <v>22.809917355371901</v>
      </c>
      <c r="BP24" s="126">
        <v>37.037037037037038</v>
      </c>
      <c r="BQ24" s="126">
        <f>BP24*-20/$BP$26</f>
        <v>-9.1827364554637292</v>
      </c>
      <c r="BR24" s="126">
        <f>BP24+BQ24</f>
        <v>27.854300581573309</v>
      </c>
      <c r="BS24" s="126">
        <f>BR24*0.648</f>
        <v>18.049586776859506</v>
      </c>
      <c r="BT24" s="126">
        <v>35</v>
      </c>
      <c r="BU24" s="208"/>
    </row>
    <row r="25" spans="1:90">
      <c r="A25" s="660" t="s">
        <v>297</v>
      </c>
      <c r="B25" s="207" t="s">
        <v>298</v>
      </c>
      <c r="BF25" s="457">
        <f>BF6*0.648</f>
        <v>48.249432000000006</v>
      </c>
      <c r="BI25" s="126">
        <v>43.629629629629626</v>
      </c>
      <c r="BJ25" s="483">
        <f>4/$BI$26*BI25</f>
        <v>2.1634527089072546</v>
      </c>
      <c r="BK25" s="492">
        <f>BI25-BJ25</f>
        <v>41.466176920722368</v>
      </c>
      <c r="BL25" s="492"/>
      <c r="BN25" s="126">
        <f>38.1*0.648</f>
        <v>24.688800000000001</v>
      </c>
      <c r="BP25" s="126">
        <v>43.629629629629626</v>
      </c>
      <c r="BQ25" s="126">
        <f>BP25*-20/$BP$26</f>
        <v>-10.817263544536273</v>
      </c>
      <c r="BR25" s="126">
        <f>BP25+BQ25</f>
        <v>32.812366085093352</v>
      </c>
      <c r="BT25" s="126">
        <v>43.629629629629626</v>
      </c>
      <c r="BU25" s="208"/>
      <c r="CL25" s="711"/>
    </row>
    <row r="26" spans="1:90">
      <c r="Z26" s="126">
        <v>31</v>
      </c>
      <c r="AA26" s="126">
        <v>30</v>
      </c>
      <c r="AB26" s="126">
        <v>31</v>
      </c>
      <c r="AC26" s="126">
        <v>31</v>
      </c>
      <c r="AD26" s="126">
        <v>28</v>
      </c>
      <c r="AE26" s="126">
        <v>31</v>
      </c>
      <c r="AW26" s="196" t="s">
        <v>69</v>
      </c>
      <c r="AX26" s="196"/>
      <c r="AY26" s="196"/>
      <c r="AZ26" s="196"/>
      <c r="BB26" s="196" t="s">
        <v>188</v>
      </c>
      <c r="BF26" s="457">
        <f>BF20+BF21</f>
        <v>50.712000000000003</v>
      </c>
      <c r="BG26" s="457">
        <f>BG20+BG21</f>
        <v>50.36</v>
      </c>
      <c r="BH26" s="457">
        <f>BH20+BH21</f>
        <v>53.771999999999991</v>
      </c>
      <c r="BI26" s="457">
        <f>SUM(BI24:BI25)</f>
        <v>80.666666666666657</v>
      </c>
      <c r="BJ26" s="457"/>
      <c r="BL26" s="126">
        <f>2*0.648</f>
        <v>1.296</v>
      </c>
      <c r="BP26" s="126">
        <f>SUM(BP24:BP25)</f>
        <v>80.666666666666657</v>
      </c>
      <c r="BT26" s="126">
        <v>1.8</v>
      </c>
    </row>
    <row r="27" spans="1:90">
      <c r="Z27" s="126">
        <v>80</v>
      </c>
      <c r="AA27" s="126">
        <v>68</v>
      </c>
      <c r="AB27" s="126">
        <v>72</v>
      </c>
      <c r="AC27" s="126">
        <v>72</v>
      </c>
      <c r="AD27" s="126">
        <v>65</v>
      </c>
      <c r="AE27" s="126">
        <v>73</v>
      </c>
      <c r="AW27" s="196" t="s">
        <v>0</v>
      </c>
      <c r="AX27" s="204">
        <v>200</v>
      </c>
      <c r="AY27" s="204" t="s">
        <v>44</v>
      </c>
      <c r="AZ27" s="205" t="s">
        <v>70</v>
      </c>
      <c r="BB27" s="196" t="s">
        <v>0</v>
      </c>
      <c r="BC27" s="204">
        <v>250</v>
      </c>
      <c r="BD27" s="204" t="s">
        <v>44</v>
      </c>
      <c r="BE27" s="205" t="s">
        <v>187</v>
      </c>
      <c r="BK27" s="206"/>
      <c r="BL27" s="206"/>
      <c r="BM27" s="206"/>
      <c r="BN27" s="206"/>
      <c r="BO27" s="206"/>
      <c r="BP27" s="206"/>
      <c r="BQ27" s="206"/>
      <c r="BR27" s="206"/>
      <c r="BS27" s="206"/>
      <c r="BT27" s="206">
        <f>BQ6-1.8</f>
        <v>59.8634180833374</v>
      </c>
      <c r="BU27" s="206"/>
      <c r="BV27" s="206"/>
      <c r="BW27" s="206"/>
      <c r="BX27" s="206"/>
      <c r="BY27" s="206"/>
      <c r="BZ27" s="206"/>
      <c r="CA27" s="206"/>
      <c r="CB27" s="206"/>
      <c r="CC27" s="206"/>
      <c r="CD27" s="206"/>
      <c r="CE27" s="206"/>
      <c r="CF27" s="206"/>
      <c r="CG27" s="206"/>
      <c r="CH27" s="206"/>
    </row>
    <row r="28" spans="1:90">
      <c r="Z28" s="126">
        <f t="shared" ref="Z28:AE28" si="32">Z27*1000</f>
        <v>80000</v>
      </c>
      <c r="AA28" s="126">
        <f t="shared" si="32"/>
        <v>68000</v>
      </c>
      <c r="AB28" s="126">
        <f t="shared" si="32"/>
        <v>72000</v>
      </c>
      <c r="AC28" s="126">
        <f t="shared" si="32"/>
        <v>72000</v>
      </c>
      <c r="AD28" s="126">
        <f t="shared" si="32"/>
        <v>65000</v>
      </c>
      <c r="AE28" s="126">
        <f t="shared" si="32"/>
        <v>73000</v>
      </c>
      <c r="AW28" s="196" t="s">
        <v>68</v>
      </c>
      <c r="AX28" s="204">
        <v>640</v>
      </c>
      <c r="AY28" s="204" t="s">
        <v>55</v>
      </c>
      <c r="AZ28" s="205" t="s">
        <v>71</v>
      </c>
      <c r="BB28" s="196" t="s">
        <v>68</v>
      </c>
      <c r="BC28" s="374">
        <f>380/0.648</f>
        <v>586.41975308641975</v>
      </c>
      <c r="BD28" s="204" t="s">
        <v>55</v>
      </c>
      <c r="BE28" s="205" t="s">
        <v>71</v>
      </c>
      <c r="BG28" s="374">
        <f>38*24*366/0.648/1000</f>
        <v>515.11111111111109</v>
      </c>
      <c r="BH28" s="204" t="s">
        <v>55</v>
      </c>
      <c r="BI28" s="494">
        <v>20</v>
      </c>
      <c r="BJ28" s="494">
        <v>18.5</v>
      </c>
      <c r="BK28" s="494">
        <v>22.5</v>
      </c>
      <c r="BR28" s="665">
        <v>20.2</v>
      </c>
      <c r="BS28" s="665">
        <f>BR28-BR20</f>
        <v>0.5</v>
      </c>
    </row>
    <row r="29" spans="1:90">
      <c r="Z29" s="206">
        <f t="shared" ref="Z29:AE29" si="33">Z26*720</f>
        <v>22320</v>
      </c>
      <c r="AA29" s="206">
        <f t="shared" si="33"/>
        <v>21600</v>
      </c>
      <c r="AB29" s="206">
        <f t="shared" si="33"/>
        <v>22320</v>
      </c>
      <c r="AC29" s="206">
        <f t="shared" si="33"/>
        <v>22320</v>
      </c>
      <c r="AD29" s="206">
        <f t="shared" si="33"/>
        <v>20160</v>
      </c>
      <c r="AE29" s="206">
        <f t="shared" si="33"/>
        <v>22320</v>
      </c>
      <c r="AS29" s="207"/>
      <c r="BI29" s="494">
        <v>40.002222222222223</v>
      </c>
      <c r="BJ29" s="494">
        <v>40.599629629629625</v>
      </c>
      <c r="BK29" s="494">
        <v>42</v>
      </c>
      <c r="BR29" s="126">
        <v>28.771200000000004</v>
      </c>
      <c r="BS29" s="688">
        <f>BR29-BR21</f>
        <v>1.8791999999999973</v>
      </c>
    </row>
    <row r="30" spans="1:90">
      <c r="Z30" s="206">
        <f t="shared" ref="Z30:AE30" si="34">Z28-Z29</f>
        <v>57680</v>
      </c>
      <c r="AA30" s="206">
        <f t="shared" si="34"/>
        <v>46400</v>
      </c>
      <c r="AB30" s="206">
        <f t="shared" si="34"/>
        <v>49680</v>
      </c>
      <c r="AC30" s="206">
        <f t="shared" si="34"/>
        <v>49680</v>
      </c>
      <c r="AD30" s="206">
        <f t="shared" si="34"/>
        <v>44840</v>
      </c>
      <c r="AE30" s="206">
        <f t="shared" si="34"/>
        <v>50680</v>
      </c>
      <c r="AM30" s="371">
        <v>16</v>
      </c>
      <c r="AN30" s="371"/>
      <c r="AO30" s="371"/>
      <c r="AP30" s="371"/>
      <c r="AQ30" s="371"/>
      <c r="AR30" s="371"/>
      <c r="AS30" s="371"/>
      <c r="AT30" s="371"/>
      <c r="AU30" s="371"/>
      <c r="AV30" s="371"/>
      <c r="AW30" s="371"/>
      <c r="AX30" s="371"/>
      <c r="AY30" s="371"/>
      <c r="AZ30" s="371"/>
      <c r="BA30" s="371"/>
      <c r="BB30" s="371"/>
      <c r="BC30" s="371"/>
      <c r="BD30" s="371"/>
      <c r="BE30" s="371"/>
      <c r="BF30" s="371"/>
      <c r="BG30" s="371"/>
      <c r="BH30" s="371"/>
      <c r="BI30" s="371"/>
      <c r="BJ30" s="371"/>
      <c r="BK30" s="371"/>
      <c r="BL30" s="371"/>
      <c r="BM30" s="371"/>
      <c r="BW30" s="492"/>
      <c r="BX30" s="492"/>
      <c r="BY30" s="556"/>
      <c r="BZ30" s="556"/>
      <c r="CA30" s="556"/>
      <c r="CB30" s="556"/>
      <c r="CC30" s="669"/>
      <c r="CD30" s="669"/>
      <c r="CE30" s="688"/>
      <c r="CF30" s="688"/>
      <c r="CG30" s="688"/>
      <c r="CH30" s="688"/>
    </row>
    <row r="31" spans="1:90">
      <c r="Z31" s="206">
        <v>80000</v>
      </c>
      <c r="AA31" s="206">
        <v>68000</v>
      </c>
      <c r="AB31" s="206">
        <v>72000</v>
      </c>
      <c r="AC31" s="206">
        <v>72000</v>
      </c>
      <c r="AD31" s="206">
        <v>65000</v>
      </c>
      <c r="AE31" s="206">
        <v>73000</v>
      </c>
      <c r="AX31" s="258" t="s">
        <v>148</v>
      </c>
      <c r="AY31" s="127">
        <v>77.541738095238088</v>
      </c>
      <c r="AZ31" s="127">
        <v>72.94177463254114</v>
      </c>
      <c r="BA31" s="127">
        <v>82.342019420294847</v>
      </c>
      <c r="BB31" s="127">
        <v>82.342019420294847</v>
      </c>
      <c r="BC31" s="127">
        <v>73.662688686701856</v>
      </c>
      <c r="BD31" s="127">
        <v>82.342019420294847</v>
      </c>
      <c r="BE31" s="127">
        <v>82.342019420294847</v>
      </c>
      <c r="BF31" s="127">
        <v>81.632019420294853</v>
      </c>
      <c r="BG31" s="127">
        <v>81.602019420294852</v>
      </c>
      <c r="BH31" s="127">
        <v>81.632019420294853</v>
      </c>
      <c r="BI31" s="127">
        <v>81.602019420294852</v>
      </c>
      <c r="BJ31" s="127">
        <v>81.632019420294853</v>
      </c>
      <c r="BK31" s="127">
        <v>81.632019420294853</v>
      </c>
      <c r="BL31" s="127">
        <v>81.632019420294853</v>
      </c>
      <c r="BM31" s="127">
        <v>81.632019420294853</v>
      </c>
      <c r="BN31" s="127">
        <v>81.632019420294853</v>
      </c>
      <c r="BO31" s="127">
        <v>81.632019420294853</v>
      </c>
      <c r="BP31" s="127">
        <v>81.632019420294853</v>
      </c>
      <c r="BQ31" s="127">
        <v>81.632019420294853</v>
      </c>
      <c r="BR31" s="127">
        <v>81.632019420294853</v>
      </c>
      <c r="BS31" s="127">
        <v>81.632019420294853</v>
      </c>
      <c r="BT31" s="127">
        <v>81.632019420294853</v>
      </c>
      <c r="BU31" s="127"/>
      <c r="BV31" s="127"/>
      <c r="BW31" s="127"/>
      <c r="BX31" s="127"/>
      <c r="BY31" s="127"/>
      <c r="BZ31" s="127"/>
      <c r="CA31" s="127"/>
      <c r="CB31" s="127"/>
      <c r="CC31" s="127"/>
      <c r="CD31" s="127"/>
      <c r="CE31" s="127"/>
      <c r="CF31" s="127"/>
      <c r="CG31" s="127"/>
      <c r="CH31" s="127"/>
    </row>
    <row r="32" spans="1:90">
      <c r="AM32" s="206"/>
      <c r="AN32" s="206"/>
      <c r="AO32" s="206"/>
      <c r="AP32" s="206"/>
      <c r="AQ32" s="206"/>
      <c r="AR32" s="206"/>
      <c r="AS32" s="206"/>
      <c r="AT32" s="206"/>
      <c r="AU32" s="206"/>
      <c r="AV32" s="206"/>
      <c r="AW32" s="206"/>
      <c r="AX32" s="258" t="s">
        <v>149</v>
      </c>
      <c r="AY32" s="127">
        <f>AY31-(50*AY4/1000)</f>
        <v>75.991738095238091</v>
      </c>
      <c r="AZ32" s="127">
        <f>AZ31-(50*AZ4/1000)</f>
        <v>71.491774632541137</v>
      </c>
      <c r="BA32" s="127">
        <f>BA31-(50*BA4/1000)</f>
        <v>80.792019420294849</v>
      </c>
      <c r="BB32" s="127">
        <f>BB31-(50*BB4/1000)</f>
        <v>80.842019420294847</v>
      </c>
      <c r="BC32" s="127">
        <f>BC31-(50*BC4/1000)</f>
        <v>72.112688686701858</v>
      </c>
      <c r="BD32" s="127">
        <f>BD31-(50*BD4/1000)</f>
        <v>80.842019420294847</v>
      </c>
      <c r="BE32" s="127">
        <f>BE31-(50*BE4/1000)</f>
        <v>80.792019420294849</v>
      </c>
      <c r="BF32" s="127">
        <f>BF31-(50*BF4/1000)</f>
        <v>80.082019420294856</v>
      </c>
      <c r="BG32" s="127">
        <f>BG31-(50*BG4/1000)</f>
        <v>80.102019420294852</v>
      </c>
      <c r="BH32" s="127">
        <f>BH31-(50*BH4/1000)</f>
        <v>80.082019420294856</v>
      </c>
      <c r="BI32" s="127">
        <f>BI31-(50*BI4/1000)</f>
        <v>80.102019420294852</v>
      </c>
      <c r="BJ32" s="127">
        <f>BJ31-(50*BJ4/1000)</f>
        <v>80.082019420294856</v>
      </c>
      <c r="BK32" s="127">
        <f>BK31-(50*BK4/1000)</f>
        <v>80.082019420294856</v>
      </c>
      <c r="BL32" s="127">
        <f>BL31-(50*BL4/1000)</f>
        <v>80.232019420294847</v>
      </c>
      <c r="BM32" s="127">
        <f>BM31-(50*BM4/1000)</f>
        <v>80.082019420294856</v>
      </c>
      <c r="BN32" s="127">
        <f>BN31-(50*BN4/1000)</f>
        <v>80.132019420294853</v>
      </c>
      <c r="BO32" s="127">
        <f>BO31-(50*BO4/1000)</f>
        <v>80.082019420294856</v>
      </c>
      <c r="BP32" s="127">
        <f>BP31-(50*BP4/1000)</f>
        <v>80.132019420294853</v>
      </c>
      <c r="BQ32" s="127">
        <f>BQ31-(50*BQ4/1000)</f>
        <v>80.082019420294856</v>
      </c>
      <c r="BR32" s="127">
        <f>BR31-(50*BR4/1000)</f>
        <v>80.082019420294856</v>
      </c>
      <c r="BS32" s="127">
        <f>BS31-(50*BS4/1000)</f>
        <v>80.132019420294853</v>
      </c>
      <c r="BT32" s="127">
        <f>BT31-(50*BT4/1000)</f>
        <v>80.082019420294856</v>
      </c>
      <c r="BU32" s="127"/>
      <c r="BV32" s="127"/>
      <c r="BW32" s="127"/>
      <c r="BX32" s="127"/>
      <c r="BY32" s="127"/>
      <c r="BZ32" s="127"/>
      <c r="CA32" s="127"/>
      <c r="CB32" s="127"/>
      <c r="CC32" s="127"/>
      <c r="CD32" s="127"/>
      <c r="CE32" s="127"/>
      <c r="CF32" s="127"/>
      <c r="CG32" s="127"/>
      <c r="CH32" s="127"/>
      <c r="CI32" s="208"/>
    </row>
    <row r="33" spans="39:87">
      <c r="AM33" s="206"/>
      <c r="AN33" s="206"/>
      <c r="AO33" s="206"/>
      <c r="AP33" s="206"/>
      <c r="AQ33" s="206"/>
      <c r="AR33" s="206"/>
      <c r="AS33" s="206"/>
      <c r="AT33" s="206"/>
      <c r="AU33" s="206"/>
      <c r="AV33" s="206"/>
      <c r="AW33" s="206"/>
      <c r="AX33" s="206"/>
      <c r="AY33" s="206"/>
      <c r="AZ33" s="206"/>
      <c r="BA33" s="206"/>
      <c r="BB33" s="206"/>
      <c r="BC33" s="206"/>
      <c r="BD33" s="206"/>
      <c r="BE33" s="206"/>
      <c r="BF33" s="206"/>
      <c r="BG33" s="206"/>
      <c r="BH33" s="206"/>
      <c r="BI33" s="206"/>
      <c r="BJ33" s="206"/>
      <c r="BK33" s="206"/>
      <c r="BL33" s="206"/>
      <c r="BM33" s="206"/>
      <c r="BN33" s="206"/>
      <c r="BO33" s="206"/>
      <c r="BP33" s="206"/>
      <c r="BQ33" s="206"/>
      <c r="BR33" s="206"/>
      <c r="BS33" s="206"/>
      <c r="BT33" s="206"/>
      <c r="BU33" s="206"/>
      <c r="BV33" s="206"/>
      <c r="BW33" s="206"/>
      <c r="BX33" s="206"/>
      <c r="BY33" s="206"/>
      <c r="BZ33" s="206"/>
      <c r="CA33" s="206"/>
      <c r="CB33" s="206"/>
      <c r="CC33" s="206"/>
      <c r="CD33" s="206"/>
      <c r="CE33" s="206"/>
      <c r="CF33" s="206"/>
      <c r="CG33" s="206"/>
      <c r="CH33" s="206"/>
      <c r="CI33" s="208"/>
    </row>
    <row r="34" spans="39:87">
      <c r="AT34" s="206"/>
      <c r="AU34" s="206"/>
      <c r="AV34" s="206"/>
      <c r="AW34" s="206"/>
      <c r="AX34" s="206"/>
      <c r="AY34" s="206"/>
      <c r="BK34" s="532"/>
      <c r="BL34" s="532"/>
      <c r="BM34" s="532"/>
      <c r="BN34" s="532"/>
      <c r="BO34" s="532"/>
      <c r="BP34" s="532"/>
      <c r="BQ34" s="669">
        <f>(BQ8*1000)/24/BQ4</f>
        <v>51.075268817204297</v>
      </c>
    </row>
    <row r="35" spans="39:87">
      <c r="AM35" s="206"/>
      <c r="AN35" s="206"/>
      <c r="AO35" s="206"/>
      <c r="AP35" s="206"/>
      <c r="AQ35" s="206"/>
      <c r="AR35" s="206"/>
      <c r="AS35" s="206"/>
      <c r="AT35" s="206"/>
      <c r="AU35" s="206"/>
      <c r="AV35" s="206"/>
      <c r="AW35" s="206"/>
      <c r="AX35" s="206"/>
      <c r="AY35" s="127">
        <f>15/0.648</f>
        <v>23.148148148148149</v>
      </c>
      <c r="AZ35" s="206"/>
      <c r="BA35" s="206"/>
      <c r="BB35" s="206"/>
      <c r="BC35" s="206"/>
      <c r="BD35" s="206"/>
      <c r="BE35" s="206"/>
      <c r="BF35" s="206"/>
      <c r="BG35" s="206"/>
      <c r="BH35" s="206"/>
      <c r="BI35" s="206"/>
      <c r="BJ35" s="206"/>
      <c r="BK35" s="206"/>
      <c r="BL35" s="206"/>
      <c r="BM35" s="206"/>
      <c r="BN35" s="206"/>
      <c r="BO35" s="206"/>
      <c r="BP35" s="206"/>
      <c r="BQ35" s="206"/>
      <c r="BR35" s="206"/>
      <c r="BS35" s="206"/>
      <c r="BT35" s="206"/>
      <c r="BU35" s="206"/>
      <c r="BV35" s="206"/>
      <c r="BW35" s="206"/>
      <c r="BX35" s="206"/>
      <c r="BY35" s="206"/>
      <c r="BZ35" s="206"/>
      <c r="CA35" s="206"/>
      <c r="CB35" s="206"/>
      <c r="CC35" s="206"/>
      <c r="CD35" s="206"/>
      <c r="CE35" s="206"/>
      <c r="CF35" s="206"/>
      <c r="CG35" s="206"/>
      <c r="CH35" s="206"/>
    </row>
    <row r="36" spans="39:87">
      <c r="AY36" s="371">
        <f>AY7-AY35</f>
        <v>6.1728395061728385</v>
      </c>
      <c r="BK36" s="533"/>
      <c r="BL36" s="533"/>
      <c r="BM36" s="533"/>
      <c r="BN36" s="533"/>
      <c r="BO36" s="533"/>
      <c r="BP36" s="533"/>
      <c r="BQ36" s="483"/>
      <c r="BR36" s="483"/>
      <c r="BS36" s="483"/>
      <c r="BT36" s="483"/>
      <c r="BU36" s="483"/>
      <c r="BV36" s="483"/>
      <c r="BW36" s="492"/>
      <c r="BX36" s="492"/>
      <c r="BY36" s="556"/>
      <c r="BZ36" s="556"/>
      <c r="CA36" s="556"/>
      <c r="CB36" s="556"/>
      <c r="CC36" s="669"/>
      <c r="CD36" s="669"/>
      <c r="CE36" s="688"/>
      <c r="CF36" s="688"/>
      <c r="CG36" s="688"/>
      <c r="CH36" s="688"/>
    </row>
    <row r="37" spans="39:87">
      <c r="BK37" s="483"/>
      <c r="BL37" s="483"/>
      <c r="BM37" s="483"/>
      <c r="BN37" s="483"/>
      <c r="BO37" s="483"/>
      <c r="BP37" s="483"/>
      <c r="BQ37" s="483"/>
      <c r="BR37" s="483"/>
      <c r="BS37" s="483"/>
      <c r="BT37" s="483"/>
      <c r="BU37" s="208"/>
      <c r="BV37" s="483"/>
      <c r="BW37" s="492"/>
      <c r="BX37" s="492"/>
      <c r="BY37" s="556"/>
      <c r="BZ37" s="556"/>
      <c r="CA37" s="556"/>
      <c r="CB37" s="556"/>
      <c r="CC37" s="669"/>
      <c r="CD37" s="669"/>
      <c r="CE37" s="688"/>
      <c r="CF37" s="688"/>
      <c r="CG37" s="688"/>
      <c r="CH37" s="688"/>
    </row>
    <row r="38" spans="39:87">
      <c r="AM38" s="206"/>
      <c r="AN38" s="206"/>
      <c r="AO38" s="206"/>
      <c r="AP38" s="206"/>
      <c r="AQ38" s="206"/>
      <c r="AR38" s="206"/>
      <c r="AS38" s="206"/>
      <c r="AT38" s="206"/>
      <c r="AU38" s="206"/>
      <c r="AV38" s="206"/>
      <c r="AW38" s="206"/>
      <c r="AX38" s="206"/>
      <c r="AY38" s="206"/>
      <c r="AZ38" s="206"/>
      <c r="BA38" s="206"/>
      <c r="BB38" s="206"/>
      <c r="BC38" s="206"/>
      <c r="BD38" s="206"/>
      <c r="BE38" s="206"/>
      <c r="BF38" s="206"/>
      <c r="BG38" s="206"/>
      <c r="BH38" s="206"/>
      <c r="BI38" s="206"/>
      <c r="BJ38" s="206"/>
      <c r="BK38" s="206"/>
      <c r="BL38" s="206"/>
      <c r="BM38" s="206"/>
      <c r="BN38" s="206"/>
      <c r="BO38" s="206"/>
      <c r="BP38" s="206"/>
      <c r="BQ38" s="206"/>
      <c r="BR38" s="206"/>
      <c r="BS38" s="206"/>
      <c r="BT38" s="206"/>
      <c r="BU38" s="206"/>
      <c r="BV38" s="206"/>
      <c r="BW38" s="206"/>
      <c r="BX38" s="206"/>
      <c r="BY38" s="206"/>
      <c r="BZ38" s="206"/>
      <c r="CA38" s="206"/>
      <c r="CB38" s="206"/>
      <c r="CC38" s="206"/>
      <c r="CD38" s="206"/>
      <c r="CE38" s="206"/>
      <c r="CF38" s="206"/>
      <c r="CG38" s="206"/>
      <c r="CH38" s="206"/>
      <c r="CI38" s="208"/>
    </row>
  </sheetData>
  <mergeCells count="3">
    <mergeCell ref="A3:B3"/>
    <mergeCell ref="A7:A10"/>
    <mergeCell ref="A12:A13"/>
  </mergeCells>
  <conditionalFormatting sqref="CM7">
    <cfRule type="cellIs" dxfId="0" priority="2" operator="lessThan">
      <formula>250</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8"/>
  <sheetViews>
    <sheetView topLeftCell="A64" zoomScale="85" zoomScaleNormal="85" workbookViewId="0">
      <selection activeCell="L86" sqref="L86"/>
    </sheetView>
  </sheetViews>
  <sheetFormatPr defaultRowHeight="14.5"/>
  <cols>
    <col min="1" max="1" width="16.453125" customWidth="1"/>
    <col min="15" max="15" width="13.36328125" bestFit="1" customWidth="1"/>
  </cols>
  <sheetData>
    <row r="1" spans="1:13" ht="23.5">
      <c r="A1" s="715" t="s">
        <v>312</v>
      </c>
    </row>
    <row r="2" spans="1:13">
      <c r="A2" s="1" t="s">
        <v>313</v>
      </c>
      <c r="B2" s="2">
        <v>31</v>
      </c>
      <c r="C2" s="2">
        <v>28</v>
      </c>
      <c r="D2" s="2">
        <v>31</v>
      </c>
      <c r="E2" s="2">
        <v>30</v>
      </c>
      <c r="F2" s="2">
        <v>31</v>
      </c>
      <c r="G2" s="2">
        <v>30</v>
      </c>
      <c r="H2" s="2">
        <v>31</v>
      </c>
      <c r="I2" s="2">
        <v>31</v>
      </c>
      <c r="J2" s="2">
        <v>30</v>
      </c>
      <c r="K2" s="2">
        <v>31</v>
      </c>
      <c r="L2" s="2">
        <v>30</v>
      </c>
      <c r="M2" s="2">
        <v>31</v>
      </c>
    </row>
    <row r="3" spans="1:13">
      <c r="A3" s="702" t="s">
        <v>314</v>
      </c>
      <c r="B3" s="716">
        <v>44562</v>
      </c>
      <c r="C3" s="716">
        <v>44593</v>
      </c>
      <c r="D3" s="716">
        <v>44621</v>
      </c>
      <c r="E3" s="716">
        <v>44652</v>
      </c>
      <c r="F3" s="716">
        <v>44682</v>
      </c>
      <c r="G3" s="716">
        <v>44713</v>
      </c>
      <c r="H3" s="716">
        <v>44743</v>
      </c>
      <c r="I3" s="822">
        <v>44774</v>
      </c>
      <c r="J3" s="716">
        <v>44805</v>
      </c>
      <c r="K3" s="716">
        <v>44835</v>
      </c>
      <c r="L3" s="716">
        <v>44866</v>
      </c>
      <c r="M3" s="716">
        <v>44896</v>
      </c>
    </row>
    <row r="4" spans="1:13" ht="14" customHeight="1">
      <c r="A4" s="702" t="s">
        <v>315</v>
      </c>
      <c r="B4" s="717"/>
      <c r="C4" s="717"/>
      <c r="D4" s="717"/>
      <c r="E4" s="717"/>
      <c r="F4" s="717"/>
      <c r="G4" s="717"/>
      <c r="H4" s="718"/>
      <c r="I4" s="718" t="s">
        <v>316</v>
      </c>
      <c r="J4" s="718"/>
      <c r="K4" s="717"/>
      <c r="L4" s="717"/>
      <c r="M4" s="717"/>
    </row>
    <row r="5" spans="1:13">
      <c r="A5" s="702" t="s">
        <v>317</v>
      </c>
      <c r="B5" s="717"/>
      <c r="C5" s="717"/>
      <c r="D5" s="717"/>
      <c r="E5" s="717"/>
      <c r="F5" s="717"/>
      <c r="G5" s="717"/>
      <c r="H5" s="719"/>
      <c r="I5" s="719">
        <v>18</v>
      </c>
      <c r="J5" s="719"/>
      <c r="K5" s="717"/>
      <c r="L5" s="717"/>
      <c r="M5" s="717"/>
    </row>
    <row r="6" spans="1:13">
      <c r="A6" s="702" t="s">
        <v>318</v>
      </c>
      <c r="B6" s="720">
        <v>32550</v>
      </c>
      <c r="C6" s="720">
        <v>29400</v>
      </c>
      <c r="D6" s="720">
        <v>32550</v>
      </c>
      <c r="E6" s="720">
        <v>31500</v>
      </c>
      <c r="F6" s="720">
        <v>32550</v>
      </c>
      <c r="G6" s="720">
        <v>31500</v>
      </c>
      <c r="H6" s="721">
        <v>32550</v>
      </c>
      <c r="I6" s="722">
        <v>13650</v>
      </c>
      <c r="J6" s="721">
        <v>31500</v>
      </c>
      <c r="K6" s="720">
        <v>32550</v>
      </c>
      <c r="L6" s="720">
        <v>31500</v>
      </c>
      <c r="M6" s="720">
        <v>32550</v>
      </c>
    </row>
    <row r="7" spans="1:13">
      <c r="A7" s="723" t="s">
        <v>249</v>
      </c>
      <c r="B7" s="724">
        <f>B6/B2</f>
        <v>1050</v>
      </c>
      <c r="C7" s="724">
        <f t="shared" ref="C7:M7" si="0">C6/C2</f>
        <v>1050</v>
      </c>
      <c r="D7" s="724">
        <f t="shared" si="0"/>
        <v>1050</v>
      </c>
      <c r="E7" s="724">
        <f t="shared" si="0"/>
        <v>1050</v>
      </c>
      <c r="F7" s="724">
        <f t="shared" si="0"/>
        <v>1050</v>
      </c>
      <c r="G7" s="724">
        <f t="shared" si="0"/>
        <v>1050</v>
      </c>
      <c r="H7" s="724">
        <f t="shared" si="0"/>
        <v>1050</v>
      </c>
      <c r="I7" s="724">
        <f>I6/(I2-18)</f>
        <v>1050</v>
      </c>
      <c r="J7" s="724">
        <f t="shared" si="0"/>
        <v>1050</v>
      </c>
      <c r="K7" s="724">
        <f t="shared" si="0"/>
        <v>1050</v>
      </c>
      <c r="L7" s="724">
        <f t="shared" si="0"/>
        <v>1050</v>
      </c>
      <c r="M7" s="724">
        <f t="shared" si="0"/>
        <v>1050</v>
      </c>
    </row>
    <row r="8" spans="1:13">
      <c r="B8" s="802">
        <f>B6/1000</f>
        <v>32.549999999999997</v>
      </c>
      <c r="C8" s="802">
        <f t="shared" ref="C8:M8" si="1">C6/1000</f>
        <v>29.4</v>
      </c>
      <c r="D8" s="802">
        <f t="shared" si="1"/>
        <v>32.549999999999997</v>
      </c>
      <c r="E8" s="802">
        <f t="shared" si="1"/>
        <v>31.5</v>
      </c>
      <c r="F8" s="802">
        <f t="shared" si="1"/>
        <v>32.549999999999997</v>
      </c>
      <c r="G8" s="802">
        <f t="shared" si="1"/>
        <v>31.5</v>
      </c>
      <c r="H8" s="802">
        <f t="shared" si="1"/>
        <v>32.549999999999997</v>
      </c>
      <c r="I8" s="802">
        <f t="shared" si="1"/>
        <v>13.65</v>
      </c>
      <c r="J8" s="802">
        <f t="shared" si="1"/>
        <v>31.5</v>
      </c>
      <c r="K8" s="802">
        <f t="shared" si="1"/>
        <v>32.549999999999997</v>
      </c>
      <c r="L8" s="802">
        <f t="shared" si="1"/>
        <v>31.5</v>
      </c>
      <c r="M8" s="802">
        <f t="shared" si="1"/>
        <v>32.549999999999997</v>
      </c>
    </row>
    <row r="9" spans="1:13">
      <c r="A9" s="1" t="s">
        <v>319</v>
      </c>
      <c r="B9" s="2"/>
      <c r="C9" s="2"/>
      <c r="D9" s="2"/>
      <c r="E9" s="2"/>
      <c r="F9" s="2"/>
      <c r="G9" s="2"/>
      <c r="H9" s="2"/>
      <c r="I9" s="2"/>
      <c r="J9" s="2"/>
      <c r="K9" s="2"/>
      <c r="L9" s="2"/>
      <c r="M9" s="2"/>
    </row>
    <row r="10" spans="1:13">
      <c r="A10" s="702" t="s">
        <v>314</v>
      </c>
      <c r="B10" s="717">
        <v>2023</v>
      </c>
      <c r="C10" s="717">
        <v>2024</v>
      </c>
      <c r="D10" s="717">
        <v>2025</v>
      </c>
      <c r="E10" s="717">
        <v>2026</v>
      </c>
      <c r="F10" s="717">
        <v>2027</v>
      </c>
      <c r="G10" s="717">
        <v>2028</v>
      </c>
      <c r="H10" s="717">
        <v>2029</v>
      </c>
      <c r="I10" s="717">
        <v>2030</v>
      </c>
      <c r="J10" s="717">
        <v>2031</v>
      </c>
      <c r="K10" s="717">
        <v>2032</v>
      </c>
      <c r="L10" s="2"/>
      <c r="M10" s="2"/>
    </row>
    <row r="11" spans="1:13">
      <c r="A11" s="702" t="s">
        <v>315</v>
      </c>
      <c r="B11" s="717" t="s">
        <v>320</v>
      </c>
      <c r="C11" s="717" t="s">
        <v>320</v>
      </c>
      <c r="D11" s="717" t="s">
        <v>320</v>
      </c>
      <c r="E11" s="717" t="s">
        <v>320</v>
      </c>
      <c r="F11" s="717" t="s">
        <v>320</v>
      </c>
      <c r="G11" s="717" t="s">
        <v>320</v>
      </c>
      <c r="H11" s="717" t="s">
        <v>320</v>
      </c>
      <c r="I11" s="717" t="s">
        <v>320</v>
      </c>
      <c r="J11" s="717" t="s">
        <v>320</v>
      </c>
      <c r="K11" s="717" t="s">
        <v>320</v>
      </c>
      <c r="L11" s="2"/>
      <c r="M11" s="2"/>
    </row>
    <row r="12" spans="1:13">
      <c r="A12" s="702" t="s">
        <v>317</v>
      </c>
      <c r="B12" s="717">
        <v>40</v>
      </c>
      <c r="C12" s="717">
        <v>18</v>
      </c>
      <c r="D12" s="717">
        <v>40</v>
      </c>
      <c r="E12" s="717">
        <v>18</v>
      </c>
      <c r="F12" s="717">
        <v>40</v>
      </c>
      <c r="G12" s="717">
        <v>18</v>
      </c>
      <c r="H12" s="717">
        <v>40</v>
      </c>
      <c r="I12" s="717">
        <v>18</v>
      </c>
      <c r="J12" s="717">
        <v>40</v>
      </c>
      <c r="K12" s="717">
        <v>18</v>
      </c>
      <c r="L12" s="2"/>
      <c r="M12" s="2"/>
    </row>
    <row r="13" spans="1:13">
      <c r="A13" s="702" t="s">
        <v>318</v>
      </c>
      <c r="B13" s="720">
        <v>341250</v>
      </c>
      <c r="C13" s="720">
        <v>365400</v>
      </c>
      <c r="D13" s="720">
        <v>341250</v>
      </c>
      <c r="E13" s="720">
        <v>364350</v>
      </c>
      <c r="F13" s="720">
        <v>341250</v>
      </c>
      <c r="G13" s="720">
        <v>365400</v>
      </c>
      <c r="H13" s="720">
        <v>341250</v>
      </c>
      <c r="I13" s="720">
        <v>364350</v>
      </c>
      <c r="J13" s="720">
        <v>341250</v>
      </c>
      <c r="K13" s="720">
        <v>365400</v>
      </c>
      <c r="L13" s="2"/>
      <c r="M13" s="2"/>
    </row>
    <row r="14" spans="1:13">
      <c r="A14" s="723" t="s">
        <v>321</v>
      </c>
      <c r="B14" s="725">
        <f t="shared" ref="B14:K14" si="2">B13/10^6</f>
        <v>0.34125</v>
      </c>
      <c r="C14" s="725">
        <f t="shared" si="2"/>
        <v>0.3654</v>
      </c>
      <c r="D14" s="725">
        <f t="shared" si="2"/>
        <v>0.34125</v>
      </c>
      <c r="E14" s="725">
        <f t="shared" si="2"/>
        <v>0.36435000000000001</v>
      </c>
      <c r="F14" s="725">
        <f t="shared" si="2"/>
        <v>0.34125</v>
      </c>
      <c r="G14" s="725">
        <f t="shared" si="2"/>
        <v>0.3654</v>
      </c>
      <c r="H14" s="725">
        <f t="shared" si="2"/>
        <v>0.34125</v>
      </c>
      <c r="I14" s="725">
        <f t="shared" si="2"/>
        <v>0.36435000000000001</v>
      </c>
      <c r="J14" s="725">
        <f t="shared" si="2"/>
        <v>0.34125</v>
      </c>
      <c r="K14" s="725">
        <f t="shared" si="2"/>
        <v>0.3654</v>
      </c>
    </row>
    <row r="15" spans="1:13" ht="29">
      <c r="B15" s="726" t="s">
        <v>322</v>
      </c>
      <c r="C15" s="726" t="s">
        <v>323</v>
      </c>
      <c r="D15" s="726"/>
      <c r="E15" s="726" t="s">
        <v>323</v>
      </c>
      <c r="F15" s="726"/>
      <c r="G15" s="726"/>
      <c r="H15" s="726" t="s">
        <v>323</v>
      </c>
      <c r="I15" s="726"/>
      <c r="J15" s="726" t="s">
        <v>323</v>
      </c>
      <c r="K15" s="726"/>
    </row>
    <row r="19" spans="1:15" ht="23.5">
      <c r="A19" s="715" t="s">
        <v>362</v>
      </c>
    </row>
    <row r="20" spans="1:15" ht="24" thickBot="1">
      <c r="A20" s="715"/>
      <c r="B20">
        <f>B22/24/B2</f>
        <v>15</v>
      </c>
      <c r="C20">
        <f t="shared" ref="C20:M20" si="3">C22/24/C2</f>
        <v>15</v>
      </c>
      <c r="D20">
        <f t="shared" si="3"/>
        <v>15</v>
      </c>
      <c r="E20">
        <f t="shared" si="3"/>
        <v>15</v>
      </c>
      <c r="F20">
        <f t="shared" si="3"/>
        <v>15</v>
      </c>
      <c r="G20">
        <f t="shared" si="3"/>
        <v>15</v>
      </c>
      <c r="H20">
        <f t="shared" si="3"/>
        <v>15</v>
      </c>
      <c r="I20">
        <f t="shared" si="3"/>
        <v>15</v>
      </c>
      <c r="J20">
        <f t="shared" si="3"/>
        <v>15</v>
      </c>
      <c r="K20">
        <f t="shared" si="3"/>
        <v>15</v>
      </c>
      <c r="L20">
        <f t="shared" si="3"/>
        <v>15</v>
      </c>
      <c r="M20">
        <f t="shared" si="3"/>
        <v>24.79032258064516</v>
      </c>
    </row>
    <row r="21" spans="1:15" ht="15" thickBot="1">
      <c r="A21" s="727" t="s">
        <v>324</v>
      </c>
      <c r="B21" s="728">
        <v>44562</v>
      </c>
      <c r="C21" s="728">
        <v>44593</v>
      </c>
      <c r="D21" s="728">
        <v>44621</v>
      </c>
      <c r="E21" s="728">
        <v>44652</v>
      </c>
      <c r="F21" s="728">
        <v>44682</v>
      </c>
      <c r="G21" s="728">
        <v>44713</v>
      </c>
      <c r="H21" s="728">
        <v>44743</v>
      </c>
      <c r="I21" s="728">
        <v>44774</v>
      </c>
      <c r="J21" s="728">
        <v>44805</v>
      </c>
      <c r="K21" s="728">
        <v>44835</v>
      </c>
      <c r="L21" s="728">
        <v>44866</v>
      </c>
      <c r="M21" s="728">
        <v>44896</v>
      </c>
      <c r="N21" s="729" t="s">
        <v>325</v>
      </c>
    </row>
    <row r="22" spans="1:15" ht="15" thickBot="1">
      <c r="A22" s="730" t="s">
        <v>78</v>
      </c>
      <c r="B22" s="731">
        <v>11160</v>
      </c>
      <c r="C22" s="731">
        <v>10080</v>
      </c>
      <c r="D22" s="731">
        <v>11160</v>
      </c>
      <c r="E22" s="731">
        <v>10800</v>
      </c>
      <c r="F22" s="731">
        <v>11160</v>
      </c>
      <c r="G22" s="731">
        <v>10800</v>
      </c>
      <c r="H22" s="731">
        <v>11160</v>
      </c>
      <c r="I22" s="731">
        <v>11160</v>
      </c>
      <c r="J22" s="731">
        <v>10800</v>
      </c>
      <c r="K22" s="731">
        <v>11160</v>
      </c>
      <c r="L22" s="731">
        <v>10800</v>
      </c>
      <c r="M22" s="731">
        <v>18444</v>
      </c>
      <c r="N22" s="731" t="s">
        <v>326</v>
      </c>
      <c r="O22" s="209">
        <f>SUM(B22:M22)</f>
        <v>138684</v>
      </c>
    </row>
    <row r="23" spans="1:15" ht="15" thickBot="1">
      <c r="A23" s="732"/>
      <c r="B23" s="733">
        <f>B22/1000</f>
        <v>11.16</v>
      </c>
      <c r="C23" s="733">
        <f t="shared" ref="C23:M23" si="4">C22/1000</f>
        <v>10.08</v>
      </c>
      <c r="D23" s="733">
        <f t="shared" si="4"/>
        <v>11.16</v>
      </c>
      <c r="E23" s="733">
        <f t="shared" si="4"/>
        <v>10.8</v>
      </c>
      <c r="F23" s="733">
        <f t="shared" si="4"/>
        <v>11.16</v>
      </c>
      <c r="G23" s="733">
        <f t="shared" si="4"/>
        <v>10.8</v>
      </c>
      <c r="H23" s="733">
        <f t="shared" si="4"/>
        <v>11.16</v>
      </c>
      <c r="I23" s="733">
        <f t="shared" si="4"/>
        <v>11.16</v>
      </c>
      <c r="J23" s="733">
        <f t="shared" si="4"/>
        <v>10.8</v>
      </c>
      <c r="K23" s="733">
        <f t="shared" si="4"/>
        <v>11.16</v>
      </c>
      <c r="L23" s="733">
        <f t="shared" si="4"/>
        <v>10.8</v>
      </c>
      <c r="M23" s="733">
        <f t="shared" si="4"/>
        <v>18.443999999999999</v>
      </c>
      <c r="O23" s="209"/>
    </row>
    <row r="24" spans="1:15" ht="15" thickBot="1">
      <c r="A24" s="727" t="s">
        <v>324</v>
      </c>
      <c r="B24" s="728">
        <v>44562</v>
      </c>
      <c r="C24" s="728">
        <v>44593</v>
      </c>
      <c r="D24" s="728">
        <v>44621</v>
      </c>
      <c r="E24" s="728">
        <v>44652</v>
      </c>
      <c r="F24" s="728">
        <v>44682</v>
      </c>
      <c r="G24" s="728">
        <v>44713</v>
      </c>
      <c r="H24" s="728">
        <v>44743</v>
      </c>
      <c r="I24" s="728">
        <v>44774</v>
      </c>
      <c r="J24" s="728">
        <v>44805</v>
      </c>
      <c r="K24" s="728">
        <v>44835</v>
      </c>
      <c r="L24" s="728">
        <v>44866</v>
      </c>
      <c r="M24" s="728">
        <v>44896</v>
      </c>
      <c r="N24" s="729" t="s">
        <v>325</v>
      </c>
      <c r="O24" s="209"/>
    </row>
    <row r="25" spans="1:15" ht="15" thickBot="1">
      <c r="A25" s="730" t="s">
        <v>87</v>
      </c>
      <c r="B25" s="734">
        <v>13481</v>
      </c>
      <c r="C25" s="734">
        <v>12177</v>
      </c>
      <c r="D25" s="734">
        <v>13481</v>
      </c>
      <c r="E25" s="734">
        <v>13046</v>
      </c>
      <c r="F25" s="734">
        <v>13481</v>
      </c>
      <c r="G25" s="734">
        <v>13046</v>
      </c>
      <c r="H25" s="734">
        <v>13481</v>
      </c>
      <c r="I25" s="734">
        <v>13481</v>
      </c>
      <c r="J25" s="734">
        <v>13046</v>
      </c>
      <c r="K25" s="734">
        <v>10800</v>
      </c>
      <c r="L25" s="734">
        <v>10800</v>
      </c>
      <c r="M25" s="734">
        <v>10800</v>
      </c>
      <c r="N25" s="731" t="s">
        <v>327</v>
      </c>
      <c r="O25" s="209">
        <f>SUM(B25:M25)</f>
        <v>151120</v>
      </c>
    </row>
    <row r="26" spans="1:15" ht="15" thickBot="1">
      <c r="B26" s="735">
        <f>B25/1000</f>
        <v>13.481</v>
      </c>
      <c r="C26" s="735">
        <f t="shared" ref="C26:M26" si="5">C25/1000</f>
        <v>12.177</v>
      </c>
      <c r="D26" s="735">
        <f t="shared" si="5"/>
        <v>13.481</v>
      </c>
      <c r="E26" s="735">
        <f t="shared" si="5"/>
        <v>13.045999999999999</v>
      </c>
      <c r="F26" s="735">
        <f t="shared" si="5"/>
        <v>13.481</v>
      </c>
      <c r="G26" s="735">
        <f t="shared" si="5"/>
        <v>13.045999999999999</v>
      </c>
      <c r="H26" s="735">
        <f t="shared" si="5"/>
        <v>13.481</v>
      </c>
      <c r="I26" s="735">
        <f t="shared" si="5"/>
        <v>13.481</v>
      </c>
      <c r="J26" s="735">
        <f t="shared" si="5"/>
        <v>13.045999999999999</v>
      </c>
      <c r="K26" s="735">
        <f t="shared" si="5"/>
        <v>10.8</v>
      </c>
      <c r="L26" s="735">
        <f t="shared" si="5"/>
        <v>10.8</v>
      </c>
      <c r="M26" s="735">
        <f t="shared" si="5"/>
        <v>10.8</v>
      </c>
      <c r="O26" s="209"/>
    </row>
    <row r="27" spans="1:15" ht="15" thickBot="1">
      <c r="A27" s="736" t="s">
        <v>324</v>
      </c>
      <c r="B27" s="737">
        <v>44562</v>
      </c>
      <c r="C27" s="737">
        <v>44593</v>
      </c>
      <c r="D27" s="737">
        <v>44621</v>
      </c>
      <c r="E27" s="737">
        <v>44652</v>
      </c>
      <c r="F27" s="737">
        <v>44682</v>
      </c>
      <c r="G27" s="737">
        <v>44713</v>
      </c>
      <c r="H27" s="737">
        <v>44743</v>
      </c>
      <c r="I27" s="737">
        <v>44774</v>
      </c>
      <c r="J27" s="737">
        <v>44805</v>
      </c>
      <c r="K27" s="737">
        <v>44835</v>
      </c>
      <c r="L27" s="737">
        <v>44866</v>
      </c>
      <c r="M27" s="737">
        <v>44896</v>
      </c>
      <c r="N27" s="738" t="s">
        <v>325</v>
      </c>
      <c r="O27" s="209"/>
    </row>
    <row r="28" spans="1:15" ht="15" thickBot="1">
      <c r="A28" s="739" t="s">
        <v>328</v>
      </c>
      <c r="B28" s="734">
        <f>B38</f>
        <v>2436.733337846068</v>
      </c>
      <c r="C28" s="734">
        <f t="shared" ref="C28:M28" si="6">C38</f>
        <v>2374.859709115186</v>
      </c>
      <c r="D28" s="734">
        <f t="shared" si="6"/>
        <v>2453.1887453169184</v>
      </c>
      <c r="E28" s="734">
        <f t="shared" si="6"/>
        <v>2421.1823533909301</v>
      </c>
      <c r="F28" s="734">
        <f t="shared" si="6"/>
        <v>8029.8390396819286</v>
      </c>
      <c r="G28" s="734">
        <f t="shared" si="6"/>
        <v>4284.294517929502</v>
      </c>
      <c r="H28" s="734">
        <f t="shared" si="6"/>
        <v>4427.1043351938206</v>
      </c>
      <c r="I28" s="734">
        <f t="shared" si="6"/>
        <v>5356.7544919336324</v>
      </c>
      <c r="J28" s="734">
        <f t="shared" si="6"/>
        <v>2707.962994112695</v>
      </c>
      <c r="K28" s="734">
        <f t="shared" si="6"/>
        <v>2798.2284272497818</v>
      </c>
      <c r="L28" s="734">
        <f t="shared" si="6"/>
        <v>0</v>
      </c>
      <c r="M28" s="734">
        <f t="shared" si="6"/>
        <v>14568</v>
      </c>
      <c r="N28" s="740">
        <f>SUM(B28:M28)</f>
        <v>51858.147951770457</v>
      </c>
      <c r="O28" s="209">
        <f>SUM(B28:M28)</f>
        <v>51858.147951770457</v>
      </c>
    </row>
    <row r="29" spans="1:15" ht="15" thickBot="1">
      <c r="B29" s="735">
        <f>B28/1000</f>
        <v>2.4367333378460678</v>
      </c>
      <c r="C29" s="735">
        <f t="shared" ref="C29:M29" si="7">C28/1000</f>
        <v>2.374859709115186</v>
      </c>
      <c r="D29" s="735">
        <f t="shared" si="7"/>
        <v>2.4531887453169183</v>
      </c>
      <c r="E29" s="735">
        <f t="shared" si="7"/>
        <v>2.4211823533909302</v>
      </c>
      <c r="F29" s="735">
        <f t="shared" si="7"/>
        <v>8.0298390396819279</v>
      </c>
      <c r="G29" s="735">
        <f t="shared" si="7"/>
        <v>4.284294517929502</v>
      </c>
      <c r="H29" s="735">
        <f t="shared" si="7"/>
        <v>4.4271043351938202</v>
      </c>
      <c r="I29" s="735">
        <f t="shared" si="7"/>
        <v>5.3567544919336321</v>
      </c>
      <c r="J29" s="735">
        <f t="shared" si="7"/>
        <v>2.707962994112695</v>
      </c>
      <c r="K29" s="735">
        <f t="shared" si="7"/>
        <v>2.7982284272497817</v>
      </c>
      <c r="L29" s="735">
        <f t="shared" si="7"/>
        <v>0</v>
      </c>
      <c r="M29" s="735">
        <f t="shared" si="7"/>
        <v>14.568</v>
      </c>
      <c r="O29" s="209"/>
    </row>
    <row r="30" spans="1:15" ht="15" thickBot="1">
      <c r="A30" s="736" t="s">
        <v>324</v>
      </c>
      <c r="B30" s="737">
        <v>44562</v>
      </c>
      <c r="C30" s="737">
        <v>44593</v>
      </c>
      <c r="D30" s="737">
        <v>44621</v>
      </c>
      <c r="E30" s="737">
        <v>44652</v>
      </c>
      <c r="F30" s="737">
        <v>44682</v>
      </c>
      <c r="G30" s="737">
        <v>44713</v>
      </c>
      <c r="H30" s="737">
        <v>44743</v>
      </c>
      <c r="I30" s="737">
        <v>44774</v>
      </c>
      <c r="J30" s="737">
        <v>44805</v>
      </c>
      <c r="K30" s="737">
        <v>44835</v>
      </c>
      <c r="L30" s="737">
        <v>44866</v>
      </c>
      <c r="M30" s="737">
        <v>44896</v>
      </c>
      <c r="N30" s="738" t="s">
        <v>325</v>
      </c>
      <c r="O30" s="209"/>
    </row>
    <row r="31" spans="1:15" ht="15" thickBot="1">
      <c r="A31" s="739" t="s">
        <v>329</v>
      </c>
      <c r="B31" s="734">
        <f>B25+B28</f>
        <v>15917.733337846068</v>
      </c>
      <c r="C31" s="734">
        <f t="shared" ref="C31:M31" si="8">C25+C28</f>
        <v>14551.859709115186</v>
      </c>
      <c r="D31" s="734">
        <f t="shared" si="8"/>
        <v>15934.188745316918</v>
      </c>
      <c r="E31" s="734">
        <f t="shared" si="8"/>
        <v>15467.18235339093</v>
      </c>
      <c r="F31" s="734">
        <f t="shared" si="8"/>
        <v>21510.83903968193</v>
      </c>
      <c r="G31" s="734">
        <f t="shared" si="8"/>
        <v>17330.294517929502</v>
      </c>
      <c r="H31" s="734">
        <f t="shared" si="8"/>
        <v>17908.104335193821</v>
      </c>
      <c r="I31" s="734">
        <f t="shared" si="8"/>
        <v>18837.754491933632</v>
      </c>
      <c r="J31" s="734">
        <f t="shared" si="8"/>
        <v>15753.962994112695</v>
      </c>
      <c r="K31" s="734">
        <f t="shared" si="8"/>
        <v>13598.228427249782</v>
      </c>
      <c r="L31" s="734">
        <f t="shared" si="8"/>
        <v>10800</v>
      </c>
      <c r="M31" s="734">
        <f t="shared" si="8"/>
        <v>25368</v>
      </c>
      <c r="N31" s="740">
        <f>SUM(B31:M31)</f>
        <v>202978.14795177046</v>
      </c>
      <c r="O31" s="811">
        <f>SUM(B31:M31)</f>
        <v>202978.14795177046</v>
      </c>
    </row>
    <row r="32" spans="1:15">
      <c r="B32" s="735">
        <f>B31/1000</f>
        <v>15.917733337846068</v>
      </c>
      <c r="C32" s="735">
        <f t="shared" ref="C32:M32" si="9">C31/1000</f>
        <v>14.551859709115186</v>
      </c>
      <c r="D32" s="735">
        <f t="shared" si="9"/>
        <v>15.934188745316918</v>
      </c>
      <c r="E32" s="735">
        <f t="shared" si="9"/>
        <v>15.46718235339093</v>
      </c>
      <c r="F32" s="735">
        <f t="shared" si="9"/>
        <v>21.51083903968193</v>
      </c>
      <c r="G32" s="735">
        <f t="shared" si="9"/>
        <v>17.330294517929502</v>
      </c>
      <c r="H32" s="735">
        <f t="shared" si="9"/>
        <v>17.908104335193819</v>
      </c>
      <c r="I32" s="735">
        <f t="shared" si="9"/>
        <v>18.837754491933634</v>
      </c>
      <c r="J32" s="735">
        <f t="shared" si="9"/>
        <v>15.753962994112696</v>
      </c>
      <c r="K32" s="735">
        <f t="shared" si="9"/>
        <v>13.598228427249781</v>
      </c>
      <c r="L32" s="735">
        <f t="shared" si="9"/>
        <v>10.8</v>
      </c>
      <c r="M32" s="735">
        <f t="shared" si="9"/>
        <v>25.367999999999999</v>
      </c>
      <c r="O32" s="209"/>
    </row>
    <row r="33" spans="1:14">
      <c r="B33" s="735"/>
      <c r="C33" s="735"/>
      <c r="D33" s="735"/>
      <c r="E33" s="735"/>
      <c r="F33" s="735"/>
      <c r="G33" s="735"/>
      <c r="H33" s="735"/>
      <c r="I33" s="735"/>
      <c r="J33" s="735"/>
      <c r="K33" s="735"/>
      <c r="L33" s="735"/>
      <c r="M33" s="735"/>
    </row>
    <row r="34" spans="1:14">
      <c r="A34" t="s">
        <v>330</v>
      </c>
      <c r="B34" s="735"/>
      <c r="C34" s="735"/>
      <c r="D34" s="735"/>
      <c r="E34" s="735"/>
      <c r="F34" s="735"/>
      <c r="G34" s="735"/>
      <c r="H34" s="735"/>
      <c r="I34" s="735"/>
      <c r="J34" s="735"/>
      <c r="K34" s="735"/>
      <c r="L34" s="735"/>
      <c r="M34" s="735"/>
    </row>
    <row r="35" spans="1:14">
      <c r="A35" s="350" t="s">
        <v>331</v>
      </c>
      <c r="B35" s="735"/>
      <c r="C35" s="735"/>
      <c r="D35" s="735"/>
      <c r="E35" s="735"/>
      <c r="F35" s="735"/>
      <c r="G35" s="735"/>
      <c r="H35" s="735"/>
      <c r="I35" s="735"/>
      <c r="J35" s="735"/>
      <c r="K35" s="735"/>
      <c r="L35" s="735"/>
      <c r="M35" s="735"/>
    </row>
    <row r="36" spans="1:14">
      <c r="A36" s="350" t="s">
        <v>332</v>
      </c>
      <c r="B36" s="741">
        <f>'C2'!O28</f>
        <v>13.362410391232482</v>
      </c>
      <c r="C36" s="741">
        <f>'C2'!P28</f>
        <v>13.232991287860726</v>
      </c>
      <c r="D36" s="741">
        <f>'C2'!Q28</f>
        <v>13.351351649652608</v>
      </c>
      <c r="E36" s="741">
        <f>'C2'!R28</f>
        <v>13.318623365700743</v>
      </c>
      <c r="F36" s="741">
        <f>'C2'!S28</f>
        <v>9.603602795912682</v>
      </c>
      <c r="G36" s="741">
        <f>'C2'!T28</f>
        <v>12.024795473660067</v>
      </c>
      <c r="H36" s="741">
        <f>'C2'!U28</f>
        <v>12.024795473660065</v>
      </c>
      <c r="I36" s="741">
        <f>'C2'!V28</f>
        <v>11.400030583377937</v>
      </c>
      <c r="J36" s="741">
        <f>'C2'!W28</f>
        <v>13.119470142977294</v>
      </c>
      <c r="K36" s="741">
        <f>'C2'!X28</f>
        <v>13.119470142977296</v>
      </c>
      <c r="L36" s="810">
        <v>15</v>
      </c>
      <c r="M36" s="810">
        <v>15</v>
      </c>
      <c r="N36" s="623"/>
    </row>
    <row r="37" spans="1:14">
      <c r="A37" s="350" t="s">
        <v>333</v>
      </c>
      <c r="B37" s="742">
        <f>B22-(B36*24*B2)</f>
        <v>1218.366668923034</v>
      </c>
      <c r="C37" s="742">
        <f t="shared" ref="C37:M37" si="10">C22-(C36*24*C2)</f>
        <v>1187.429854557593</v>
      </c>
      <c r="D37" s="742">
        <f t="shared" si="10"/>
        <v>1226.5943726584592</v>
      </c>
      <c r="E37" s="742">
        <f t="shared" si="10"/>
        <v>1210.591176695465</v>
      </c>
      <c r="F37" s="742">
        <f t="shared" si="10"/>
        <v>4014.9195198409643</v>
      </c>
      <c r="G37" s="742">
        <f t="shared" si="10"/>
        <v>2142.147258964751</v>
      </c>
      <c r="H37" s="742">
        <f t="shared" si="10"/>
        <v>2213.5521675969103</v>
      </c>
      <c r="I37" s="742">
        <f t="shared" si="10"/>
        <v>2678.3772459668162</v>
      </c>
      <c r="J37" s="742">
        <f t="shared" si="10"/>
        <v>1353.9814970563475</v>
      </c>
      <c r="K37" s="742">
        <f t="shared" si="10"/>
        <v>1399.1142136248909</v>
      </c>
      <c r="L37" s="742">
        <f t="shared" si="10"/>
        <v>0</v>
      </c>
      <c r="M37" s="742">
        <f t="shared" si="10"/>
        <v>7284</v>
      </c>
      <c r="N37" s="623"/>
    </row>
    <row r="38" spans="1:14">
      <c r="A38" s="350" t="s">
        <v>334</v>
      </c>
      <c r="B38" s="743">
        <f>B37*2</f>
        <v>2436.733337846068</v>
      </c>
      <c r="C38" s="743">
        <f t="shared" ref="C38:M38" si="11">C37*2</f>
        <v>2374.859709115186</v>
      </c>
      <c r="D38" s="743">
        <f t="shared" si="11"/>
        <v>2453.1887453169184</v>
      </c>
      <c r="E38" s="743">
        <f t="shared" si="11"/>
        <v>2421.1823533909301</v>
      </c>
      <c r="F38" s="743">
        <f t="shared" si="11"/>
        <v>8029.8390396819286</v>
      </c>
      <c r="G38" s="743">
        <f t="shared" si="11"/>
        <v>4284.294517929502</v>
      </c>
      <c r="H38" s="743">
        <f t="shared" si="11"/>
        <v>4427.1043351938206</v>
      </c>
      <c r="I38" s="743">
        <f t="shared" si="11"/>
        <v>5356.7544919336324</v>
      </c>
      <c r="J38" s="743">
        <f t="shared" si="11"/>
        <v>2707.962994112695</v>
      </c>
      <c r="K38" s="743">
        <f t="shared" si="11"/>
        <v>2798.2284272497818</v>
      </c>
      <c r="L38" s="743">
        <f t="shared" si="11"/>
        <v>0</v>
      </c>
      <c r="M38" s="743">
        <f t="shared" si="11"/>
        <v>14568</v>
      </c>
      <c r="N38" s="623"/>
    </row>
    <row r="39" spans="1:14">
      <c r="B39" s="741"/>
      <c r="C39" s="741"/>
      <c r="D39" s="741"/>
      <c r="E39" s="741"/>
      <c r="F39" s="741"/>
      <c r="G39" s="741"/>
      <c r="H39" s="741"/>
      <c r="I39" s="741"/>
      <c r="J39" s="741"/>
      <c r="K39" s="741"/>
      <c r="L39" s="741"/>
      <c r="M39" s="741"/>
      <c r="N39" s="623"/>
    </row>
    <row r="40" spans="1:14">
      <c r="B40" s="741"/>
      <c r="C40" s="741"/>
      <c r="D40" s="741"/>
      <c r="E40" s="741"/>
      <c r="F40" s="741"/>
      <c r="G40" s="741"/>
      <c r="H40" s="741"/>
      <c r="I40" s="741"/>
      <c r="J40" s="741"/>
      <c r="K40" s="741"/>
      <c r="L40" s="741"/>
      <c r="M40" s="741"/>
      <c r="N40" s="623"/>
    </row>
    <row r="41" spans="1:14">
      <c r="B41" s="741"/>
      <c r="C41" s="741"/>
      <c r="D41" s="741"/>
      <c r="E41" s="741"/>
      <c r="F41" s="741"/>
      <c r="G41" s="741"/>
      <c r="H41" s="741"/>
      <c r="I41" s="741"/>
      <c r="J41" s="741"/>
      <c r="K41" s="741"/>
      <c r="L41" s="741"/>
      <c r="M41" s="741"/>
      <c r="N41" s="623"/>
    </row>
    <row r="42" spans="1:14">
      <c r="B42" s="735"/>
      <c r="C42" s="735"/>
      <c r="D42" s="735"/>
      <c r="E42" s="735"/>
      <c r="F42" s="735"/>
      <c r="G42" s="735"/>
      <c r="H42" s="735"/>
      <c r="I42" s="735"/>
      <c r="J42" s="735"/>
      <c r="K42" s="735"/>
      <c r="L42" s="735"/>
      <c r="M42" s="735"/>
    </row>
    <row r="43" spans="1:14">
      <c r="B43" s="735"/>
      <c r="C43" s="735"/>
      <c r="D43" s="735"/>
      <c r="E43" s="735"/>
      <c r="F43" s="735"/>
      <c r="G43" s="735"/>
      <c r="H43" s="735"/>
      <c r="I43" s="735"/>
      <c r="J43" s="735"/>
      <c r="K43" s="735"/>
      <c r="L43" s="735"/>
      <c r="M43" s="735"/>
    </row>
    <row r="44" spans="1:14" ht="15" thickBot="1">
      <c r="B44" s="735"/>
      <c r="C44" s="735"/>
      <c r="D44" s="735"/>
      <c r="E44" s="735"/>
      <c r="F44" s="735"/>
      <c r="G44" s="735"/>
      <c r="H44" s="735"/>
      <c r="I44" s="735"/>
      <c r="J44" s="735"/>
      <c r="K44" s="735"/>
      <c r="L44" s="735"/>
      <c r="M44" s="735"/>
    </row>
    <row r="45" spans="1:14" ht="15" thickBot="1">
      <c r="A45" s="744" t="s">
        <v>324</v>
      </c>
      <c r="B45" s="745">
        <v>44562</v>
      </c>
      <c r="C45" s="745">
        <v>44593</v>
      </c>
      <c r="D45" s="745">
        <v>44621</v>
      </c>
      <c r="E45" s="745">
        <v>44652</v>
      </c>
      <c r="F45" s="745">
        <v>44682</v>
      </c>
      <c r="G45" s="745">
        <v>44713</v>
      </c>
      <c r="H45" s="745">
        <v>44743</v>
      </c>
      <c r="I45" s="745">
        <v>44774</v>
      </c>
      <c r="J45" s="745">
        <v>44805</v>
      </c>
      <c r="K45" s="745">
        <v>44835</v>
      </c>
      <c r="L45" s="745">
        <v>44866</v>
      </c>
      <c r="M45" s="745">
        <v>44896</v>
      </c>
      <c r="N45" s="746" t="s">
        <v>325</v>
      </c>
    </row>
    <row r="46" spans="1:14" ht="15" thickBot="1">
      <c r="A46" s="747" t="s">
        <v>78</v>
      </c>
      <c r="B46" s="748" t="s">
        <v>335</v>
      </c>
      <c r="C46" s="748" t="s">
        <v>336</v>
      </c>
      <c r="D46" s="748" t="s">
        <v>337</v>
      </c>
      <c r="E46" s="748" t="s">
        <v>338</v>
      </c>
      <c r="F46" s="748" t="s">
        <v>337</v>
      </c>
      <c r="G46" s="748" t="s">
        <v>338</v>
      </c>
      <c r="H46" s="748" t="s">
        <v>337</v>
      </c>
      <c r="I46" s="748" t="s">
        <v>337</v>
      </c>
      <c r="J46" s="748" t="s">
        <v>338</v>
      </c>
      <c r="K46" s="748" t="s">
        <v>337</v>
      </c>
      <c r="L46" s="748" t="s">
        <v>338</v>
      </c>
      <c r="M46" s="748" t="s">
        <v>337</v>
      </c>
      <c r="N46" s="748" t="s">
        <v>326</v>
      </c>
    </row>
    <row r="47" spans="1:14" ht="15" thickBot="1">
      <c r="A47" s="749"/>
      <c r="B47" s="750"/>
      <c r="C47" s="750"/>
      <c r="D47" s="750"/>
      <c r="E47" s="750"/>
      <c r="F47" s="750"/>
      <c r="G47" s="750"/>
      <c r="H47" s="750"/>
      <c r="I47" s="750"/>
      <c r="J47" s="750"/>
      <c r="K47" s="750"/>
      <c r="L47" s="750"/>
      <c r="M47" s="750"/>
      <c r="N47" s="750"/>
    </row>
    <row r="48" spans="1:14" ht="15" thickBot="1">
      <c r="A48" s="744" t="s">
        <v>324</v>
      </c>
      <c r="B48" s="745">
        <v>44562</v>
      </c>
      <c r="C48" s="745">
        <v>44593</v>
      </c>
      <c r="D48" s="745">
        <v>44621</v>
      </c>
      <c r="E48" s="745">
        <v>44652</v>
      </c>
      <c r="F48" s="745">
        <v>44682</v>
      </c>
      <c r="G48" s="745">
        <v>44713</v>
      </c>
      <c r="H48" s="745">
        <v>44743</v>
      </c>
      <c r="I48" s="745">
        <v>44774</v>
      </c>
      <c r="J48" s="745">
        <v>44805</v>
      </c>
      <c r="K48" s="745">
        <v>44835</v>
      </c>
      <c r="L48" s="745">
        <v>44866</v>
      </c>
      <c r="M48" s="745">
        <v>44896</v>
      </c>
      <c r="N48" s="746" t="s">
        <v>325</v>
      </c>
    </row>
    <row r="49" spans="1:14" ht="15" thickBot="1">
      <c r="A49" s="747" t="s">
        <v>87</v>
      </c>
      <c r="B49" s="751">
        <v>10416</v>
      </c>
      <c r="C49" s="751">
        <v>9408</v>
      </c>
      <c r="D49" s="751">
        <v>10416</v>
      </c>
      <c r="E49" s="751">
        <v>10080</v>
      </c>
      <c r="F49" s="751">
        <v>10416</v>
      </c>
      <c r="G49" s="751">
        <v>10080</v>
      </c>
      <c r="H49" s="751">
        <v>10416</v>
      </c>
      <c r="I49" s="751">
        <v>10416</v>
      </c>
      <c r="J49" s="751">
        <v>10080</v>
      </c>
      <c r="K49" s="751">
        <v>10416</v>
      </c>
      <c r="L49" s="751">
        <v>10080</v>
      </c>
      <c r="M49" s="751">
        <v>10416</v>
      </c>
      <c r="N49" s="748" t="s">
        <v>327</v>
      </c>
    </row>
    <row r="53" spans="1:14" ht="23.5">
      <c r="A53" s="715" t="s">
        <v>339</v>
      </c>
    </row>
    <row r="54" spans="1:14">
      <c r="A54" s="1" t="s">
        <v>340</v>
      </c>
      <c r="B54" s="2">
        <v>31</v>
      </c>
      <c r="C54" s="2">
        <v>28</v>
      </c>
      <c r="D54" s="2">
        <v>31</v>
      </c>
      <c r="E54" s="2">
        <v>30</v>
      </c>
      <c r="F54" s="2">
        <v>31</v>
      </c>
      <c r="G54" s="2">
        <v>30</v>
      </c>
      <c r="H54" s="2">
        <v>31</v>
      </c>
      <c r="I54" s="2">
        <v>31</v>
      </c>
      <c r="J54" s="2">
        <v>30</v>
      </c>
      <c r="K54" s="2">
        <v>31</v>
      </c>
      <c r="L54" s="2">
        <v>30</v>
      </c>
      <c r="M54" s="2">
        <v>31</v>
      </c>
    </row>
    <row r="55" spans="1:14">
      <c r="A55" s="702" t="s">
        <v>314</v>
      </c>
      <c r="B55" s="716">
        <v>44562</v>
      </c>
      <c r="C55" s="716">
        <v>44593</v>
      </c>
      <c r="D55" s="716">
        <v>44621</v>
      </c>
      <c r="E55" s="716">
        <v>44652</v>
      </c>
      <c r="F55" s="716">
        <v>44682</v>
      </c>
      <c r="G55" s="716">
        <v>44713</v>
      </c>
      <c r="H55" s="822">
        <v>44743</v>
      </c>
      <c r="I55" s="822">
        <v>44774</v>
      </c>
      <c r="J55" s="822">
        <v>44805</v>
      </c>
      <c r="K55" s="716">
        <v>44835</v>
      </c>
      <c r="L55" s="716">
        <v>44866</v>
      </c>
      <c r="M55" s="716">
        <v>44896</v>
      </c>
    </row>
    <row r="56" spans="1:14" ht="43.5">
      <c r="A56" s="702" t="s">
        <v>315</v>
      </c>
      <c r="B56" s="717"/>
      <c r="C56" s="717"/>
      <c r="D56" s="717"/>
      <c r="E56" s="717"/>
      <c r="F56" s="717"/>
      <c r="G56" s="717"/>
      <c r="H56" s="718" t="s">
        <v>310</v>
      </c>
      <c r="I56" s="718" t="s">
        <v>310</v>
      </c>
      <c r="J56" s="718" t="s">
        <v>310</v>
      </c>
      <c r="K56" s="717"/>
      <c r="L56" s="717"/>
      <c r="M56" s="717"/>
    </row>
    <row r="57" spans="1:14">
      <c r="A57" s="702" t="s">
        <v>317</v>
      </c>
      <c r="B57" s="717"/>
      <c r="C57" s="717"/>
      <c r="D57" s="717"/>
      <c r="E57" s="717"/>
      <c r="F57" s="717"/>
      <c r="G57" s="717"/>
      <c r="H57" s="719"/>
      <c r="I57" s="719"/>
      <c r="J57" s="719"/>
      <c r="K57" s="717"/>
      <c r="L57" s="717"/>
      <c r="M57" s="717"/>
    </row>
    <row r="58" spans="1:14">
      <c r="A58" s="702" t="s">
        <v>318</v>
      </c>
      <c r="B58" s="720">
        <v>31844</v>
      </c>
      <c r="C58" s="720">
        <v>28762</v>
      </c>
      <c r="D58" s="720">
        <v>31844</v>
      </c>
      <c r="E58" s="720">
        <v>30816</v>
      </c>
      <c r="F58" s="720">
        <v>31844</v>
      </c>
      <c r="G58" s="720">
        <v>30816</v>
      </c>
      <c r="H58" s="722">
        <v>25724</v>
      </c>
      <c r="I58" s="722">
        <v>25724</v>
      </c>
      <c r="J58" s="722">
        <v>24697</v>
      </c>
      <c r="K58" s="720">
        <v>31844</v>
      </c>
      <c r="L58" s="720">
        <v>30816</v>
      </c>
      <c r="M58" s="720">
        <v>31844</v>
      </c>
      <c r="N58" s="256">
        <f>SUM(B58:M58)</f>
        <v>356575</v>
      </c>
    </row>
    <row r="59" spans="1:14">
      <c r="A59" s="723" t="s">
        <v>249</v>
      </c>
      <c r="B59" s="724">
        <f>B58/B54</f>
        <v>1027.2258064516129</v>
      </c>
      <c r="C59" s="724">
        <f t="shared" ref="C59:H59" si="12">C58/C54</f>
        <v>1027.2142857142858</v>
      </c>
      <c r="D59" s="724">
        <f t="shared" si="12"/>
        <v>1027.2258064516129</v>
      </c>
      <c r="E59" s="724">
        <f t="shared" si="12"/>
        <v>1027.2</v>
      </c>
      <c r="F59" s="724">
        <f t="shared" si="12"/>
        <v>1027.2258064516129</v>
      </c>
      <c r="G59" s="724">
        <f t="shared" si="12"/>
        <v>1027.2</v>
      </c>
      <c r="H59" s="724">
        <f t="shared" si="12"/>
        <v>829.80645161290317</v>
      </c>
      <c r="I59" s="724">
        <f>I58/(I54-18)</f>
        <v>1978.7692307692307</v>
      </c>
      <c r="J59" s="724">
        <f t="shared" ref="J59:M59" si="13">J58/J54</f>
        <v>823.23333333333335</v>
      </c>
      <c r="K59" s="724">
        <f t="shared" si="13"/>
        <v>1027.2258064516129</v>
      </c>
      <c r="L59" s="724">
        <f t="shared" si="13"/>
        <v>1027.2</v>
      </c>
      <c r="M59" s="724">
        <f t="shared" si="13"/>
        <v>1027.2258064516129</v>
      </c>
    </row>
    <row r="60" spans="1:14">
      <c r="B60" s="802">
        <f>B58/1000</f>
        <v>31.844000000000001</v>
      </c>
      <c r="C60" s="802">
        <f t="shared" ref="C60:M60" si="14">C58/1000</f>
        <v>28.762</v>
      </c>
      <c r="D60" s="802">
        <f t="shared" si="14"/>
        <v>31.844000000000001</v>
      </c>
      <c r="E60" s="802">
        <f t="shared" si="14"/>
        <v>30.815999999999999</v>
      </c>
      <c r="F60" s="802">
        <f t="shared" si="14"/>
        <v>31.844000000000001</v>
      </c>
      <c r="G60" s="802">
        <f t="shared" si="14"/>
        <v>30.815999999999999</v>
      </c>
      <c r="H60" s="802">
        <f t="shared" si="14"/>
        <v>25.724</v>
      </c>
      <c r="I60" s="802">
        <f t="shared" si="14"/>
        <v>25.724</v>
      </c>
      <c r="J60" s="802">
        <f t="shared" si="14"/>
        <v>24.696999999999999</v>
      </c>
      <c r="K60" s="802">
        <f t="shared" si="14"/>
        <v>31.844000000000001</v>
      </c>
      <c r="L60" s="802">
        <f t="shared" si="14"/>
        <v>30.815999999999999</v>
      </c>
      <c r="M60" s="802">
        <f t="shared" si="14"/>
        <v>31.844000000000001</v>
      </c>
    </row>
    <row r="61" spans="1:14">
      <c r="A61" s="1" t="s">
        <v>341</v>
      </c>
      <c r="B61" s="2"/>
      <c r="C61" s="2"/>
      <c r="D61" s="2"/>
      <c r="E61" s="2"/>
      <c r="F61" s="2"/>
      <c r="G61" s="2"/>
      <c r="H61" s="2"/>
      <c r="I61" s="2"/>
      <c r="J61" s="2"/>
      <c r="K61" s="2"/>
      <c r="L61" s="2"/>
      <c r="M61" s="2"/>
    </row>
    <row r="62" spans="1:14">
      <c r="A62" s="702" t="s">
        <v>314</v>
      </c>
      <c r="B62" s="717">
        <v>2023</v>
      </c>
      <c r="C62" s="717">
        <v>2024</v>
      </c>
      <c r="D62" s="717">
        <v>2025</v>
      </c>
      <c r="E62" s="717">
        <v>2026</v>
      </c>
      <c r="F62" s="717">
        <v>2027</v>
      </c>
      <c r="G62" s="717">
        <v>2028</v>
      </c>
      <c r="H62" s="717">
        <v>2029</v>
      </c>
      <c r="I62" s="717">
        <v>2030</v>
      </c>
      <c r="J62" s="717">
        <v>2031</v>
      </c>
      <c r="K62" s="717">
        <v>2032</v>
      </c>
      <c r="L62" s="2"/>
      <c r="M62" s="2"/>
    </row>
    <row r="63" spans="1:14">
      <c r="A63" s="702" t="s">
        <v>315</v>
      </c>
      <c r="B63" s="717"/>
      <c r="C63" s="717"/>
      <c r="D63" s="717"/>
      <c r="E63" s="717"/>
      <c r="F63" s="717"/>
      <c r="G63" s="717"/>
      <c r="H63" s="717"/>
      <c r="I63" s="717"/>
      <c r="J63" s="717"/>
      <c r="K63" s="717"/>
      <c r="L63" s="2"/>
      <c r="M63" s="2"/>
    </row>
    <row r="64" spans="1:14">
      <c r="A64" s="702" t="s">
        <v>317</v>
      </c>
      <c r="B64" s="717"/>
      <c r="C64" s="717"/>
      <c r="D64" s="717"/>
      <c r="E64" s="717"/>
      <c r="F64" s="717"/>
      <c r="G64" s="717"/>
      <c r="H64" s="717"/>
      <c r="I64" s="717"/>
      <c r="J64" s="717"/>
      <c r="K64" s="717"/>
      <c r="L64" s="2"/>
      <c r="M64" s="2"/>
    </row>
    <row r="65" spans="1:15">
      <c r="A65" s="702" t="s">
        <v>318</v>
      </c>
      <c r="B65" s="720">
        <v>362693</v>
      </c>
      <c r="C65" s="720">
        <v>336805</v>
      </c>
      <c r="D65" s="720">
        <v>374934</v>
      </c>
      <c r="E65" s="720">
        <v>335778</v>
      </c>
      <c r="F65" s="720">
        <v>374934</v>
      </c>
      <c r="G65" s="720">
        <v>375961</v>
      </c>
      <c r="H65" s="720">
        <v>335778</v>
      </c>
      <c r="I65" s="720">
        <v>374934</v>
      </c>
      <c r="J65" s="720">
        <v>335778</v>
      </c>
      <c r="K65" s="720">
        <v>375961</v>
      </c>
      <c r="L65" s="2"/>
      <c r="M65" s="2"/>
    </row>
    <row r="66" spans="1:15">
      <c r="A66" s="723" t="s">
        <v>321</v>
      </c>
      <c r="B66" s="725">
        <f t="shared" ref="B66:K66" si="15">B65/10^6</f>
        <v>0.36269299999999999</v>
      </c>
      <c r="C66" s="725">
        <f t="shared" si="15"/>
        <v>0.33680500000000002</v>
      </c>
      <c r="D66" s="725">
        <f t="shared" si="15"/>
        <v>0.37493399999999999</v>
      </c>
      <c r="E66" s="725">
        <f t="shared" si="15"/>
        <v>0.33577800000000002</v>
      </c>
      <c r="F66" s="725">
        <f t="shared" si="15"/>
        <v>0.37493399999999999</v>
      </c>
      <c r="G66" s="725">
        <f t="shared" si="15"/>
        <v>0.37596099999999999</v>
      </c>
      <c r="H66" s="725">
        <f t="shared" si="15"/>
        <v>0.33577800000000002</v>
      </c>
      <c r="I66" s="725">
        <f t="shared" si="15"/>
        <v>0.37493399999999999</v>
      </c>
      <c r="J66" s="725">
        <f t="shared" si="15"/>
        <v>0.33577800000000002</v>
      </c>
      <c r="K66" s="725">
        <f t="shared" si="15"/>
        <v>0.37596099999999999</v>
      </c>
    </row>
    <row r="67" spans="1:15" ht="29">
      <c r="B67" s="726" t="s">
        <v>322</v>
      </c>
      <c r="C67" s="726" t="s">
        <v>323</v>
      </c>
      <c r="D67" s="726"/>
      <c r="E67" s="726" t="s">
        <v>323</v>
      </c>
      <c r="F67" s="726"/>
      <c r="G67" s="726"/>
      <c r="H67" s="726" t="s">
        <v>323</v>
      </c>
      <c r="I67" s="726"/>
      <c r="J67" s="726" t="s">
        <v>323</v>
      </c>
      <c r="K67" s="726"/>
    </row>
    <row r="70" spans="1:15">
      <c r="K70" t="s">
        <v>390</v>
      </c>
    </row>
    <row r="71" spans="1:15" ht="23.5">
      <c r="A71" s="715" t="s">
        <v>358</v>
      </c>
      <c r="N71" t="s">
        <v>391</v>
      </c>
    </row>
    <row r="72" spans="1:15" ht="28" customHeight="1">
      <c r="A72" s="969" t="s">
        <v>342</v>
      </c>
      <c r="B72" s="969"/>
      <c r="C72" s="752" t="s">
        <v>280</v>
      </c>
      <c r="D72" s="752" t="s">
        <v>281</v>
      </c>
      <c r="E72" s="752" t="s">
        <v>282</v>
      </c>
      <c r="F72" s="752" t="s">
        <v>283</v>
      </c>
      <c r="G72" s="752" t="s">
        <v>284</v>
      </c>
      <c r="H72" s="752" t="s">
        <v>285</v>
      </c>
      <c r="I72" s="752" t="s">
        <v>286</v>
      </c>
      <c r="J72" s="752" t="s">
        <v>287</v>
      </c>
      <c r="K72" s="820" t="s">
        <v>288</v>
      </c>
      <c r="L72" s="752" t="s">
        <v>289</v>
      </c>
      <c r="M72" s="752" t="s">
        <v>290</v>
      </c>
      <c r="N72" s="820" t="s">
        <v>291</v>
      </c>
      <c r="O72" s="753">
        <v>2022</v>
      </c>
    </row>
    <row r="73" spans="1:15">
      <c r="A73" s="754" t="s">
        <v>343</v>
      </c>
      <c r="B73" s="755"/>
      <c r="C73" s="756">
        <f>SUM(C74,C77,C82)</f>
        <v>249.9703571647685</v>
      </c>
      <c r="D73" s="756">
        <f t="shared" ref="D73:O73" si="16">SUM(D74,D77,D82)</f>
        <v>247.07238477575169</v>
      </c>
      <c r="E73" s="756">
        <f t="shared" si="16"/>
        <v>259.29980250808359</v>
      </c>
      <c r="F73" s="756">
        <f t="shared" si="16"/>
        <v>270.67115018025004</v>
      </c>
      <c r="G73" s="756">
        <f t="shared" si="16"/>
        <v>194.83096546472026</v>
      </c>
      <c r="H73" s="756">
        <f t="shared" si="16"/>
        <v>240.59098281294132</v>
      </c>
      <c r="I73" s="756">
        <f t="shared" si="16"/>
        <v>283.65562006879037</v>
      </c>
      <c r="J73" s="756">
        <f t="shared" si="16"/>
        <v>284.84000497423125</v>
      </c>
      <c r="K73" s="756">
        <f t="shared" si="16"/>
        <v>225.27914597377131</v>
      </c>
      <c r="L73" s="756">
        <f t="shared" si="16"/>
        <v>282.90235570006081</v>
      </c>
      <c r="M73" s="756">
        <f t="shared" si="16"/>
        <v>273.57353360113541</v>
      </c>
      <c r="N73" s="756">
        <f t="shared" si="16"/>
        <v>228.8942147617787</v>
      </c>
      <c r="O73" s="756">
        <f t="shared" si="16"/>
        <v>3042.1935980486887</v>
      </c>
    </row>
    <row r="74" spans="1:15">
      <c r="A74" s="757" t="s">
        <v>78</v>
      </c>
      <c r="B74" s="758"/>
      <c r="C74" s="759">
        <f>SUM(C75:C76)</f>
        <v>182.92127040885401</v>
      </c>
      <c r="D74" s="759">
        <f t="shared" ref="D74:O74" si="17">SUM(D75:D76)</f>
        <v>166.5809985870122</v>
      </c>
      <c r="E74" s="759">
        <f t="shared" si="17"/>
        <v>183.88555171392815</v>
      </c>
      <c r="F74" s="759">
        <f t="shared" si="17"/>
        <v>176.80894502922848</v>
      </c>
      <c r="G74" s="759">
        <f t="shared" si="17"/>
        <v>105.93167903780918</v>
      </c>
      <c r="H74" s="759">
        <f t="shared" si="17"/>
        <v>139.78967460989981</v>
      </c>
      <c r="I74" s="759">
        <f t="shared" si="17"/>
        <v>168.63578296087684</v>
      </c>
      <c r="J74" s="759">
        <f t="shared" si="17"/>
        <v>170.19037153743216</v>
      </c>
      <c r="K74" s="759">
        <f t="shared" si="17"/>
        <v>153.09468058571173</v>
      </c>
      <c r="L74" s="759">
        <f t="shared" si="17"/>
        <v>167.04862870328142</v>
      </c>
      <c r="M74" s="759">
        <f t="shared" si="17"/>
        <v>160.76015957370441</v>
      </c>
      <c r="N74" s="759">
        <f t="shared" si="17"/>
        <v>149.24283660523596</v>
      </c>
      <c r="O74" s="759">
        <f t="shared" si="17"/>
        <v>1924.8905793529748</v>
      </c>
    </row>
    <row r="75" spans="1:15">
      <c r="A75" s="760"/>
      <c r="B75" s="761" t="s">
        <v>344</v>
      </c>
      <c r="C75" s="762">
        <v>147.38783193849031</v>
      </c>
      <c r="D75" s="762">
        <v>135.91907961040718</v>
      </c>
      <c r="E75" s="762">
        <v>148.35211324356445</v>
      </c>
      <c r="F75" s="762">
        <v>142.42174650952163</v>
      </c>
      <c r="G75" s="762">
        <v>53.777760422974772</v>
      </c>
      <c r="H75" s="762">
        <v>107.31287492066656</v>
      </c>
      <c r="I75" s="762">
        <v>144.94682275496427</v>
      </c>
      <c r="J75" s="762">
        <v>146.50141133151959</v>
      </c>
      <c r="K75" s="762">
        <v>130.16988038644149</v>
      </c>
      <c r="L75" s="762">
        <v>143.0969887953253</v>
      </c>
      <c r="M75" s="762">
        <v>137.04732026830357</v>
      </c>
      <c r="N75" s="762">
        <v>143.44477260969583</v>
      </c>
      <c r="O75" s="763">
        <v>1580.3786027918752</v>
      </c>
    </row>
    <row r="76" spans="1:15">
      <c r="A76" s="760"/>
      <c r="B76" s="761" t="s">
        <v>345</v>
      </c>
      <c r="C76" s="764">
        <v>35.533438470363713</v>
      </c>
      <c r="D76" s="764">
        <v>30.661918976605019</v>
      </c>
      <c r="E76" s="764">
        <v>35.533438470363713</v>
      </c>
      <c r="F76" s="764">
        <v>34.387198519706857</v>
      </c>
      <c r="G76" s="764">
        <v>52.15391861483441</v>
      </c>
      <c r="H76" s="764">
        <v>32.47679968923326</v>
      </c>
      <c r="I76" s="764">
        <v>23.688960205912561</v>
      </c>
      <c r="J76" s="764">
        <v>23.688960205912561</v>
      </c>
      <c r="K76" s="764">
        <v>22.924800199270241</v>
      </c>
      <c r="L76" s="764">
        <v>23.951639907956125</v>
      </c>
      <c r="M76" s="764">
        <v>23.712839305400848</v>
      </c>
      <c r="N76" s="912">
        <v>5.7980639955401436</v>
      </c>
      <c r="O76" s="763">
        <v>344.51197656109946</v>
      </c>
    </row>
    <row r="77" spans="1:15">
      <c r="A77" s="757" t="s">
        <v>74</v>
      </c>
      <c r="B77" s="758"/>
      <c r="C77" s="765">
        <f>SUM(C78,C81)</f>
        <v>49.302648072345121</v>
      </c>
      <c r="D77" s="765">
        <f t="shared" ref="D77:O77" si="18">SUM(D78,D81)</f>
        <v>64.462344797128409</v>
      </c>
      <c r="E77" s="765">
        <f t="shared" si="18"/>
        <v>57.667812110586055</v>
      </c>
      <c r="F77" s="765">
        <f t="shared" si="18"/>
        <v>76.688232231438263</v>
      </c>
      <c r="G77" s="765">
        <f t="shared" si="18"/>
        <v>71.152847743341695</v>
      </c>
      <c r="H77" s="765">
        <f t="shared" si="18"/>
        <v>83.627335283458194</v>
      </c>
      <c r="I77" s="765">
        <f t="shared" si="18"/>
        <v>97.253117872731735</v>
      </c>
      <c r="J77" s="765">
        <f t="shared" si="18"/>
        <v>96.882914201617297</v>
      </c>
      <c r="K77" s="765">
        <f t="shared" si="18"/>
        <v>64.160785733461339</v>
      </c>
      <c r="L77" s="765">
        <f t="shared" si="18"/>
        <v>98.107288313210049</v>
      </c>
      <c r="M77" s="765">
        <f t="shared" si="18"/>
        <v>95.639401107847647</v>
      </c>
      <c r="N77" s="765">
        <f t="shared" si="18"/>
        <v>61.904939472973354</v>
      </c>
      <c r="O77" s="765">
        <f t="shared" si="18"/>
        <v>917.46274700254446</v>
      </c>
    </row>
    <row r="78" spans="1:15">
      <c r="A78" s="766"/>
      <c r="B78" s="767" t="s">
        <v>346</v>
      </c>
      <c r="C78" s="768">
        <f>SUM(C79:C80)</f>
        <v>22.208400135589699</v>
      </c>
      <c r="D78" s="768">
        <f t="shared" ref="D78:O78" si="19">SUM(D79:D80)</f>
        <v>20.086139875040931</v>
      </c>
      <c r="E78" s="768">
        <f t="shared" si="19"/>
        <v>22.208400135589699</v>
      </c>
      <c r="F78" s="768">
        <f t="shared" si="19"/>
        <v>21.492000854015362</v>
      </c>
      <c r="G78" s="768">
        <f t="shared" si="19"/>
        <v>22.208400183776327</v>
      </c>
      <c r="H78" s="768">
        <f t="shared" si="19"/>
        <v>56.356800341606117</v>
      </c>
      <c r="I78" s="768">
        <f t="shared" si="19"/>
        <v>69.956461456096221</v>
      </c>
      <c r="J78" s="768">
        <f t="shared" si="19"/>
        <v>69.956460205912563</v>
      </c>
      <c r="K78" s="768">
        <f t="shared" si="19"/>
        <v>41.384041312336919</v>
      </c>
      <c r="L78" s="768">
        <f t="shared" si="19"/>
        <v>65.753580881059179</v>
      </c>
      <c r="M78" s="768">
        <f t="shared" si="19"/>
        <v>64.475999928832024</v>
      </c>
      <c r="N78" s="768">
        <f t="shared" si="19"/>
        <v>39.663107744455289</v>
      </c>
      <c r="O78" s="768">
        <f t="shared" si="19"/>
        <v>516.36287311671572</v>
      </c>
    </row>
    <row r="79" spans="1:15">
      <c r="A79" s="766"/>
      <c r="B79" s="769" t="s">
        <v>347</v>
      </c>
      <c r="C79" s="768">
        <v>22.208400135589699</v>
      </c>
      <c r="D79" s="768">
        <v>20.086139875040931</v>
      </c>
      <c r="E79" s="768">
        <v>22.208400135589699</v>
      </c>
      <c r="F79" s="768">
        <v>21.492000854015362</v>
      </c>
      <c r="G79" s="768">
        <v>22.208400183776327</v>
      </c>
      <c r="H79" s="768">
        <v>21.495000612044336</v>
      </c>
      <c r="I79" s="768">
        <v>22.208400882482515</v>
      </c>
      <c r="J79" s="768">
        <v>22.208400882482515</v>
      </c>
      <c r="K79" s="768">
        <v>21.492000854015362</v>
      </c>
      <c r="L79" s="768">
        <v>22.208400882482515</v>
      </c>
      <c r="M79" s="768">
        <v>21.493800128102269</v>
      </c>
      <c r="N79" s="768">
        <v>22.208687557995255</v>
      </c>
      <c r="O79" s="770">
        <v>261.51803298361676</v>
      </c>
    </row>
    <row r="80" spans="1:15">
      <c r="A80" s="766"/>
      <c r="B80" s="769" t="s">
        <v>348</v>
      </c>
      <c r="C80" s="768">
        <v>0</v>
      </c>
      <c r="D80" s="768">
        <v>0</v>
      </c>
      <c r="E80" s="768">
        <v>0</v>
      </c>
      <c r="F80" s="768">
        <v>0</v>
      </c>
      <c r="G80" s="768">
        <v>0</v>
      </c>
      <c r="H80" s="768">
        <v>34.861799729561781</v>
      </c>
      <c r="I80" s="768">
        <v>47.748060573613706</v>
      </c>
      <c r="J80" s="768">
        <v>47.748059323430049</v>
      </c>
      <c r="K80" s="821">
        <v>19.89204045832156</v>
      </c>
      <c r="L80" s="768">
        <v>43.545179998576657</v>
      </c>
      <c r="M80" s="768">
        <v>42.982199800729759</v>
      </c>
      <c r="N80" s="821">
        <v>17.454420186460034</v>
      </c>
      <c r="O80" s="770">
        <v>254.84484013309893</v>
      </c>
    </row>
    <row r="81" spans="1:15">
      <c r="A81" s="771"/>
      <c r="B81" s="767" t="s">
        <v>349</v>
      </c>
      <c r="C81" s="768">
        <v>27.094247936755426</v>
      </c>
      <c r="D81" s="768">
        <v>44.376204922087474</v>
      </c>
      <c r="E81" s="768">
        <v>35.459411974996357</v>
      </c>
      <c r="F81" s="768">
        <v>55.196231377422905</v>
      </c>
      <c r="G81" s="768">
        <v>48.944447559565369</v>
      </c>
      <c r="H81" s="768">
        <v>27.270534941852073</v>
      </c>
      <c r="I81" s="768">
        <v>27.296656416635514</v>
      </c>
      <c r="J81" s="768">
        <v>26.926453995704733</v>
      </c>
      <c r="K81" s="821">
        <v>22.77674442112442</v>
      </c>
      <c r="L81" s="768">
        <v>32.35370743215087</v>
      </c>
      <c r="M81" s="768">
        <v>31.163401179015615</v>
      </c>
      <c r="N81" s="821">
        <v>22.241831728518061</v>
      </c>
      <c r="O81" s="770">
        <v>401.09987388582874</v>
      </c>
    </row>
    <row r="82" spans="1:15">
      <c r="A82" s="772" t="s">
        <v>73</v>
      </c>
      <c r="B82" s="773"/>
      <c r="C82" s="774">
        <v>17.746438683569369</v>
      </c>
      <c r="D82" s="774">
        <v>16.029041391611088</v>
      </c>
      <c r="E82" s="774">
        <v>17.746438683569369</v>
      </c>
      <c r="F82" s="774">
        <v>17.173972919583306</v>
      </c>
      <c r="G82" s="774">
        <v>17.746438683569369</v>
      </c>
      <c r="H82" s="774">
        <v>17.173972919583306</v>
      </c>
      <c r="I82" s="774">
        <v>17.76671923518181</v>
      </c>
      <c r="J82" s="774">
        <v>17.76671923518181</v>
      </c>
      <c r="K82" s="911">
        <v>8.0236796545982205</v>
      </c>
      <c r="L82" s="774">
        <v>17.746438683569369</v>
      </c>
      <c r="M82" s="774">
        <v>17.173972919583306</v>
      </c>
      <c r="N82" s="774">
        <v>17.746438683569369</v>
      </c>
      <c r="O82" s="774">
        <v>199.84027169316965</v>
      </c>
    </row>
    <row r="85" spans="1:15">
      <c r="G85" s="220"/>
      <c r="H85" s="220"/>
      <c r="N85" s="220"/>
    </row>
    <row r="97" spans="1:1">
      <c r="A97" t="s">
        <v>359</v>
      </c>
    </row>
    <row r="98" spans="1:1">
      <c r="A98" t="s">
        <v>132</v>
      </c>
    </row>
  </sheetData>
  <mergeCells count="1">
    <mergeCell ref="A72:B72"/>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FFFF00"/>
  </sheetPr>
  <dimension ref="A1:M26"/>
  <sheetViews>
    <sheetView zoomScale="55" zoomScaleNormal="55" workbookViewId="0">
      <selection activeCell="B9" sqref="B9"/>
    </sheetView>
  </sheetViews>
  <sheetFormatPr defaultRowHeight="14.5"/>
  <cols>
    <col min="1" max="1" width="15.453125" customWidth="1"/>
  </cols>
  <sheetData>
    <row r="1" spans="1:13" ht="15" thickBot="1">
      <c r="A1" s="243"/>
      <c r="B1" s="618">
        <v>44502</v>
      </c>
      <c r="C1" s="618">
        <v>44532</v>
      </c>
      <c r="D1" s="618">
        <v>44563</v>
      </c>
      <c r="E1" s="618">
        <v>44594</v>
      </c>
      <c r="F1" s="618">
        <v>44622</v>
      </c>
      <c r="G1" s="618">
        <v>44653</v>
      </c>
      <c r="H1" s="618">
        <v>44683</v>
      </c>
      <c r="I1" s="618">
        <v>44714</v>
      </c>
      <c r="J1" s="618">
        <v>44744</v>
      </c>
      <c r="K1" s="618">
        <v>44775</v>
      </c>
      <c r="L1" s="618">
        <v>44806</v>
      </c>
      <c r="M1" s="618">
        <v>44836</v>
      </c>
    </row>
    <row r="2" spans="1:13">
      <c r="A2" s="41" t="s">
        <v>3</v>
      </c>
      <c r="B2" s="292">
        <v>257.97827817290158</v>
      </c>
      <c r="C2" s="292">
        <v>271.07009928877699</v>
      </c>
      <c r="D2" s="292">
        <v>295.37387931034482</v>
      </c>
      <c r="E2" s="292">
        <v>261.73965517241385</v>
      </c>
      <c r="F2" s="292">
        <v>289.78318965517246</v>
      </c>
      <c r="G2" s="292">
        <v>266.93534482758628</v>
      </c>
      <c r="H2" s="292">
        <v>265.11650862068961</v>
      </c>
      <c r="I2" s="292">
        <v>255.4913793103448</v>
      </c>
      <c r="J2" s="292">
        <v>264.00775862068963</v>
      </c>
      <c r="K2" s="292">
        <v>264.20818965517242</v>
      </c>
      <c r="L2" s="292">
        <v>255.68534482758628</v>
      </c>
      <c r="M2" s="292">
        <v>264.20818965517242</v>
      </c>
    </row>
    <row r="3" spans="1:13">
      <c r="A3" s="43" t="s">
        <v>29</v>
      </c>
      <c r="B3" s="292">
        <v>1.2</v>
      </c>
      <c r="C3" s="292">
        <v>1.2</v>
      </c>
      <c r="D3" s="292" t="s">
        <v>60</v>
      </c>
      <c r="E3" s="292" t="s">
        <v>60</v>
      </c>
      <c r="F3" s="292" t="s">
        <v>60</v>
      </c>
      <c r="G3" s="292" t="s">
        <v>60</v>
      </c>
      <c r="H3" s="292" t="s">
        <v>60</v>
      </c>
      <c r="I3" s="292" t="s">
        <v>60</v>
      </c>
      <c r="J3" s="292" t="s">
        <v>60</v>
      </c>
      <c r="K3" s="292" t="s">
        <v>60</v>
      </c>
      <c r="L3" s="292" t="s">
        <v>60</v>
      </c>
      <c r="M3" s="292" t="s">
        <v>60</v>
      </c>
    </row>
    <row r="4" spans="1:13">
      <c r="A4" s="43" t="s">
        <v>0</v>
      </c>
      <c r="B4" s="283">
        <v>0</v>
      </c>
      <c r="C4" s="283">
        <v>0</v>
      </c>
      <c r="D4" s="283">
        <v>0</v>
      </c>
      <c r="E4" s="283">
        <v>0</v>
      </c>
      <c r="F4" s="283">
        <v>0</v>
      </c>
      <c r="G4" s="283">
        <v>0</v>
      </c>
      <c r="H4" s="283">
        <v>0</v>
      </c>
      <c r="I4" s="283">
        <v>0</v>
      </c>
      <c r="J4" s="283">
        <v>0</v>
      </c>
      <c r="K4" s="283">
        <v>0</v>
      </c>
      <c r="L4" s="283">
        <v>0</v>
      </c>
      <c r="M4" s="283">
        <v>0</v>
      </c>
    </row>
    <row r="5" spans="1:13">
      <c r="A5" s="43" t="s">
        <v>1</v>
      </c>
      <c r="B5" s="283">
        <v>7.4</v>
      </c>
      <c r="C5" s="283">
        <v>5.4</v>
      </c>
      <c r="D5" s="283">
        <v>6.12</v>
      </c>
      <c r="E5" s="283">
        <v>6.12</v>
      </c>
      <c r="F5" s="283">
        <v>6.12</v>
      </c>
      <c r="G5" s="283">
        <v>6.12</v>
      </c>
      <c r="H5" s="283">
        <v>6.12</v>
      </c>
      <c r="I5" s="283">
        <v>6.12</v>
      </c>
      <c r="J5" s="283">
        <v>6.12</v>
      </c>
      <c r="K5" s="283">
        <v>6.12</v>
      </c>
      <c r="L5" s="283">
        <v>6.12</v>
      </c>
      <c r="M5" s="283">
        <v>6.12</v>
      </c>
    </row>
    <row r="6" spans="1:13">
      <c r="A6" s="43" t="s">
        <v>28</v>
      </c>
      <c r="B6" s="283">
        <v>5.55</v>
      </c>
      <c r="C6" s="283">
        <v>5.7350000000000003</v>
      </c>
      <c r="D6" s="283">
        <v>5.7350000000000003</v>
      </c>
      <c r="E6" s="283">
        <v>5.7350000000000003</v>
      </c>
      <c r="F6" s="283">
        <v>5.7350000000000003</v>
      </c>
      <c r="G6" s="283">
        <v>5.7350000000000003</v>
      </c>
      <c r="H6" s="283">
        <v>5.7350000000000003</v>
      </c>
      <c r="I6" s="283">
        <v>5.7350000000000003</v>
      </c>
      <c r="J6" s="283">
        <v>5.7350000000000003</v>
      </c>
      <c r="K6" s="283">
        <v>5.7350000000000003</v>
      </c>
      <c r="L6" s="283">
        <v>5.7350000000000003</v>
      </c>
      <c r="M6" s="283">
        <v>5.7350000000000003</v>
      </c>
    </row>
    <row r="7" spans="1:13" ht="15" thickBot="1">
      <c r="A7" s="43" t="s">
        <v>5</v>
      </c>
      <c r="B7" s="283">
        <v>15.75</v>
      </c>
      <c r="C7" s="283">
        <v>16.37</v>
      </c>
      <c r="D7" s="283">
        <v>17.515000000000001</v>
      </c>
      <c r="E7" s="283">
        <v>16.52</v>
      </c>
      <c r="F7" s="283">
        <v>18.445</v>
      </c>
      <c r="G7" s="283">
        <v>12</v>
      </c>
      <c r="H7" s="283">
        <v>17.824999999999999</v>
      </c>
      <c r="I7" s="283">
        <v>15.9</v>
      </c>
      <c r="J7" s="283">
        <v>6.2</v>
      </c>
      <c r="K7" s="283">
        <v>8.06</v>
      </c>
      <c r="L7" s="283">
        <v>1.56</v>
      </c>
      <c r="M7" s="283">
        <v>0.36</v>
      </c>
    </row>
    <row r="8" spans="1:13" ht="15" hidden="1" thickBot="1">
      <c r="A8" s="617" t="s">
        <v>270</v>
      </c>
      <c r="B8" s="619"/>
      <c r="C8" s="619"/>
      <c r="D8" s="619"/>
      <c r="E8" s="619"/>
      <c r="F8" s="619"/>
      <c r="G8" s="619"/>
      <c r="H8" s="619"/>
      <c r="I8" s="619"/>
      <c r="J8" s="619"/>
      <c r="K8" s="619"/>
      <c r="L8" s="619"/>
      <c r="M8" s="620"/>
    </row>
    <row r="9" spans="1:13">
      <c r="A9" s="41" t="s">
        <v>50</v>
      </c>
      <c r="B9" s="239">
        <f>B25+B26</f>
        <v>313.38299999999998</v>
      </c>
      <c r="C9" s="239">
        <f t="shared" ref="C9:M9" si="0">C25+C26</f>
        <v>323.8649999999999</v>
      </c>
      <c r="D9" s="239">
        <f t="shared" si="0"/>
        <v>332.44517944360473</v>
      </c>
      <c r="E9" s="239">
        <f t="shared" si="0"/>
        <v>325.54591725085459</v>
      </c>
      <c r="F9" s="239">
        <f t="shared" si="0"/>
        <v>337.13034348184567</v>
      </c>
      <c r="G9" s="239">
        <f t="shared" si="0"/>
        <v>345.37342315824486</v>
      </c>
      <c r="H9" s="239">
        <f>H25+H26</f>
        <v>346.30377925019098</v>
      </c>
      <c r="I9" s="239">
        <f t="shared" si="0"/>
        <v>323.28272733471829</v>
      </c>
      <c r="J9" s="239">
        <f t="shared" si="0"/>
        <v>334.35098880596735</v>
      </c>
      <c r="K9" s="239">
        <f t="shared" si="0"/>
        <v>330.47445399570478</v>
      </c>
      <c r="L9" s="239">
        <f t="shared" si="0"/>
        <v>324.4859370559617</v>
      </c>
      <c r="M9" s="239">
        <f t="shared" si="0"/>
        <v>338.70803982148271</v>
      </c>
    </row>
    <row r="10" spans="1:13" ht="15" thickBot="1">
      <c r="A10" s="449" t="s">
        <v>143</v>
      </c>
      <c r="B10" s="116"/>
      <c r="C10" s="116"/>
      <c r="D10" s="116"/>
      <c r="E10" s="116"/>
      <c r="F10" s="116"/>
      <c r="G10" s="116"/>
      <c r="H10" s="116"/>
      <c r="I10" s="116"/>
      <c r="J10" s="116"/>
      <c r="K10" s="116"/>
      <c r="L10" s="116"/>
      <c r="M10" s="116"/>
    </row>
    <row r="11" spans="1:13">
      <c r="A11" s="96" t="s">
        <v>361</v>
      </c>
      <c r="B11" s="267">
        <v>30</v>
      </c>
      <c r="C11" s="94">
        <v>30</v>
      </c>
      <c r="D11" s="94">
        <v>13</v>
      </c>
      <c r="E11" s="94">
        <v>35</v>
      </c>
      <c r="F11" s="94">
        <v>17</v>
      </c>
      <c r="G11" s="94">
        <v>55</v>
      </c>
      <c r="H11" s="94">
        <v>41</v>
      </c>
      <c r="I11" s="94">
        <v>30</v>
      </c>
      <c r="J11" s="94">
        <v>42</v>
      </c>
      <c r="K11" s="94">
        <v>41</v>
      </c>
      <c r="L11" s="94">
        <v>45</v>
      </c>
      <c r="M11" s="94">
        <v>52</v>
      </c>
    </row>
    <row r="12" spans="1:13" ht="15" thickBot="1">
      <c r="A12" s="97" t="s">
        <v>48</v>
      </c>
      <c r="B12" s="372"/>
      <c r="C12" s="95"/>
      <c r="D12" s="95"/>
      <c r="E12" s="95"/>
      <c r="F12" s="95"/>
      <c r="G12" s="95"/>
      <c r="H12" s="95"/>
      <c r="I12" s="95"/>
      <c r="J12" s="95"/>
      <c r="K12" s="95"/>
      <c r="L12" s="95"/>
      <c r="M12" s="95"/>
    </row>
    <row r="14" spans="1:13" ht="15" thickBot="1"/>
    <row r="15" spans="1:13" ht="15" thickBot="1">
      <c r="A15" s="243"/>
      <c r="B15" s="347">
        <f>B1</f>
        <v>44502</v>
      </c>
      <c r="C15" s="347">
        <f t="shared" ref="C15:M15" si="1">C1</f>
        <v>44532</v>
      </c>
      <c r="D15" s="347">
        <f t="shared" si="1"/>
        <v>44563</v>
      </c>
      <c r="E15" s="347">
        <f t="shared" si="1"/>
        <v>44594</v>
      </c>
      <c r="F15" s="347">
        <f t="shared" si="1"/>
        <v>44622</v>
      </c>
      <c r="G15" s="347">
        <f t="shared" si="1"/>
        <v>44653</v>
      </c>
      <c r="H15" s="347">
        <f t="shared" si="1"/>
        <v>44683</v>
      </c>
      <c r="I15" s="347">
        <f t="shared" si="1"/>
        <v>44714</v>
      </c>
      <c r="J15" s="347">
        <f t="shared" si="1"/>
        <v>44744</v>
      </c>
      <c r="K15" s="347">
        <f t="shared" si="1"/>
        <v>44775</v>
      </c>
      <c r="L15" s="347">
        <f t="shared" si="1"/>
        <v>44806</v>
      </c>
      <c r="M15" s="347">
        <f t="shared" si="1"/>
        <v>44836</v>
      </c>
    </row>
    <row r="16" spans="1:13">
      <c r="A16" s="41" t="s">
        <v>11</v>
      </c>
      <c r="B16" s="292">
        <v>25.5</v>
      </c>
      <c r="C16" s="292">
        <v>44.622999999999998</v>
      </c>
      <c r="D16" s="292">
        <v>46.74</v>
      </c>
      <c r="E16" s="292">
        <v>57.488</v>
      </c>
      <c r="F16" s="292">
        <v>80.736000000000004</v>
      </c>
      <c r="G16" s="292">
        <v>61.540999999999997</v>
      </c>
      <c r="H16" s="292">
        <v>56.097999999999999</v>
      </c>
      <c r="I16" s="292">
        <v>53.222000000000001</v>
      </c>
      <c r="J16" s="292">
        <v>56.540999999999997</v>
      </c>
      <c r="K16" s="292">
        <v>60.680999999999997</v>
      </c>
      <c r="L16" s="292">
        <v>56.433</v>
      </c>
      <c r="M16" s="292">
        <v>57</v>
      </c>
    </row>
    <row r="17" spans="1:13">
      <c r="A17" s="43" t="s">
        <v>12</v>
      </c>
      <c r="B17" s="283">
        <v>12</v>
      </c>
      <c r="C17" s="283">
        <v>12</v>
      </c>
      <c r="D17" s="283">
        <v>12</v>
      </c>
      <c r="E17" s="283">
        <v>0</v>
      </c>
      <c r="F17" s="283">
        <v>0</v>
      </c>
      <c r="G17" s="283">
        <v>25</v>
      </c>
      <c r="H17" s="283">
        <v>33.4</v>
      </c>
      <c r="I17" s="283">
        <v>33.4</v>
      </c>
      <c r="J17" s="283">
        <v>33.4</v>
      </c>
      <c r="K17" s="283">
        <v>33.4</v>
      </c>
      <c r="L17" s="283">
        <v>33.4</v>
      </c>
      <c r="M17" s="283">
        <v>33.4</v>
      </c>
    </row>
    <row r="18" spans="1:13">
      <c r="A18" s="43" t="s">
        <v>13</v>
      </c>
      <c r="B18" s="283">
        <v>28.82</v>
      </c>
      <c r="C18" s="283">
        <v>18.52</v>
      </c>
      <c r="D18" s="283">
        <v>32.4</v>
      </c>
      <c r="E18" s="283">
        <v>33.479999999999997</v>
      </c>
      <c r="F18" s="283">
        <v>32.4</v>
      </c>
      <c r="G18" s="283">
        <v>33.479999999999997</v>
      </c>
      <c r="H18" s="283">
        <v>33.479999999999997</v>
      </c>
      <c r="I18" s="283">
        <v>32.4</v>
      </c>
      <c r="J18" s="283">
        <v>33.479999999999997</v>
      </c>
      <c r="K18" s="283">
        <v>32.4</v>
      </c>
      <c r="L18" s="283">
        <v>33.479999999999997</v>
      </c>
      <c r="M18" s="283">
        <v>33.479999999999997</v>
      </c>
    </row>
    <row r="19" spans="1:13" ht="15" thickBot="1">
      <c r="A19" s="51" t="s">
        <v>14</v>
      </c>
      <c r="B19" s="295">
        <v>26.178999999999998</v>
      </c>
      <c r="C19" s="295">
        <v>27.981999999999999</v>
      </c>
      <c r="D19" s="295">
        <v>27.079000000000001</v>
      </c>
      <c r="E19" s="295">
        <v>27.981999999999999</v>
      </c>
      <c r="F19" s="295">
        <v>27.079000000000001</v>
      </c>
      <c r="G19" s="295">
        <v>25.311</v>
      </c>
      <c r="H19" s="295">
        <v>31.792000000000002</v>
      </c>
      <c r="I19" s="295">
        <v>24.42</v>
      </c>
      <c r="J19" s="295">
        <v>31.792000000000002</v>
      </c>
      <c r="K19" s="295">
        <v>24.42</v>
      </c>
      <c r="L19" s="295">
        <v>27.981999999999999</v>
      </c>
      <c r="M19" s="295">
        <v>27.981999999999999</v>
      </c>
    </row>
    <row r="23" spans="1:13" ht="15" thickBot="1"/>
    <row r="24" spans="1:13" ht="15" thickBot="1">
      <c r="A24" s="1" t="s">
        <v>50</v>
      </c>
      <c r="B24" s="347">
        <f>B15</f>
        <v>44502</v>
      </c>
      <c r="C24" s="347">
        <f t="shared" ref="C24:M24" si="2">C15</f>
        <v>44532</v>
      </c>
      <c r="D24" s="347">
        <f t="shared" si="2"/>
        <v>44563</v>
      </c>
      <c r="E24" s="347">
        <f t="shared" si="2"/>
        <v>44594</v>
      </c>
      <c r="F24" s="347">
        <f t="shared" si="2"/>
        <v>44622</v>
      </c>
      <c r="G24" s="347">
        <f t="shared" si="2"/>
        <v>44653</v>
      </c>
      <c r="H24" s="347">
        <f t="shared" si="2"/>
        <v>44683</v>
      </c>
      <c r="I24" s="347">
        <f t="shared" si="2"/>
        <v>44714</v>
      </c>
      <c r="J24" s="347">
        <f t="shared" si="2"/>
        <v>44744</v>
      </c>
      <c r="K24" s="347">
        <f t="shared" si="2"/>
        <v>44775</v>
      </c>
      <c r="L24" s="347">
        <f t="shared" si="2"/>
        <v>44806</v>
      </c>
      <c r="M24" s="347">
        <f t="shared" si="2"/>
        <v>44836</v>
      </c>
    </row>
    <row r="25" spans="1:13">
      <c r="A25" t="s">
        <v>50</v>
      </c>
      <c r="B25" s="211">
        <v>313.38299999999998</v>
      </c>
      <c r="C25" s="211">
        <v>323.8649999999999</v>
      </c>
      <c r="D25" s="211">
        <v>332.44517944360473</v>
      </c>
      <c r="E25" s="211">
        <v>325.54591725085459</v>
      </c>
      <c r="F25" s="211">
        <v>337.13034348184567</v>
      </c>
      <c r="G25" s="211">
        <v>345.37342315824486</v>
      </c>
      <c r="H25" s="211">
        <v>335.88777925019099</v>
      </c>
      <c r="I25" s="211">
        <v>313.2027273347183</v>
      </c>
      <c r="J25" s="211">
        <v>323.93498880596735</v>
      </c>
      <c r="K25" s="211">
        <v>325.05845399570478</v>
      </c>
      <c r="L25" s="211">
        <v>314.40593705596172</v>
      </c>
      <c r="M25" s="211">
        <v>328.29203982148272</v>
      </c>
    </row>
    <row r="26" spans="1:13">
      <c r="A26" t="s">
        <v>360</v>
      </c>
      <c r="B26" s="211"/>
      <c r="C26" s="211"/>
      <c r="D26" s="211"/>
      <c r="E26" s="211"/>
      <c r="F26" s="211"/>
      <c r="G26" s="211"/>
      <c r="H26" s="211">
        <v>10.416</v>
      </c>
      <c r="I26" s="211">
        <v>10.08</v>
      </c>
      <c r="J26" s="211">
        <v>10.416</v>
      </c>
      <c r="K26" s="211">
        <v>5.4160000000000004</v>
      </c>
      <c r="L26" s="211">
        <v>10.08</v>
      </c>
      <c r="M26" s="211">
        <v>10.416</v>
      </c>
    </row>
  </sheetData>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92D050"/>
  </sheetPr>
  <dimension ref="A1:M27"/>
  <sheetViews>
    <sheetView zoomScale="70" zoomScaleNormal="70" workbookViewId="0">
      <selection activeCell="J16" sqref="J16"/>
    </sheetView>
  </sheetViews>
  <sheetFormatPr defaultRowHeight="14.5"/>
  <cols>
    <col min="1" max="1" width="15.453125" customWidth="1"/>
  </cols>
  <sheetData>
    <row r="1" spans="1:13" ht="15" thickBot="1">
      <c r="A1" s="243"/>
      <c r="B1" s="251">
        <v>44257</v>
      </c>
      <c r="C1" s="251">
        <v>44288</v>
      </c>
      <c r="D1" s="251">
        <v>44318</v>
      </c>
      <c r="E1" s="251">
        <v>44349</v>
      </c>
      <c r="F1" s="251">
        <v>44379</v>
      </c>
      <c r="G1" s="251">
        <v>44410</v>
      </c>
      <c r="H1" s="251">
        <v>44441</v>
      </c>
      <c r="I1" s="251">
        <v>44471</v>
      </c>
      <c r="J1" s="251">
        <v>44502</v>
      </c>
      <c r="K1" s="251">
        <v>44532</v>
      </c>
      <c r="L1" s="251">
        <v>44563</v>
      </c>
      <c r="M1" s="251">
        <v>44594</v>
      </c>
    </row>
    <row r="2" spans="1:13">
      <c r="A2" s="41" t="s">
        <v>190</v>
      </c>
      <c r="B2" s="292">
        <v>22.41</v>
      </c>
      <c r="C2" s="292">
        <v>27</v>
      </c>
      <c r="D2" s="292">
        <v>23</v>
      </c>
      <c r="E2" s="292">
        <v>23</v>
      </c>
      <c r="F2" s="292">
        <v>22.33</v>
      </c>
      <c r="G2" s="292">
        <v>18.537654631333371</v>
      </c>
      <c r="H2" s="292">
        <v>20.568618362639604</v>
      </c>
      <c r="I2" s="292">
        <v>21.6</v>
      </c>
      <c r="J2" s="292">
        <v>11.111747403354601</v>
      </c>
      <c r="K2" s="292">
        <v>21.632649295245223</v>
      </c>
      <c r="L2" s="292">
        <v>14</v>
      </c>
      <c r="M2" s="292">
        <v>22.386365516562147</v>
      </c>
    </row>
    <row r="3" spans="1:13">
      <c r="A3" s="43" t="s">
        <v>206</v>
      </c>
      <c r="B3" s="292">
        <v>13</v>
      </c>
      <c r="C3" s="292">
        <v>25</v>
      </c>
      <c r="D3" s="292">
        <v>12</v>
      </c>
      <c r="E3" s="292">
        <v>21</v>
      </c>
      <c r="F3" s="292">
        <v>14</v>
      </c>
      <c r="G3" s="292">
        <v>5</v>
      </c>
      <c r="H3" s="292">
        <v>20</v>
      </c>
      <c r="I3" s="292">
        <v>20</v>
      </c>
      <c r="J3" s="292">
        <v>20</v>
      </c>
      <c r="K3" s="292">
        <v>20</v>
      </c>
      <c r="L3" s="292">
        <v>20</v>
      </c>
      <c r="M3" s="292">
        <v>25</v>
      </c>
    </row>
    <row r="4" spans="1:13">
      <c r="A4" s="43" t="s">
        <v>191</v>
      </c>
      <c r="B4" s="292"/>
      <c r="C4" s="292"/>
      <c r="D4" s="292"/>
      <c r="E4" s="292"/>
      <c r="F4" s="292">
        <v>4.000915441226482</v>
      </c>
      <c r="G4" s="292">
        <v>4</v>
      </c>
      <c r="H4" s="292">
        <v>4</v>
      </c>
      <c r="I4" s="292">
        <v>4</v>
      </c>
      <c r="J4" s="292">
        <v>4</v>
      </c>
      <c r="K4" s="292">
        <v>4</v>
      </c>
      <c r="L4" s="292"/>
      <c r="M4" s="292">
        <v>4</v>
      </c>
    </row>
    <row r="5" spans="1:13">
      <c r="A5" s="43" t="s">
        <v>192</v>
      </c>
      <c r="B5" s="283"/>
      <c r="C5" s="283"/>
      <c r="D5" s="283"/>
      <c r="E5" s="283"/>
      <c r="F5" s="283">
        <v>4</v>
      </c>
      <c r="G5" s="283">
        <v>4</v>
      </c>
      <c r="H5" s="283">
        <v>4</v>
      </c>
      <c r="I5" s="283">
        <v>4</v>
      </c>
      <c r="J5" s="283">
        <v>4</v>
      </c>
      <c r="K5" s="283">
        <v>4</v>
      </c>
      <c r="L5" s="283">
        <v>4</v>
      </c>
      <c r="M5" s="283">
        <v>4</v>
      </c>
    </row>
    <row r="6" spans="1:13">
      <c r="A6" s="43" t="s">
        <v>13</v>
      </c>
      <c r="B6" s="283">
        <v>31.8</v>
      </c>
      <c r="C6" s="283">
        <v>32.86</v>
      </c>
      <c r="D6" s="283">
        <v>31.8</v>
      </c>
      <c r="E6" s="283">
        <v>32.86</v>
      </c>
      <c r="F6" s="283">
        <v>32.86</v>
      </c>
      <c r="G6" s="283">
        <v>29.68</v>
      </c>
      <c r="H6" s="283">
        <v>32.86</v>
      </c>
      <c r="I6" s="283">
        <v>31.8</v>
      </c>
      <c r="J6" s="283">
        <v>32.86</v>
      </c>
      <c r="K6" s="283">
        <v>31.8</v>
      </c>
      <c r="L6" s="283">
        <v>19.551900859337</v>
      </c>
      <c r="M6" s="283">
        <v>32.86</v>
      </c>
    </row>
    <row r="7" spans="1:13">
      <c r="A7" s="43" t="s">
        <v>14</v>
      </c>
      <c r="B7" s="283">
        <v>21.2</v>
      </c>
      <c r="C7" s="283">
        <v>21.2</v>
      </c>
      <c r="D7" s="283">
        <v>21.2</v>
      </c>
      <c r="E7" s="283">
        <v>21.2</v>
      </c>
      <c r="F7" s="283">
        <v>26.538353135313532</v>
      </c>
      <c r="G7" s="283">
        <v>23.970125412541258</v>
      </c>
      <c r="H7" s="283">
        <v>26.538353135313532</v>
      </c>
      <c r="I7" s="283">
        <v>25.682277227722775</v>
      </c>
      <c r="J7" s="283">
        <v>26.538353135313532</v>
      </c>
      <c r="K7" s="283">
        <v>25.682277227722775</v>
      </c>
      <c r="L7" s="283">
        <v>8.0449999999999999</v>
      </c>
      <c r="M7" s="283">
        <v>13.064</v>
      </c>
    </row>
    <row r="8" spans="1:13" ht="15" thickBot="1">
      <c r="A8" s="43" t="s">
        <v>159</v>
      </c>
      <c r="B8" s="283">
        <v>209.25477217</v>
      </c>
      <c r="C8" s="283">
        <v>206.80664953000002</v>
      </c>
      <c r="D8" s="283">
        <v>210.08396302</v>
      </c>
      <c r="E8" s="283">
        <v>211.54425537000003</v>
      </c>
      <c r="F8" s="283">
        <v>215.78532514</v>
      </c>
      <c r="G8" s="283">
        <v>212.24642030000007</v>
      </c>
      <c r="H8" s="283">
        <v>211.43749837999997</v>
      </c>
      <c r="I8" s="283">
        <v>214.11235606999998</v>
      </c>
      <c r="J8" s="283">
        <v>210.56837680999996</v>
      </c>
      <c r="K8" s="283">
        <v>213.00199872999997</v>
      </c>
      <c r="L8" s="283">
        <v>214.99055700999997</v>
      </c>
      <c r="M8" s="283">
        <v>214.25616400999996</v>
      </c>
    </row>
    <row r="9" spans="1:13">
      <c r="A9" s="41" t="s">
        <v>32</v>
      </c>
      <c r="B9" s="239">
        <v>300.27272727272737</v>
      </c>
      <c r="C9" s="239">
        <v>311.9763636363636</v>
      </c>
      <c r="D9" s="239">
        <v>297.27500000000003</v>
      </c>
      <c r="E9" s="239">
        <v>310.05</v>
      </c>
      <c r="F9" s="239">
        <v>315.94799999999998</v>
      </c>
      <c r="G9" s="239">
        <v>287.15000000000009</v>
      </c>
      <c r="H9" s="239">
        <v>329.6</v>
      </c>
      <c r="I9" s="239">
        <v>315</v>
      </c>
      <c r="J9" s="239">
        <v>317.86</v>
      </c>
      <c r="K9" s="239">
        <v>316.14999999999998</v>
      </c>
      <c r="L9" s="239">
        <v>249.67999999999998</v>
      </c>
      <c r="M9" s="239">
        <v>328.67</v>
      </c>
    </row>
    <row r="10" spans="1:13" ht="15" thickBot="1">
      <c r="A10" s="86" t="s">
        <v>143</v>
      </c>
      <c r="B10" s="116">
        <v>0.25403924107025933</v>
      </c>
      <c r="C10" s="116">
        <v>0.33483128996932265</v>
      </c>
      <c r="D10" s="116">
        <v>0.44030814595945017</v>
      </c>
      <c r="E10" s="116">
        <v>0.52359343951186588</v>
      </c>
      <c r="F10" s="116">
        <v>0.46103669107740353</v>
      </c>
      <c r="G10" s="116">
        <v>0.39779918773241624</v>
      </c>
      <c r="H10" s="116">
        <v>0.66942577304125628</v>
      </c>
      <c r="I10" s="99">
        <v>0.35713950005208561</v>
      </c>
      <c r="J10" s="99">
        <v>0.35684026040672934</v>
      </c>
      <c r="K10" s="99">
        <v>0.3512152386185301</v>
      </c>
      <c r="L10" s="99">
        <v>0.35110414053853761</v>
      </c>
      <c r="M10" s="99">
        <v>0.35166186409611494</v>
      </c>
    </row>
    <row r="11" spans="1:13">
      <c r="A11" s="365" t="s">
        <v>47</v>
      </c>
      <c r="B11" s="366">
        <v>3</v>
      </c>
      <c r="C11" s="366">
        <v>5</v>
      </c>
      <c r="D11" s="366"/>
      <c r="E11" s="366"/>
      <c r="F11" s="366"/>
      <c r="G11" s="366"/>
      <c r="H11" s="366"/>
      <c r="I11" s="366">
        <v>24</v>
      </c>
      <c r="J11" s="366">
        <v>34</v>
      </c>
      <c r="K11" s="366">
        <v>48</v>
      </c>
      <c r="L11" s="366">
        <v>42</v>
      </c>
      <c r="M11" s="366">
        <v>84</v>
      </c>
    </row>
    <row r="12" spans="1:13" ht="15" thickBot="1">
      <c r="A12" s="97" t="s">
        <v>227</v>
      </c>
      <c r="B12" s="250"/>
      <c r="C12" s="95">
        <v>5</v>
      </c>
      <c r="D12" s="95">
        <v>21</v>
      </c>
      <c r="E12" s="95">
        <v>29</v>
      </c>
      <c r="F12" s="95">
        <v>30</v>
      </c>
      <c r="G12" s="95"/>
      <c r="H12" s="95"/>
      <c r="I12" s="95"/>
      <c r="J12" s="95"/>
      <c r="K12" s="95"/>
      <c r="L12" s="95"/>
      <c r="M12" s="95"/>
    </row>
    <row r="14" spans="1:13">
      <c r="B14" s="209">
        <f>-B11</f>
        <v>-3</v>
      </c>
      <c r="C14" s="209">
        <f>C12</f>
        <v>5</v>
      </c>
      <c r="D14" s="209">
        <f>D12</f>
        <v>21</v>
      </c>
      <c r="E14" s="209">
        <f>E12</f>
        <v>29</v>
      </c>
      <c r="F14" s="209">
        <f t="shared" ref="F14:M14" si="0">-F11</f>
        <v>0</v>
      </c>
      <c r="G14" s="209">
        <f t="shared" si="0"/>
        <v>0</v>
      </c>
      <c r="H14" s="209">
        <f t="shared" si="0"/>
        <v>0</v>
      </c>
      <c r="I14" s="209">
        <f t="shared" si="0"/>
        <v>-24</v>
      </c>
      <c r="J14" s="209">
        <f t="shared" si="0"/>
        <v>-34</v>
      </c>
      <c r="K14" s="209">
        <f t="shared" si="0"/>
        <v>-48</v>
      </c>
      <c r="L14" s="209">
        <f t="shared" si="0"/>
        <v>-42</v>
      </c>
      <c r="M14" s="209">
        <f t="shared" si="0"/>
        <v>-84</v>
      </c>
    </row>
    <row r="21" spans="1:13" ht="15" thickBot="1"/>
    <row r="22" spans="1:13" ht="15" thickBot="1">
      <c r="A22" s="243"/>
      <c r="B22" s="347">
        <v>43892</v>
      </c>
      <c r="C22" s="347">
        <v>43923</v>
      </c>
      <c r="D22" s="347">
        <v>43953</v>
      </c>
      <c r="E22" s="347">
        <v>43984</v>
      </c>
      <c r="F22" s="347">
        <v>44014</v>
      </c>
      <c r="G22" s="347">
        <v>44045</v>
      </c>
      <c r="H22" s="347">
        <v>44076</v>
      </c>
      <c r="I22" s="347">
        <v>44106</v>
      </c>
      <c r="J22" s="347">
        <v>44137</v>
      </c>
      <c r="K22" s="347">
        <v>44167</v>
      </c>
      <c r="L22" s="347">
        <v>44198</v>
      </c>
      <c r="M22" s="347">
        <v>44229</v>
      </c>
    </row>
    <row r="23" spans="1:13">
      <c r="A23" s="41" t="s">
        <v>0</v>
      </c>
      <c r="B23" s="292">
        <v>38.888888888888886</v>
      </c>
      <c r="C23" s="292">
        <v>37.037037037037038</v>
      </c>
      <c r="D23" s="292">
        <v>38.580246913580247</v>
      </c>
      <c r="E23" s="292">
        <v>30.864197530864196</v>
      </c>
      <c r="F23" s="292">
        <v>39.351851851851848</v>
      </c>
      <c r="G23" s="292">
        <v>37.037037037037038</v>
      </c>
      <c r="H23" s="292">
        <v>38.580246913580247</v>
      </c>
      <c r="I23" s="292">
        <v>37.037037037037038</v>
      </c>
      <c r="J23" s="292">
        <v>38.580246913580247</v>
      </c>
      <c r="K23" s="292">
        <v>35.493827160493829</v>
      </c>
      <c r="L23" s="292">
        <v>40.123456790123456</v>
      </c>
      <c r="M23" s="292">
        <v>35.493827160493829</v>
      </c>
    </row>
    <row r="24" spans="1:13">
      <c r="A24" s="43" t="s">
        <v>185</v>
      </c>
      <c r="B24" s="283">
        <v>43.6</v>
      </c>
      <c r="C24" s="283">
        <v>42.2</v>
      </c>
      <c r="D24" s="283">
        <v>43.629629629629626</v>
      </c>
      <c r="E24" s="283">
        <v>42.222222222222221</v>
      </c>
      <c r="F24" s="283">
        <v>43.629629629629626</v>
      </c>
      <c r="G24" s="283">
        <v>43.629629629629626</v>
      </c>
      <c r="H24" s="283">
        <v>42.222222222222221</v>
      </c>
      <c r="I24" s="283">
        <v>43.629629629629626</v>
      </c>
      <c r="J24" s="283">
        <v>42.222222222222221</v>
      </c>
      <c r="K24" s="283">
        <v>43.629629629629626</v>
      </c>
      <c r="L24" s="283">
        <v>43.629629629629626</v>
      </c>
      <c r="M24" s="283">
        <v>39.407407407407412</v>
      </c>
    </row>
    <row r="25" spans="1:13" ht="15" thickBot="1">
      <c r="A25" s="43" t="s">
        <v>115</v>
      </c>
      <c r="B25" s="282">
        <v>2.5</v>
      </c>
      <c r="C25" s="283"/>
      <c r="D25" s="283"/>
      <c r="E25" s="283"/>
      <c r="F25" s="283"/>
      <c r="G25" s="283"/>
      <c r="H25" s="283"/>
      <c r="I25" s="283"/>
      <c r="J25" s="283"/>
      <c r="K25" s="283"/>
      <c r="L25" s="283"/>
      <c r="M25" s="283"/>
    </row>
    <row r="26" spans="1:13">
      <c r="A26" s="41" t="s">
        <v>32</v>
      </c>
      <c r="B26" s="239">
        <v>80.8</v>
      </c>
      <c r="C26" s="239">
        <v>77.786000000000001</v>
      </c>
      <c r="D26" s="239">
        <v>81.843738095238095</v>
      </c>
      <c r="E26" s="239">
        <v>73.823023809523818</v>
      </c>
      <c r="F26" s="239">
        <v>82.342019420294847</v>
      </c>
      <c r="G26" s="239">
        <v>81.342019420294847</v>
      </c>
      <c r="H26" s="239">
        <v>80.242019420294852</v>
      </c>
      <c r="I26" s="239">
        <v>81.342019420294847</v>
      </c>
      <c r="J26" s="239">
        <v>80.242019420294852</v>
      </c>
      <c r="K26" s="239">
        <v>79.938574632541147</v>
      </c>
      <c r="L26" s="239">
        <v>82.348688686701848</v>
      </c>
      <c r="M26" s="239">
        <v>74.932000000000002</v>
      </c>
    </row>
    <row r="27" spans="1:13" ht="15" thickBot="1">
      <c r="A27" s="240" t="s">
        <v>186</v>
      </c>
      <c r="B27" s="241">
        <v>0.47705921934534806</v>
      </c>
      <c r="C27" s="241">
        <v>0.41285404071539056</v>
      </c>
      <c r="D27" s="241">
        <v>0.39665322443345347</v>
      </c>
      <c r="E27" s="241">
        <v>0.42924632427581627</v>
      </c>
      <c r="F27" s="241">
        <v>0.40095154280738182</v>
      </c>
      <c r="G27" s="241">
        <v>0.43083440801216893</v>
      </c>
      <c r="H27" s="241">
        <v>0.40603574803395581</v>
      </c>
      <c r="I27" s="242">
        <v>0.43591861323874292</v>
      </c>
      <c r="J27" s="242">
        <v>0.41111995326052986</v>
      </c>
      <c r="K27" s="242">
        <v>0.4471871144294543</v>
      </c>
      <c r="L27" s="242">
        <v>0.38504562181656754</v>
      </c>
      <c r="M27" s="242">
        <v>0.38640692412182243</v>
      </c>
    </row>
  </sheetData>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AC REV1</vt:lpstr>
      <vt:lpstr>C2 (Dec'22 fix ตัด GC)</vt:lpstr>
      <vt:lpstr>C2</vt:lpstr>
      <vt:lpstr>LR monthly</vt:lpstr>
      <vt:lpstr>C3LPG</vt:lpstr>
      <vt:lpstr>NGL</vt:lpstr>
      <vt:lpstr>LT Customer 22</vt:lpstr>
      <vt:lpstr>Graph DS</vt:lpstr>
      <vt:lpstr>Graph Allo</vt:lpstr>
      <vt:lpstr>Contract Vol</vt:lpstr>
      <vt:lpstr>Production</vt:lpstr>
      <vt:lpstr>CEC</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Chalida</cp:lastModifiedBy>
  <dcterms:created xsi:type="dcterms:W3CDTF">2019-05-28T06:56:10Z</dcterms:created>
  <dcterms:modified xsi:type="dcterms:W3CDTF">2022-01-19T07:51:30Z</dcterms:modified>
</cp:coreProperties>
</file>